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ate1904="1" codeName="ThisWorkbook" hidePivotFieldList="1"/>
  <mc:AlternateContent xmlns:mc="http://schemas.openxmlformats.org/markup-compatibility/2006">
    <mc:Choice Requires="x15">
      <x15ac:absPath xmlns:x15ac="http://schemas.microsoft.com/office/spreadsheetml/2010/11/ac" url="Q:\Finances Communales\1. Péréquations\2022\2. Décompte\1. Décompte définitif\Calcul péréquation\"/>
    </mc:Choice>
  </mc:AlternateContent>
  <xr:revisionPtr revIDLastSave="0" documentId="13_ncr:1_{E89445A2-7542-4321-A0A4-4FB4FD4DCC87}" xr6:coauthVersionLast="47" xr6:coauthVersionMax="47" xr10:uidLastSave="{00000000-0000-0000-0000-000000000000}"/>
  <bookViews>
    <workbookView xWindow="-120" yWindow="-120" windowWidth="29040" windowHeight="15840" tabRatio="923" xr2:uid="{00000000-000D-0000-FFFF-FFFF00000000}"/>
  </bookViews>
  <sheets>
    <sheet name="Table des matières" sheetId="56" r:id="rId1"/>
    <sheet name="Paramètres" sheetId="40" r:id="rId2"/>
    <sheet name="Recherche" sheetId="48" r:id="rId3"/>
    <sheet name="Récapitulation rendements" sheetId="57" r:id="rId4"/>
    <sheet name="Données" sheetId="42" r:id="rId5"/>
    <sheet name="VPI" sheetId="19" r:id="rId6"/>
    <sheet name="PCS" sheetId="9" r:id="rId7"/>
    <sheet name="Ecrêtage" sheetId="33" r:id="rId8"/>
    <sheet name="Péréquation directe" sheetId="34" r:id="rId9"/>
    <sheet name="Population" sheetId="36" r:id="rId10"/>
    <sheet name="Solidarité" sheetId="37" r:id="rId11"/>
    <sheet name="DT" sheetId="11" r:id="rId12"/>
    <sheet name="Effort" sheetId="12" r:id="rId13"/>
    <sheet name="Aide" sheetId="39" r:id="rId14"/>
    <sheet name="Taux" sheetId="13" r:id="rId15"/>
    <sheet name="Facture policière" sheetId="49" r:id="rId16"/>
    <sheet name="Synthèse" sheetId="25" r:id="rId17"/>
    <sheet name="Décompte vs acomptes" sheetId="54" r:id="rId18"/>
  </sheets>
  <externalReferences>
    <externalReference r:id="rId19"/>
    <externalReference r:id="rId20"/>
  </externalReferences>
  <definedNames>
    <definedName name="_xlnm._FilterDatabase" localSheetId="6" hidden="1">PCS!$A$10:$I$312</definedName>
    <definedName name="_xlnm._FilterDatabase" localSheetId="8" hidden="1">'Péréquation directe'!$A$10:$J$312</definedName>
    <definedName name="_xlnm._FilterDatabase" localSheetId="16" hidden="1">Synthèse!$A$4:$G$307</definedName>
    <definedName name="_xlnm.Database" localSheetId="17">#REF!</definedName>
    <definedName name="_xlnm.Database" localSheetId="3">#REF!</definedName>
    <definedName name="_xlnm.Database">#REF!</definedName>
    <definedName name="_xlnm.Print_Titles" localSheetId="11">DT!$4:$5</definedName>
    <definedName name="_xlnm.Print_Titles" localSheetId="12">Effort!$4:$5</definedName>
    <definedName name="_xlnm.Print_Titles" localSheetId="15">'Facture policière'!$4:$4</definedName>
    <definedName name="_xlnm.Print_Titles" localSheetId="6">PCS!$10:$11</definedName>
    <definedName name="_xlnm.Print_Titles" localSheetId="16">Synthèse!$4:$4</definedName>
    <definedName name="_xlnm.Print_Titles" localSheetId="14">Taux!$4:$5</definedName>
    <definedName name="ind">2</definedName>
    <definedName name="_xlnm.Print_Area" localSheetId="4">Données!#REF!</definedName>
    <definedName name="_xlnm.Print_Area" localSheetId="15">'Facture policière'!$A$1:$M$306</definedName>
    <definedName name="_xlnm.Print_Area" localSheetId="8">'Péréquation directe'!$303:$334</definedName>
    <definedName name="_xlnm.Print_Area" localSheetId="3">'Récapitulation rendements'!$B$6:$E$53</definedName>
    <definedName name="_xlnm.Print_Area" localSheetId="2">Recherche!$B$6:$F$72</definedName>
    <definedName name="_xlnm.Print_Area" localSheetId="16">Synthèse!$A$1:$J$305</definedName>
    <definedName name="_xlnm.Print_Area" localSheetId="14">Taux!$A$1:$P$307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3" i="19" l="1"/>
  <c r="B13" i="40"/>
  <c r="AG136" i="42" l="1"/>
  <c r="AG135" i="42"/>
  <c r="AG153" i="42"/>
  <c r="AG142" i="42"/>
  <c r="AG144" i="42"/>
  <c r="AG140" i="42"/>
  <c r="AG134" i="42"/>
  <c r="AG143" i="42"/>
  <c r="B6" i="48"/>
  <c r="A6" i="25" l="1"/>
  <c r="B6" i="25"/>
  <c r="A7" i="25"/>
  <c r="B7" i="25"/>
  <c r="A8" i="25"/>
  <c r="B8" i="25"/>
  <c r="A9" i="25"/>
  <c r="B9" i="25"/>
  <c r="A10" i="25"/>
  <c r="B10" i="25"/>
  <c r="A11" i="25"/>
  <c r="B11" i="25"/>
  <c r="A12" i="25"/>
  <c r="B12" i="25"/>
  <c r="A13" i="25"/>
  <c r="B13" i="25"/>
  <c r="A14" i="25"/>
  <c r="B14" i="25"/>
  <c r="A15" i="25"/>
  <c r="B15" i="25"/>
  <c r="A16" i="25"/>
  <c r="B16" i="25"/>
  <c r="A17" i="25"/>
  <c r="B17" i="25"/>
  <c r="A18" i="25"/>
  <c r="B18" i="25"/>
  <c r="A19" i="25"/>
  <c r="B19" i="25"/>
  <c r="A20" i="25"/>
  <c r="B20" i="25"/>
  <c r="A21" i="25"/>
  <c r="B21" i="25"/>
  <c r="A22" i="25"/>
  <c r="B22" i="25"/>
  <c r="A23" i="25"/>
  <c r="B23" i="25"/>
  <c r="A24" i="25"/>
  <c r="B24" i="25"/>
  <c r="A25" i="25"/>
  <c r="B25" i="25"/>
  <c r="A26" i="25"/>
  <c r="B26" i="25"/>
  <c r="A27" i="25"/>
  <c r="B27" i="25"/>
  <c r="A28" i="25"/>
  <c r="B28" i="25"/>
  <c r="A29" i="25"/>
  <c r="B29" i="25"/>
  <c r="A30" i="25"/>
  <c r="B30" i="25"/>
  <c r="A31" i="25"/>
  <c r="B31" i="25"/>
  <c r="A32" i="25"/>
  <c r="B32" i="25"/>
  <c r="A33" i="25"/>
  <c r="B33" i="25"/>
  <c r="A34" i="25"/>
  <c r="B34" i="25"/>
  <c r="A35" i="25"/>
  <c r="B35" i="25"/>
  <c r="A36" i="25"/>
  <c r="B36" i="25"/>
  <c r="A37" i="25"/>
  <c r="B37" i="25"/>
  <c r="A38" i="25"/>
  <c r="B38" i="25"/>
  <c r="A39" i="25"/>
  <c r="B39" i="25"/>
  <c r="A40" i="25"/>
  <c r="B40" i="25"/>
  <c r="A41" i="25"/>
  <c r="B41" i="25"/>
  <c r="A42" i="25"/>
  <c r="B42" i="25"/>
  <c r="A43" i="25"/>
  <c r="B43" i="25"/>
  <c r="A44" i="25"/>
  <c r="B44" i="25"/>
  <c r="A45" i="25"/>
  <c r="B45" i="25"/>
  <c r="A46" i="25"/>
  <c r="B46" i="25"/>
  <c r="A47" i="25"/>
  <c r="B47" i="25"/>
  <c r="A48" i="25"/>
  <c r="B48" i="25"/>
  <c r="A49" i="25"/>
  <c r="B49" i="25"/>
  <c r="A50" i="25"/>
  <c r="B50" i="25"/>
  <c r="A51" i="25"/>
  <c r="B51" i="25"/>
  <c r="A52" i="25"/>
  <c r="B52" i="25"/>
  <c r="A53" i="25"/>
  <c r="B53" i="25"/>
  <c r="A54" i="25"/>
  <c r="B54" i="25"/>
  <c r="A55" i="25"/>
  <c r="B55" i="25"/>
  <c r="A56" i="25"/>
  <c r="B56" i="25"/>
  <c r="A57" i="25"/>
  <c r="B57" i="25"/>
  <c r="A58" i="25"/>
  <c r="B58" i="25"/>
  <c r="A59" i="25"/>
  <c r="B59" i="25"/>
  <c r="A60" i="25"/>
  <c r="B60" i="25"/>
  <c r="A61" i="25"/>
  <c r="B61" i="25"/>
  <c r="A62" i="25"/>
  <c r="B62" i="25"/>
  <c r="A63" i="25"/>
  <c r="B63" i="25"/>
  <c r="A64" i="25"/>
  <c r="B64" i="25"/>
  <c r="A65" i="25"/>
  <c r="B65" i="25"/>
  <c r="A66" i="25"/>
  <c r="B66" i="25"/>
  <c r="A67" i="25"/>
  <c r="B67" i="25"/>
  <c r="A68" i="25"/>
  <c r="B68" i="25"/>
  <c r="A69" i="25"/>
  <c r="B69" i="25"/>
  <c r="A70" i="25"/>
  <c r="B70" i="25"/>
  <c r="A71" i="25"/>
  <c r="B71" i="25"/>
  <c r="A72" i="25"/>
  <c r="B72" i="25"/>
  <c r="A73" i="25"/>
  <c r="B73" i="25"/>
  <c r="A74" i="25"/>
  <c r="B74" i="25"/>
  <c r="A75" i="25"/>
  <c r="B75" i="25"/>
  <c r="A76" i="25"/>
  <c r="B76" i="25"/>
  <c r="A77" i="25"/>
  <c r="B77" i="25"/>
  <c r="A78" i="25"/>
  <c r="B78" i="25"/>
  <c r="A79" i="25"/>
  <c r="B79" i="25"/>
  <c r="A80" i="25"/>
  <c r="B80" i="25"/>
  <c r="A81" i="25"/>
  <c r="B81" i="25"/>
  <c r="A82" i="25"/>
  <c r="B82" i="25"/>
  <c r="A83" i="25"/>
  <c r="B83" i="25"/>
  <c r="A84" i="25"/>
  <c r="B84" i="25"/>
  <c r="A85" i="25"/>
  <c r="B85" i="25"/>
  <c r="A86" i="25"/>
  <c r="B86" i="25"/>
  <c r="A87" i="25"/>
  <c r="B87" i="25"/>
  <c r="A88" i="25"/>
  <c r="B88" i="25"/>
  <c r="A89" i="25"/>
  <c r="B89" i="25"/>
  <c r="A90" i="25"/>
  <c r="B90" i="25"/>
  <c r="A91" i="25"/>
  <c r="B91" i="25"/>
  <c r="A92" i="25"/>
  <c r="B92" i="25"/>
  <c r="A93" i="25"/>
  <c r="B93" i="25"/>
  <c r="A94" i="25"/>
  <c r="B94" i="25"/>
  <c r="A95" i="25"/>
  <c r="B95" i="25"/>
  <c r="A96" i="25"/>
  <c r="B96" i="25"/>
  <c r="A97" i="25"/>
  <c r="B97" i="25"/>
  <c r="A98" i="25"/>
  <c r="B98" i="25"/>
  <c r="A99" i="25"/>
  <c r="B99" i="25"/>
  <c r="A100" i="25"/>
  <c r="B100" i="25"/>
  <c r="A101" i="25"/>
  <c r="B101" i="25"/>
  <c r="A102" i="25"/>
  <c r="B102" i="25"/>
  <c r="A103" i="25"/>
  <c r="B103" i="25"/>
  <c r="A104" i="25"/>
  <c r="B104" i="25"/>
  <c r="A105" i="25"/>
  <c r="B105" i="25"/>
  <c r="A106" i="25"/>
  <c r="B106" i="25"/>
  <c r="A107" i="25"/>
  <c r="B107" i="25"/>
  <c r="A108" i="25"/>
  <c r="B108" i="25"/>
  <c r="A109" i="25"/>
  <c r="B109" i="25"/>
  <c r="A110" i="25"/>
  <c r="B110" i="25"/>
  <c r="A111" i="25"/>
  <c r="B111" i="25"/>
  <c r="A112" i="25"/>
  <c r="B112" i="25"/>
  <c r="A113" i="25"/>
  <c r="B113" i="25"/>
  <c r="A114" i="25"/>
  <c r="B114" i="25"/>
  <c r="A115" i="25"/>
  <c r="B115" i="25"/>
  <c r="A116" i="25"/>
  <c r="B116" i="25"/>
  <c r="A117" i="25"/>
  <c r="B117" i="25"/>
  <c r="A118" i="25"/>
  <c r="B118" i="25"/>
  <c r="A119" i="25"/>
  <c r="B119" i="25"/>
  <c r="A120" i="25"/>
  <c r="B120" i="25"/>
  <c r="A121" i="25"/>
  <c r="B121" i="25"/>
  <c r="A122" i="25"/>
  <c r="B122" i="25"/>
  <c r="A123" i="25"/>
  <c r="B123" i="25"/>
  <c r="A124" i="25"/>
  <c r="B124" i="25"/>
  <c r="A125" i="25"/>
  <c r="B125" i="25"/>
  <c r="A126" i="25"/>
  <c r="B126" i="25"/>
  <c r="A127" i="25"/>
  <c r="B127" i="25"/>
  <c r="A128" i="25"/>
  <c r="B128" i="25"/>
  <c r="A129" i="25"/>
  <c r="B129" i="25"/>
  <c r="A130" i="25"/>
  <c r="B130" i="25"/>
  <c r="A131" i="25"/>
  <c r="B131" i="25"/>
  <c r="A132" i="25"/>
  <c r="B132" i="25"/>
  <c r="A133" i="25"/>
  <c r="B133" i="25"/>
  <c r="A134" i="25"/>
  <c r="B134" i="25"/>
  <c r="A135" i="25"/>
  <c r="B135" i="25"/>
  <c r="A136" i="25"/>
  <c r="B136" i="25"/>
  <c r="A137" i="25"/>
  <c r="B137" i="25"/>
  <c r="A138" i="25"/>
  <c r="B138" i="25"/>
  <c r="A139" i="25"/>
  <c r="B139" i="25"/>
  <c r="A140" i="25"/>
  <c r="B140" i="25"/>
  <c r="A141" i="25"/>
  <c r="B141" i="25"/>
  <c r="A142" i="25"/>
  <c r="B142" i="25"/>
  <c r="A143" i="25"/>
  <c r="B143" i="25"/>
  <c r="A144" i="25"/>
  <c r="B144" i="25"/>
  <c r="A145" i="25"/>
  <c r="B145" i="25"/>
  <c r="A146" i="25"/>
  <c r="B146" i="25"/>
  <c r="A147" i="25"/>
  <c r="B147" i="25"/>
  <c r="A148" i="25"/>
  <c r="B148" i="25"/>
  <c r="A149" i="25"/>
  <c r="B149" i="25"/>
  <c r="A150" i="25"/>
  <c r="B150" i="25"/>
  <c r="A151" i="25"/>
  <c r="B151" i="25"/>
  <c r="A152" i="25"/>
  <c r="B152" i="25"/>
  <c r="A153" i="25"/>
  <c r="B153" i="25"/>
  <c r="A154" i="25"/>
  <c r="B154" i="25"/>
  <c r="A155" i="25"/>
  <c r="B155" i="25"/>
  <c r="A156" i="25"/>
  <c r="B156" i="25"/>
  <c r="A157" i="25"/>
  <c r="B157" i="25"/>
  <c r="A158" i="25"/>
  <c r="B158" i="25"/>
  <c r="A159" i="25"/>
  <c r="B159" i="25"/>
  <c r="A160" i="25"/>
  <c r="B160" i="25"/>
  <c r="A161" i="25"/>
  <c r="B161" i="25"/>
  <c r="A162" i="25"/>
  <c r="B162" i="25"/>
  <c r="A163" i="25"/>
  <c r="B163" i="25"/>
  <c r="A164" i="25"/>
  <c r="B164" i="25"/>
  <c r="A165" i="25"/>
  <c r="B165" i="25"/>
  <c r="A166" i="25"/>
  <c r="B166" i="25"/>
  <c r="A167" i="25"/>
  <c r="B167" i="25"/>
  <c r="A168" i="25"/>
  <c r="B168" i="25"/>
  <c r="A169" i="25"/>
  <c r="B169" i="25"/>
  <c r="A170" i="25"/>
  <c r="B170" i="25"/>
  <c r="A171" i="25"/>
  <c r="B171" i="25"/>
  <c r="A172" i="25"/>
  <c r="B172" i="25"/>
  <c r="A173" i="25"/>
  <c r="B173" i="25"/>
  <c r="A174" i="25"/>
  <c r="B174" i="25"/>
  <c r="A175" i="25"/>
  <c r="B175" i="25"/>
  <c r="A176" i="25"/>
  <c r="B176" i="25"/>
  <c r="A177" i="25"/>
  <c r="B177" i="25"/>
  <c r="A178" i="25"/>
  <c r="B178" i="25"/>
  <c r="A179" i="25"/>
  <c r="B179" i="25"/>
  <c r="A180" i="25"/>
  <c r="B180" i="25"/>
  <c r="A181" i="25"/>
  <c r="B181" i="25"/>
  <c r="A182" i="25"/>
  <c r="B182" i="25"/>
  <c r="A183" i="25"/>
  <c r="B183" i="25"/>
  <c r="A184" i="25"/>
  <c r="B184" i="25"/>
  <c r="A185" i="25"/>
  <c r="B185" i="25"/>
  <c r="A186" i="25"/>
  <c r="B186" i="25"/>
  <c r="A187" i="25"/>
  <c r="B187" i="25"/>
  <c r="A188" i="25"/>
  <c r="B188" i="25"/>
  <c r="A189" i="25"/>
  <c r="B189" i="25"/>
  <c r="A190" i="25"/>
  <c r="B190" i="25"/>
  <c r="A191" i="25"/>
  <c r="B191" i="25"/>
  <c r="A192" i="25"/>
  <c r="B192" i="25"/>
  <c r="A193" i="25"/>
  <c r="B193" i="25"/>
  <c r="A194" i="25"/>
  <c r="B194" i="25"/>
  <c r="A195" i="25"/>
  <c r="B195" i="25"/>
  <c r="A196" i="25"/>
  <c r="B196" i="25"/>
  <c r="A197" i="25"/>
  <c r="B197" i="25"/>
  <c r="A198" i="25"/>
  <c r="B198" i="25"/>
  <c r="A199" i="25"/>
  <c r="B199" i="25"/>
  <c r="A200" i="25"/>
  <c r="B200" i="25"/>
  <c r="A201" i="25"/>
  <c r="B201" i="25"/>
  <c r="A202" i="25"/>
  <c r="B202" i="25"/>
  <c r="A203" i="25"/>
  <c r="B203" i="25"/>
  <c r="A204" i="25"/>
  <c r="B204" i="25"/>
  <c r="A205" i="25"/>
  <c r="B205" i="25"/>
  <c r="A206" i="25"/>
  <c r="B206" i="25"/>
  <c r="A207" i="25"/>
  <c r="B207" i="25"/>
  <c r="A208" i="25"/>
  <c r="B208" i="25"/>
  <c r="A209" i="25"/>
  <c r="B209" i="25"/>
  <c r="A210" i="25"/>
  <c r="B210" i="25"/>
  <c r="A211" i="25"/>
  <c r="B211" i="25"/>
  <c r="A212" i="25"/>
  <c r="B212" i="25"/>
  <c r="A213" i="25"/>
  <c r="B213" i="25"/>
  <c r="A214" i="25"/>
  <c r="B214" i="25"/>
  <c r="A215" i="25"/>
  <c r="B215" i="25"/>
  <c r="A216" i="25"/>
  <c r="B216" i="25"/>
  <c r="A217" i="25"/>
  <c r="B217" i="25"/>
  <c r="A218" i="25"/>
  <c r="B218" i="25"/>
  <c r="A219" i="25"/>
  <c r="B219" i="25"/>
  <c r="A220" i="25"/>
  <c r="B220" i="25"/>
  <c r="A221" i="25"/>
  <c r="B221" i="25"/>
  <c r="A222" i="25"/>
  <c r="B222" i="25"/>
  <c r="A223" i="25"/>
  <c r="B223" i="25"/>
  <c r="A224" i="25"/>
  <c r="B224" i="25"/>
  <c r="A225" i="25"/>
  <c r="B225" i="25"/>
  <c r="A226" i="25"/>
  <c r="B226" i="25"/>
  <c r="A227" i="25"/>
  <c r="B227" i="25"/>
  <c r="A228" i="25"/>
  <c r="B228" i="25"/>
  <c r="A229" i="25"/>
  <c r="B229" i="25"/>
  <c r="A230" i="25"/>
  <c r="B230" i="25"/>
  <c r="A231" i="25"/>
  <c r="B231" i="25"/>
  <c r="A232" i="25"/>
  <c r="B232" i="25"/>
  <c r="A233" i="25"/>
  <c r="B233" i="25"/>
  <c r="A234" i="25"/>
  <c r="B234" i="25"/>
  <c r="A235" i="25"/>
  <c r="B235" i="25"/>
  <c r="A236" i="25"/>
  <c r="B236" i="25"/>
  <c r="A237" i="25"/>
  <c r="B237" i="25"/>
  <c r="A238" i="25"/>
  <c r="B238" i="25"/>
  <c r="A239" i="25"/>
  <c r="B239" i="25"/>
  <c r="A240" i="25"/>
  <c r="B240" i="25"/>
  <c r="A241" i="25"/>
  <c r="B241" i="25"/>
  <c r="A242" i="25"/>
  <c r="B242" i="25"/>
  <c r="A243" i="25"/>
  <c r="B243" i="25"/>
  <c r="A244" i="25"/>
  <c r="B244" i="25"/>
  <c r="A245" i="25"/>
  <c r="B245" i="25"/>
  <c r="A246" i="25"/>
  <c r="B246" i="25"/>
  <c r="A247" i="25"/>
  <c r="B247" i="25"/>
  <c r="A248" i="25"/>
  <c r="B248" i="25"/>
  <c r="A249" i="25"/>
  <c r="B249" i="25"/>
  <c r="A250" i="25"/>
  <c r="B250" i="25"/>
  <c r="A251" i="25"/>
  <c r="B251" i="25"/>
  <c r="A252" i="25"/>
  <c r="B252" i="25"/>
  <c r="A253" i="25"/>
  <c r="B253" i="25"/>
  <c r="A254" i="25"/>
  <c r="B254" i="25"/>
  <c r="A255" i="25"/>
  <c r="B255" i="25"/>
  <c r="A256" i="25"/>
  <c r="B256" i="25"/>
  <c r="A257" i="25"/>
  <c r="B257" i="25"/>
  <c r="A258" i="25"/>
  <c r="B258" i="25"/>
  <c r="A259" i="25"/>
  <c r="B259" i="25"/>
  <c r="A260" i="25"/>
  <c r="B260" i="25"/>
  <c r="A261" i="25"/>
  <c r="B261" i="25"/>
  <c r="A262" i="25"/>
  <c r="B262" i="25"/>
  <c r="A263" i="25"/>
  <c r="B263" i="25"/>
  <c r="A264" i="25"/>
  <c r="B264" i="25"/>
  <c r="A265" i="25"/>
  <c r="B265" i="25"/>
  <c r="A266" i="25"/>
  <c r="B266" i="25"/>
  <c r="A267" i="25"/>
  <c r="B267" i="25"/>
  <c r="A268" i="25"/>
  <c r="B268" i="25"/>
  <c r="A269" i="25"/>
  <c r="B269" i="25"/>
  <c r="A270" i="25"/>
  <c r="B270" i="25"/>
  <c r="A271" i="25"/>
  <c r="B271" i="25"/>
  <c r="A272" i="25"/>
  <c r="B272" i="25"/>
  <c r="A273" i="25"/>
  <c r="B273" i="25"/>
  <c r="A274" i="25"/>
  <c r="B274" i="25"/>
  <c r="A275" i="25"/>
  <c r="B275" i="25"/>
  <c r="A276" i="25"/>
  <c r="B276" i="25"/>
  <c r="A277" i="25"/>
  <c r="B277" i="25"/>
  <c r="A278" i="25"/>
  <c r="B278" i="25"/>
  <c r="A279" i="25"/>
  <c r="B279" i="25"/>
  <c r="A280" i="25"/>
  <c r="B280" i="25"/>
  <c r="A281" i="25"/>
  <c r="B281" i="25"/>
  <c r="A282" i="25"/>
  <c r="B282" i="25"/>
  <c r="A283" i="25"/>
  <c r="B283" i="25"/>
  <c r="A284" i="25"/>
  <c r="B284" i="25"/>
  <c r="A285" i="25"/>
  <c r="B285" i="25"/>
  <c r="A286" i="25"/>
  <c r="B286" i="25"/>
  <c r="A287" i="25"/>
  <c r="B287" i="25"/>
  <c r="A288" i="25"/>
  <c r="B288" i="25"/>
  <c r="A289" i="25"/>
  <c r="B289" i="25"/>
  <c r="A290" i="25"/>
  <c r="B290" i="25"/>
  <c r="A291" i="25"/>
  <c r="B291" i="25"/>
  <c r="A292" i="25"/>
  <c r="B292" i="25"/>
  <c r="A293" i="25"/>
  <c r="B293" i="25"/>
  <c r="A294" i="25"/>
  <c r="B294" i="25"/>
  <c r="A295" i="25"/>
  <c r="B295" i="25"/>
  <c r="A296" i="25"/>
  <c r="B296" i="25"/>
  <c r="A297" i="25"/>
  <c r="B297" i="25"/>
  <c r="A298" i="25"/>
  <c r="B298" i="25"/>
  <c r="A299" i="25"/>
  <c r="B299" i="25"/>
  <c r="A300" i="25"/>
  <c r="B300" i="25"/>
  <c r="A301" i="25"/>
  <c r="B301" i="25"/>
  <c r="A302" i="25"/>
  <c r="B302" i="25"/>
  <c r="A303" i="25"/>
  <c r="B303" i="25"/>
  <c r="A304" i="25"/>
  <c r="B304" i="25"/>
  <c r="E7" i="49"/>
  <c r="E8" i="49"/>
  <c r="E9" i="49"/>
  <c r="E10" i="49"/>
  <c r="E11" i="49"/>
  <c r="E12" i="49"/>
  <c r="E13" i="49"/>
  <c r="E14" i="49"/>
  <c r="E15" i="49"/>
  <c r="E16" i="49"/>
  <c r="E17" i="49"/>
  <c r="E18" i="49"/>
  <c r="E19" i="49"/>
  <c r="E20" i="49"/>
  <c r="E21" i="49"/>
  <c r="E22" i="49"/>
  <c r="E23" i="49"/>
  <c r="E24" i="49"/>
  <c r="E25" i="49"/>
  <c r="E26" i="49"/>
  <c r="E27" i="49"/>
  <c r="E28" i="49"/>
  <c r="E29" i="49"/>
  <c r="E30" i="49"/>
  <c r="E31" i="49"/>
  <c r="E32" i="49"/>
  <c r="E33" i="49"/>
  <c r="E34" i="49"/>
  <c r="E35" i="49"/>
  <c r="E36" i="49"/>
  <c r="E37" i="49"/>
  <c r="E38" i="49"/>
  <c r="E39" i="49"/>
  <c r="E40" i="49"/>
  <c r="E41" i="49"/>
  <c r="E42" i="49"/>
  <c r="E43" i="49"/>
  <c r="E44" i="49"/>
  <c r="E45" i="49"/>
  <c r="E46" i="49"/>
  <c r="E47" i="49"/>
  <c r="E48" i="49"/>
  <c r="E49" i="49"/>
  <c r="E50" i="49"/>
  <c r="E51" i="49"/>
  <c r="E52" i="49"/>
  <c r="E53" i="49"/>
  <c r="E54" i="49"/>
  <c r="E55" i="49"/>
  <c r="E56" i="49"/>
  <c r="E57" i="49"/>
  <c r="E58" i="49"/>
  <c r="E59" i="49"/>
  <c r="E60" i="49"/>
  <c r="E61" i="49"/>
  <c r="E62" i="49"/>
  <c r="E63" i="49"/>
  <c r="E64" i="49"/>
  <c r="E65" i="49"/>
  <c r="E66" i="49"/>
  <c r="E67" i="49"/>
  <c r="E68" i="49"/>
  <c r="E69" i="49"/>
  <c r="E70" i="49"/>
  <c r="E71" i="49"/>
  <c r="E72" i="49"/>
  <c r="E73" i="49"/>
  <c r="E74" i="49"/>
  <c r="E75" i="49"/>
  <c r="E76" i="49"/>
  <c r="E77" i="49"/>
  <c r="E78" i="49"/>
  <c r="E79" i="49"/>
  <c r="E80" i="49"/>
  <c r="E81" i="49"/>
  <c r="E82" i="49"/>
  <c r="E83" i="49"/>
  <c r="E84" i="49"/>
  <c r="E85" i="49"/>
  <c r="E86" i="49"/>
  <c r="E87" i="49"/>
  <c r="E88" i="49"/>
  <c r="E89" i="49"/>
  <c r="E90" i="49"/>
  <c r="E91" i="49"/>
  <c r="E92" i="49"/>
  <c r="E93" i="49"/>
  <c r="E94" i="49"/>
  <c r="E95" i="49"/>
  <c r="E96" i="49"/>
  <c r="E97" i="49"/>
  <c r="E98" i="49"/>
  <c r="E99" i="49"/>
  <c r="E100" i="49"/>
  <c r="E101" i="49"/>
  <c r="E102" i="49"/>
  <c r="E103" i="49"/>
  <c r="E104" i="49"/>
  <c r="E105" i="49"/>
  <c r="E106" i="49"/>
  <c r="E107" i="49"/>
  <c r="E108" i="49"/>
  <c r="E109" i="49"/>
  <c r="E110" i="49"/>
  <c r="E111" i="49"/>
  <c r="E112" i="49"/>
  <c r="E113" i="49"/>
  <c r="E114" i="49"/>
  <c r="E115" i="49"/>
  <c r="E116" i="49"/>
  <c r="E117" i="49"/>
  <c r="E118" i="49"/>
  <c r="E119" i="49"/>
  <c r="E120" i="49"/>
  <c r="E121" i="49"/>
  <c r="E122" i="49"/>
  <c r="E123" i="49"/>
  <c r="E124" i="49"/>
  <c r="E125" i="49"/>
  <c r="E126" i="49"/>
  <c r="E127" i="49"/>
  <c r="E128" i="49"/>
  <c r="E129" i="49"/>
  <c r="E130" i="49"/>
  <c r="E131" i="49"/>
  <c r="E132" i="49"/>
  <c r="E133" i="49"/>
  <c r="E134" i="49"/>
  <c r="E135" i="49"/>
  <c r="E136" i="49"/>
  <c r="E137" i="49"/>
  <c r="E138" i="49"/>
  <c r="E139" i="49"/>
  <c r="E140" i="49"/>
  <c r="E141" i="49"/>
  <c r="E142" i="49"/>
  <c r="E143" i="49"/>
  <c r="E144" i="49"/>
  <c r="E145" i="49"/>
  <c r="E146" i="49"/>
  <c r="E147" i="49"/>
  <c r="E148" i="49"/>
  <c r="E149" i="49"/>
  <c r="E150" i="49"/>
  <c r="E151" i="49"/>
  <c r="E152" i="49"/>
  <c r="E153" i="49"/>
  <c r="E154" i="49"/>
  <c r="E155" i="49"/>
  <c r="E156" i="49"/>
  <c r="E157" i="49"/>
  <c r="E158" i="49"/>
  <c r="E159" i="49"/>
  <c r="E160" i="49"/>
  <c r="E161" i="49"/>
  <c r="E162" i="49"/>
  <c r="E163" i="49"/>
  <c r="E164" i="49"/>
  <c r="E165" i="49"/>
  <c r="E166" i="49"/>
  <c r="E167" i="49"/>
  <c r="E168" i="49"/>
  <c r="E169" i="49"/>
  <c r="E170" i="49"/>
  <c r="E171" i="49"/>
  <c r="E172" i="49"/>
  <c r="E173" i="49"/>
  <c r="E174" i="49"/>
  <c r="E175" i="49"/>
  <c r="E176" i="49"/>
  <c r="E177" i="49"/>
  <c r="E178" i="49"/>
  <c r="E179" i="49"/>
  <c r="E180" i="49"/>
  <c r="E181" i="49"/>
  <c r="E182" i="49"/>
  <c r="E183" i="49"/>
  <c r="E184" i="49"/>
  <c r="E185" i="49"/>
  <c r="E186" i="49"/>
  <c r="E187" i="49"/>
  <c r="E188" i="49"/>
  <c r="E189" i="49"/>
  <c r="E190" i="49"/>
  <c r="E191" i="49"/>
  <c r="E192" i="49"/>
  <c r="E193" i="49"/>
  <c r="E194" i="49"/>
  <c r="E195" i="49"/>
  <c r="E196" i="49"/>
  <c r="E197" i="49"/>
  <c r="E198" i="49"/>
  <c r="E199" i="49"/>
  <c r="E200" i="49"/>
  <c r="E201" i="49"/>
  <c r="E202" i="49"/>
  <c r="E203" i="49"/>
  <c r="E204" i="49"/>
  <c r="E205" i="49"/>
  <c r="E206" i="49"/>
  <c r="E207" i="49"/>
  <c r="E208" i="49"/>
  <c r="E209" i="49"/>
  <c r="E210" i="49"/>
  <c r="E211" i="49"/>
  <c r="E212" i="49"/>
  <c r="E213" i="49"/>
  <c r="E214" i="49"/>
  <c r="E215" i="49"/>
  <c r="E216" i="49"/>
  <c r="E217" i="49"/>
  <c r="E218" i="49"/>
  <c r="E219" i="49"/>
  <c r="E220" i="49"/>
  <c r="E221" i="49"/>
  <c r="E222" i="49"/>
  <c r="E223" i="49"/>
  <c r="E224" i="49"/>
  <c r="E225" i="49"/>
  <c r="E226" i="49"/>
  <c r="E227" i="49"/>
  <c r="E228" i="49"/>
  <c r="E229" i="49"/>
  <c r="E230" i="49"/>
  <c r="E231" i="49"/>
  <c r="E232" i="49"/>
  <c r="E233" i="49"/>
  <c r="E234" i="49"/>
  <c r="E235" i="49"/>
  <c r="E236" i="49"/>
  <c r="E237" i="49"/>
  <c r="E238" i="49"/>
  <c r="E239" i="49"/>
  <c r="E240" i="49"/>
  <c r="E241" i="49"/>
  <c r="E242" i="49"/>
  <c r="E243" i="49"/>
  <c r="E244" i="49"/>
  <c r="E245" i="49"/>
  <c r="E246" i="49"/>
  <c r="E247" i="49"/>
  <c r="E248" i="49"/>
  <c r="E249" i="49"/>
  <c r="E250" i="49"/>
  <c r="E251" i="49"/>
  <c r="E252" i="49"/>
  <c r="E253" i="49"/>
  <c r="E254" i="49"/>
  <c r="E255" i="49"/>
  <c r="E256" i="49"/>
  <c r="E257" i="49"/>
  <c r="E258" i="49"/>
  <c r="E259" i="49"/>
  <c r="E260" i="49"/>
  <c r="E261" i="49"/>
  <c r="E262" i="49"/>
  <c r="E263" i="49"/>
  <c r="E264" i="49"/>
  <c r="E265" i="49"/>
  <c r="E266" i="49"/>
  <c r="E267" i="49"/>
  <c r="E268" i="49"/>
  <c r="E269" i="49"/>
  <c r="E270" i="49"/>
  <c r="E271" i="49"/>
  <c r="E272" i="49"/>
  <c r="E273" i="49"/>
  <c r="E274" i="49"/>
  <c r="E275" i="49"/>
  <c r="E276" i="49"/>
  <c r="E277" i="49"/>
  <c r="E278" i="49"/>
  <c r="E279" i="49"/>
  <c r="E280" i="49"/>
  <c r="E281" i="49"/>
  <c r="E282" i="49"/>
  <c r="E283" i="49"/>
  <c r="E284" i="49"/>
  <c r="E285" i="49"/>
  <c r="E286" i="49"/>
  <c r="E287" i="49"/>
  <c r="E288" i="49"/>
  <c r="E289" i="49"/>
  <c r="E290" i="49"/>
  <c r="E291" i="49"/>
  <c r="E292" i="49"/>
  <c r="E293" i="49"/>
  <c r="E294" i="49"/>
  <c r="E295" i="49"/>
  <c r="E296" i="49"/>
  <c r="E297" i="49"/>
  <c r="E298" i="49"/>
  <c r="E299" i="49"/>
  <c r="E300" i="49"/>
  <c r="E301" i="49"/>
  <c r="E302" i="49"/>
  <c r="E303" i="49"/>
  <c r="E304" i="49"/>
  <c r="E305" i="49"/>
  <c r="D305" i="13" l="1"/>
  <c r="B305" i="13"/>
  <c r="A305" i="13"/>
  <c r="D304" i="13"/>
  <c r="B304" i="13"/>
  <c r="A304" i="13"/>
  <c r="D303" i="13"/>
  <c r="B303" i="13"/>
  <c r="A303" i="13"/>
  <c r="D302" i="13"/>
  <c r="B302" i="13"/>
  <c r="A302" i="13"/>
  <c r="A7" i="13"/>
  <c r="B7" i="13"/>
  <c r="D7" i="13"/>
  <c r="A8" i="13"/>
  <c r="B8" i="13"/>
  <c r="D8" i="13"/>
  <c r="A9" i="13"/>
  <c r="B9" i="13"/>
  <c r="D9" i="13"/>
  <c r="A10" i="13"/>
  <c r="B10" i="13"/>
  <c r="D10" i="13"/>
  <c r="A11" i="13"/>
  <c r="B11" i="13"/>
  <c r="D11" i="13"/>
  <c r="A12" i="13"/>
  <c r="B12" i="13"/>
  <c r="D12" i="13"/>
  <c r="A13" i="13"/>
  <c r="B13" i="13"/>
  <c r="D13" i="13"/>
  <c r="A14" i="13"/>
  <c r="B14" i="13"/>
  <c r="D14" i="13"/>
  <c r="A15" i="13"/>
  <c r="B15" i="13"/>
  <c r="D15" i="13"/>
  <c r="A16" i="13"/>
  <c r="B16" i="13"/>
  <c r="D16" i="13"/>
  <c r="A17" i="13"/>
  <c r="B17" i="13"/>
  <c r="D17" i="13"/>
  <c r="A18" i="13"/>
  <c r="B18" i="13"/>
  <c r="D18" i="13"/>
  <c r="A19" i="13"/>
  <c r="B19" i="13"/>
  <c r="D19" i="13"/>
  <c r="A20" i="13"/>
  <c r="B20" i="13"/>
  <c r="D20" i="13"/>
  <c r="A21" i="13"/>
  <c r="B21" i="13"/>
  <c r="D21" i="13"/>
  <c r="A22" i="13"/>
  <c r="B22" i="13"/>
  <c r="D22" i="13"/>
  <c r="A23" i="13"/>
  <c r="B23" i="13"/>
  <c r="D23" i="13"/>
  <c r="A24" i="13"/>
  <c r="B24" i="13"/>
  <c r="D24" i="13"/>
  <c r="A25" i="13"/>
  <c r="B25" i="13"/>
  <c r="D25" i="13"/>
  <c r="A26" i="13"/>
  <c r="B26" i="13"/>
  <c r="D26" i="13"/>
  <c r="A27" i="13"/>
  <c r="B27" i="13"/>
  <c r="D27" i="13"/>
  <c r="A28" i="13"/>
  <c r="B28" i="13"/>
  <c r="D28" i="13"/>
  <c r="A29" i="13"/>
  <c r="B29" i="13"/>
  <c r="D29" i="13"/>
  <c r="A30" i="13"/>
  <c r="B30" i="13"/>
  <c r="D30" i="13"/>
  <c r="A31" i="13"/>
  <c r="B31" i="13"/>
  <c r="D31" i="13"/>
  <c r="A32" i="13"/>
  <c r="B32" i="13"/>
  <c r="D32" i="13"/>
  <c r="A33" i="13"/>
  <c r="B33" i="13"/>
  <c r="D33" i="13"/>
  <c r="A34" i="13"/>
  <c r="B34" i="13"/>
  <c r="D34" i="13"/>
  <c r="A35" i="13"/>
  <c r="B35" i="13"/>
  <c r="D35" i="13"/>
  <c r="A36" i="13"/>
  <c r="B36" i="13"/>
  <c r="D36" i="13"/>
  <c r="A37" i="13"/>
  <c r="B37" i="13"/>
  <c r="D37" i="13"/>
  <c r="A38" i="13"/>
  <c r="B38" i="13"/>
  <c r="D38" i="13"/>
  <c r="A39" i="13"/>
  <c r="B39" i="13"/>
  <c r="D39" i="13"/>
  <c r="A40" i="13"/>
  <c r="B40" i="13"/>
  <c r="D40" i="13"/>
  <c r="A41" i="13"/>
  <c r="B41" i="13"/>
  <c r="D41" i="13"/>
  <c r="A42" i="13"/>
  <c r="B42" i="13"/>
  <c r="D42" i="13"/>
  <c r="A43" i="13"/>
  <c r="B43" i="13"/>
  <c r="D43" i="13"/>
  <c r="A44" i="13"/>
  <c r="B44" i="13"/>
  <c r="D44" i="13"/>
  <c r="A45" i="13"/>
  <c r="B45" i="13"/>
  <c r="D45" i="13"/>
  <c r="A46" i="13"/>
  <c r="B46" i="13"/>
  <c r="D46" i="13"/>
  <c r="A47" i="13"/>
  <c r="B47" i="13"/>
  <c r="D47" i="13"/>
  <c r="A48" i="13"/>
  <c r="B48" i="13"/>
  <c r="D48" i="13"/>
  <c r="A49" i="13"/>
  <c r="B49" i="13"/>
  <c r="D49" i="13"/>
  <c r="A50" i="13"/>
  <c r="B50" i="13"/>
  <c r="D50" i="13"/>
  <c r="A51" i="13"/>
  <c r="B51" i="13"/>
  <c r="D51" i="13"/>
  <c r="A52" i="13"/>
  <c r="B52" i="13"/>
  <c r="D52" i="13"/>
  <c r="A53" i="13"/>
  <c r="B53" i="13"/>
  <c r="D53" i="13"/>
  <c r="A54" i="13"/>
  <c r="B54" i="13"/>
  <c r="D54" i="13"/>
  <c r="A55" i="13"/>
  <c r="B55" i="13"/>
  <c r="D55" i="13"/>
  <c r="A56" i="13"/>
  <c r="B56" i="13"/>
  <c r="D56" i="13"/>
  <c r="A57" i="13"/>
  <c r="B57" i="13"/>
  <c r="D57" i="13"/>
  <c r="A58" i="13"/>
  <c r="B58" i="13"/>
  <c r="D58" i="13"/>
  <c r="A59" i="13"/>
  <c r="B59" i="13"/>
  <c r="D59" i="13"/>
  <c r="A60" i="13"/>
  <c r="B60" i="13"/>
  <c r="D60" i="13"/>
  <c r="A61" i="13"/>
  <c r="B61" i="13"/>
  <c r="D61" i="13"/>
  <c r="A62" i="13"/>
  <c r="B62" i="13"/>
  <c r="D62" i="13"/>
  <c r="A63" i="13"/>
  <c r="B63" i="13"/>
  <c r="D63" i="13"/>
  <c r="A64" i="13"/>
  <c r="B64" i="13"/>
  <c r="D64" i="13"/>
  <c r="A65" i="13"/>
  <c r="B65" i="13"/>
  <c r="D65" i="13"/>
  <c r="A66" i="13"/>
  <c r="B66" i="13"/>
  <c r="D66" i="13"/>
  <c r="A67" i="13"/>
  <c r="B67" i="13"/>
  <c r="D67" i="13"/>
  <c r="A68" i="13"/>
  <c r="B68" i="13"/>
  <c r="D68" i="13"/>
  <c r="A69" i="13"/>
  <c r="B69" i="13"/>
  <c r="D69" i="13"/>
  <c r="A70" i="13"/>
  <c r="B70" i="13"/>
  <c r="D70" i="13"/>
  <c r="A71" i="13"/>
  <c r="B71" i="13"/>
  <c r="D71" i="13"/>
  <c r="A72" i="13"/>
  <c r="B72" i="13"/>
  <c r="D72" i="13"/>
  <c r="A73" i="13"/>
  <c r="B73" i="13"/>
  <c r="D73" i="13"/>
  <c r="A74" i="13"/>
  <c r="B74" i="13"/>
  <c r="D74" i="13"/>
  <c r="A75" i="13"/>
  <c r="B75" i="13"/>
  <c r="D75" i="13"/>
  <c r="A76" i="13"/>
  <c r="B76" i="13"/>
  <c r="D76" i="13"/>
  <c r="A77" i="13"/>
  <c r="B77" i="13"/>
  <c r="D77" i="13"/>
  <c r="A78" i="13"/>
  <c r="B78" i="13"/>
  <c r="D78" i="13"/>
  <c r="A79" i="13"/>
  <c r="B79" i="13"/>
  <c r="D79" i="13"/>
  <c r="A80" i="13"/>
  <c r="B80" i="13"/>
  <c r="D80" i="13"/>
  <c r="A81" i="13"/>
  <c r="B81" i="13"/>
  <c r="D81" i="13"/>
  <c r="A82" i="13"/>
  <c r="B82" i="13"/>
  <c r="D82" i="13"/>
  <c r="A83" i="13"/>
  <c r="B83" i="13"/>
  <c r="D83" i="13"/>
  <c r="A84" i="13"/>
  <c r="B84" i="13"/>
  <c r="D84" i="13"/>
  <c r="A85" i="13"/>
  <c r="B85" i="13"/>
  <c r="D85" i="13"/>
  <c r="A86" i="13"/>
  <c r="B86" i="13"/>
  <c r="D86" i="13"/>
  <c r="A87" i="13"/>
  <c r="B87" i="13"/>
  <c r="D87" i="13"/>
  <c r="A88" i="13"/>
  <c r="B88" i="13"/>
  <c r="D88" i="13"/>
  <c r="A89" i="13"/>
  <c r="B89" i="13"/>
  <c r="D89" i="13"/>
  <c r="A90" i="13"/>
  <c r="B90" i="13"/>
  <c r="D90" i="13"/>
  <c r="A91" i="13"/>
  <c r="B91" i="13"/>
  <c r="D91" i="13"/>
  <c r="A92" i="13"/>
  <c r="B92" i="13"/>
  <c r="D92" i="13"/>
  <c r="A93" i="13"/>
  <c r="B93" i="13"/>
  <c r="D93" i="13"/>
  <c r="A94" i="13"/>
  <c r="B94" i="13"/>
  <c r="D94" i="13"/>
  <c r="A95" i="13"/>
  <c r="B95" i="13"/>
  <c r="D95" i="13"/>
  <c r="A96" i="13"/>
  <c r="B96" i="13"/>
  <c r="D96" i="13"/>
  <c r="A97" i="13"/>
  <c r="B97" i="13"/>
  <c r="D97" i="13"/>
  <c r="A98" i="13"/>
  <c r="B98" i="13"/>
  <c r="D98" i="13"/>
  <c r="A99" i="13"/>
  <c r="B99" i="13"/>
  <c r="D99" i="13"/>
  <c r="A100" i="13"/>
  <c r="B100" i="13"/>
  <c r="D100" i="13"/>
  <c r="A101" i="13"/>
  <c r="B101" i="13"/>
  <c r="D101" i="13"/>
  <c r="A102" i="13"/>
  <c r="B102" i="13"/>
  <c r="D102" i="13"/>
  <c r="A103" i="13"/>
  <c r="B103" i="13"/>
  <c r="D103" i="13"/>
  <c r="A104" i="13"/>
  <c r="B104" i="13"/>
  <c r="D104" i="13"/>
  <c r="A105" i="13"/>
  <c r="B105" i="13"/>
  <c r="D105" i="13"/>
  <c r="A106" i="13"/>
  <c r="B106" i="13"/>
  <c r="D106" i="13"/>
  <c r="A107" i="13"/>
  <c r="B107" i="13"/>
  <c r="D107" i="13"/>
  <c r="A108" i="13"/>
  <c r="B108" i="13"/>
  <c r="D108" i="13"/>
  <c r="A109" i="13"/>
  <c r="B109" i="13"/>
  <c r="D109" i="13"/>
  <c r="A110" i="13"/>
  <c r="B110" i="13"/>
  <c r="D110" i="13"/>
  <c r="A111" i="13"/>
  <c r="B111" i="13"/>
  <c r="D111" i="13"/>
  <c r="A112" i="13"/>
  <c r="B112" i="13"/>
  <c r="D112" i="13"/>
  <c r="A113" i="13"/>
  <c r="B113" i="13"/>
  <c r="D113" i="13"/>
  <c r="A114" i="13"/>
  <c r="B114" i="13"/>
  <c r="D114" i="13"/>
  <c r="A115" i="13"/>
  <c r="B115" i="13"/>
  <c r="D115" i="13"/>
  <c r="A116" i="13"/>
  <c r="B116" i="13"/>
  <c r="D116" i="13"/>
  <c r="A117" i="13"/>
  <c r="B117" i="13"/>
  <c r="D117" i="13"/>
  <c r="A118" i="13"/>
  <c r="B118" i="13"/>
  <c r="D118" i="13"/>
  <c r="A119" i="13"/>
  <c r="B119" i="13"/>
  <c r="D119" i="13"/>
  <c r="A120" i="13"/>
  <c r="B120" i="13"/>
  <c r="D120" i="13"/>
  <c r="A121" i="13"/>
  <c r="B121" i="13"/>
  <c r="D121" i="13"/>
  <c r="A122" i="13"/>
  <c r="B122" i="13"/>
  <c r="D122" i="13"/>
  <c r="A123" i="13"/>
  <c r="B123" i="13"/>
  <c r="D123" i="13"/>
  <c r="A124" i="13"/>
  <c r="B124" i="13"/>
  <c r="D124" i="13"/>
  <c r="A125" i="13"/>
  <c r="B125" i="13"/>
  <c r="D125" i="13"/>
  <c r="A126" i="13"/>
  <c r="B126" i="13"/>
  <c r="D126" i="13"/>
  <c r="A127" i="13"/>
  <c r="B127" i="13"/>
  <c r="D127" i="13"/>
  <c r="A128" i="13"/>
  <c r="B128" i="13"/>
  <c r="D128" i="13"/>
  <c r="A129" i="13"/>
  <c r="B129" i="13"/>
  <c r="D129" i="13"/>
  <c r="A130" i="13"/>
  <c r="B130" i="13"/>
  <c r="D130" i="13"/>
  <c r="A131" i="13"/>
  <c r="B131" i="13"/>
  <c r="D131" i="13"/>
  <c r="A132" i="13"/>
  <c r="B132" i="13"/>
  <c r="D132" i="13"/>
  <c r="A133" i="13"/>
  <c r="B133" i="13"/>
  <c r="D133" i="13"/>
  <c r="A134" i="13"/>
  <c r="B134" i="13"/>
  <c r="D134" i="13"/>
  <c r="A135" i="13"/>
  <c r="B135" i="13"/>
  <c r="D135" i="13"/>
  <c r="A136" i="13"/>
  <c r="B136" i="13"/>
  <c r="D136" i="13"/>
  <c r="A137" i="13"/>
  <c r="B137" i="13"/>
  <c r="D137" i="13"/>
  <c r="A138" i="13"/>
  <c r="B138" i="13"/>
  <c r="D138" i="13"/>
  <c r="A139" i="13"/>
  <c r="B139" i="13"/>
  <c r="D139" i="13"/>
  <c r="A140" i="13"/>
  <c r="B140" i="13"/>
  <c r="D140" i="13"/>
  <c r="A141" i="13"/>
  <c r="B141" i="13"/>
  <c r="D141" i="13"/>
  <c r="A142" i="13"/>
  <c r="B142" i="13"/>
  <c r="D142" i="13"/>
  <c r="A143" i="13"/>
  <c r="B143" i="13"/>
  <c r="D143" i="13"/>
  <c r="A144" i="13"/>
  <c r="B144" i="13"/>
  <c r="D144" i="13"/>
  <c r="A145" i="13"/>
  <c r="B145" i="13"/>
  <c r="D145" i="13"/>
  <c r="A146" i="13"/>
  <c r="B146" i="13"/>
  <c r="D146" i="13"/>
  <c r="A147" i="13"/>
  <c r="B147" i="13"/>
  <c r="D147" i="13"/>
  <c r="A148" i="13"/>
  <c r="B148" i="13"/>
  <c r="D148" i="13"/>
  <c r="A149" i="13"/>
  <c r="B149" i="13"/>
  <c r="D149" i="13"/>
  <c r="A150" i="13"/>
  <c r="B150" i="13"/>
  <c r="D150" i="13"/>
  <c r="A151" i="13"/>
  <c r="B151" i="13"/>
  <c r="D151" i="13"/>
  <c r="A152" i="13"/>
  <c r="B152" i="13"/>
  <c r="D152" i="13"/>
  <c r="A153" i="13"/>
  <c r="B153" i="13"/>
  <c r="D153" i="13"/>
  <c r="A154" i="13"/>
  <c r="B154" i="13"/>
  <c r="D154" i="13"/>
  <c r="A155" i="13"/>
  <c r="B155" i="13"/>
  <c r="D155" i="13"/>
  <c r="A156" i="13"/>
  <c r="B156" i="13"/>
  <c r="D156" i="13"/>
  <c r="A157" i="13"/>
  <c r="B157" i="13"/>
  <c r="D157" i="13"/>
  <c r="A158" i="13"/>
  <c r="B158" i="13"/>
  <c r="D158" i="13"/>
  <c r="A159" i="13"/>
  <c r="B159" i="13"/>
  <c r="D159" i="13"/>
  <c r="A160" i="13"/>
  <c r="B160" i="13"/>
  <c r="D160" i="13"/>
  <c r="A161" i="13"/>
  <c r="B161" i="13"/>
  <c r="D161" i="13"/>
  <c r="A162" i="13"/>
  <c r="B162" i="13"/>
  <c r="D162" i="13"/>
  <c r="A163" i="13"/>
  <c r="B163" i="13"/>
  <c r="D163" i="13"/>
  <c r="A164" i="13"/>
  <c r="B164" i="13"/>
  <c r="D164" i="13"/>
  <c r="A165" i="13"/>
  <c r="B165" i="13"/>
  <c r="D165" i="13"/>
  <c r="A166" i="13"/>
  <c r="B166" i="13"/>
  <c r="D166" i="13"/>
  <c r="A167" i="13"/>
  <c r="B167" i="13"/>
  <c r="D167" i="13"/>
  <c r="A168" i="13"/>
  <c r="B168" i="13"/>
  <c r="D168" i="13"/>
  <c r="A169" i="13"/>
  <c r="B169" i="13"/>
  <c r="D169" i="13"/>
  <c r="A170" i="13"/>
  <c r="B170" i="13"/>
  <c r="D170" i="13"/>
  <c r="A171" i="13"/>
  <c r="B171" i="13"/>
  <c r="D171" i="13"/>
  <c r="A172" i="13"/>
  <c r="B172" i="13"/>
  <c r="D172" i="13"/>
  <c r="A173" i="13"/>
  <c r="B173" i="13"/>
  <c r="D173" i="13"/>
  <c r="A174" i="13"/>
  <c r="B174" i="13"/>
  <c r="D174" i="13"/>
  <c r="A175" i="13"/>
  <c r="B175" i="13"/>
  <c r="D175" i="13"/>
  <c r="A176" i="13"/>
  <c r="B176" i="13"/>
  <c r="D176" i="13"/>
  <c r="A177" i="13"/>
  <c r="B177" i="13"/>
  <c r="D177" i="13"/>
  <c r="A178" i="13"/>
  <c r="B178" i="13"/>
  <c r="D178" i="13"/>
  <c r="A179" i="13"/>
  <c r="B179" i="13"/>
  <c r="D179" i="13"/>
  <c r="A180" i="13"/>
  <c r="B180" i="13"/>
  <c r="D180" i="13"/>
  <c r="A181" i="13"/>
  <c r="B181" i="13"/>
  <c r="D181" i="13"/>
  <c r="A182" i="13"/>
  <c r="B182" i="13"/>
  <c r="D182" i="13"/>
  <c r="A183" i="13"/>
  <c r="B183" i="13"/>
  <c r="D183" i="13"/>
  <c r="A184" i="13"/>
  <c r="B184" i="13"/>
  <c r="D184" i="13"/>
  <c r="A185" i="13"/>
  <c r="B185" i="13"/>
  <c r="D185" i="13"/>
  <c r="A186" i="13"/>
  <c r="B186" i="13"/>
  <c r="D186" i="13"/>
  <c r="A187" i="13"/>
  <c r="B187" i="13"/>
  <c r="D187" i="13"/>
  <c r="A188" i="13"/>
  <c r="B188" i="13"/>
  <c r="D188" i="13"/>
  <c r="A189" i="13"/>
  <c r="B189" i="13"/>
  <c r="D189" i="13"/>
  <c r="A190" i="13"/>
  <c r="B190" i="13"/>
  <c r="D190" i="13"/>
  <c r="A191" i="13"/>
  <c r="B191" i="13"/>
  <c r="D191" i="13"/>
  <c r="A192" i="13"/>
  <c r="B192" i="13"/>
  <c r="D192" i="13"/>
  <c r="A193" i="13"/>
  <c r="B193" i="13"/>
  <c r="D193" i="13"/>
  <c r="A194" i="13"/>
  <c r="B194" i="13"/>
  <c r="D194" i="13"/>
  <c r="A195" i="13"/>
  <c r="B195" i="13"/>
  <c r="D195" i="13"/>
  <c r="A196" i="13"/>
  <c r="B196" i="13"/>
  <c r="D196" i="13"/>
  <c r="A197" i="13"/>
  <c r="B197" i="13"/>
  <c r="D197" i="13"/>
  <c r="A198" i="13"/>
  <c r="B198" i="13"/>
  <c r="D198" i="13"/>
  <c r="A199" i="13"/>
  <c r="B199" i="13"/>
  <c r="D199" i="13"/>
  <c r="A200" i="13"/>
  <c r="B200" i="13"/>
  <c r="D200" i="13"/>
  <c r="A201" i="13"/>
  <c r="B201" i="13"/>
  <c r="D201" i="13"/>
  <c r="A202" i="13"/>
  <c r="B202" i="13"/>
  <c r="D202" i="13"/>
  <c r="A203" i="13"/>
  <c r="B203" i="13"/>
  <c r="D203" i="13"/>
  <c r="A204" i="13"/>
  <c r="B204" i="13"/>
  <c r="D204" i="13"/>
  <c r="A205" i="13"/>
  <c r="B205" i="13"/>
  <c r="D205" i="13"/>
  <c r="A206" i="13"/>
  <c r="B206" i="13"/>
  <c r="D206" i="13"/>
  <c r="A207" i="13"/>
  <c r="B207" i="13"/>
  <c r="D207" i="13"/>
  <c r="A208" i="13"/>
  <c r="B208" i="13"/>
  <c r="D208" i="13"/>
  <c r="A209" i="13"/>
  <c r="B209" i="13"/>
  <c r="D209" i="13"/>
  <c r="A210" i="13"/>
  <c r="B210" i="13"/>
  <c r="D210" i="13"/>
  <c r="A211" i="13"/>
  <c r="B211" i="13"/>
  <c r="D211" i="13"/>
  <c r="A212" i="13"/>
  <c r="B212" i="13"/>
  <c r="D212" i="13"/>
  <c r="A213" i="13"/>
  <c r="B213" i="13"/>
  <c r="D213" i="13"/>
  <c r="A214" i="13"/>
  <c r="B214" i="13"/>
  <c r="D214" i="13"/>
  <c r="A215" i="13"/>
  <c r="B215" i="13"/>
  <c r="D215" i="13"/>
  <c r="A216" i="13"/>
  <c r="B216" i="13"/>
  <c r="D216" i="13"/>
  <c r="A217" i="13"/>
  <c r="B217" i="13"/>
  <c r="D217" i="13"/>
  <c r="A218" i="13"/>
  <c r="B218" i="13"/>
  <c r="D218" i="13"/>
  <c r="A219" i="13"/>
  <c r="B219" i="13"/>
  <c r="D219" i="13"/>
  <c r="A220" i="13"/>
  <c r="B220" i="13"/>
  <c r="D220" i="13"/>
  <c r="A221" i="13"/>
  <c r="B221" i="13"/>
  <c r="D221" i="13"/>
  <c r="A222" i="13"/>
  <c r="B222" i="13"/>
  <c r="D222" i="13"/>
  <c r="A223" i="13"/>
  <c r="B223" i="13"/>
  <c r="D223" i="13"/>
  <c r="A224" i="13"/>
  <c r="B224" i="13"/>
  <c r="D224" i="13"/>
  <c r="A225" i="13"/>
  <c r="B225" i="13"/>
  <c r="D225" i="13"/>
  <c r="A226" i="13"/>
  <c r="B226" i="13"/>
  <c r="D226" i="13"/>
  <c r="A227" i="13"/>
  <c r="B227" i="13"/>
  <c r="D227" i="13"/>
  <c r="A228" i="13"/>
  <c r="B228" i="13"/>
  <c r="D228" i="13"/>
  <c r="A229" i="13"/>
  <c r="B229" i="13"/>
  <c r="D229" i="13"/>
  <c r="A230" i="13"/>
  <c r="B230" i="13"/>
  <c r="D230" i="13"/>
  <c r="A231" i="13"/>
  <c r="B231" i="13"/>
  <c r="D231" i="13"/>
  <c r="A232" i="13"/>
  <c r="B232" i="13"/>
  <c r="D232" i="13"/>
  <c r="A233" i="13"/>
  <c r="B233" i="13"/>
  <c r="D233" i="13"/>
  <c r="A234" i="13"/>
  <c r="B234" i="13"/>
  <c r="D234" i="13"/>
  <c r="A235" i="13"/>
  <c r="B235" i="13"/>
  <c r="D235" i="13"/>
  <c r="A236" i="13"/>
  <c r="B236" i="13"/>
  <c r="D236" i="13"/>
  <c r="A237" i="13"/>
  <c r="B237" i="13"/>
  <c r="D237" i="13"/>
  <c r="A238" i="13"/>
  <c r="B238" i="13"/>
  <c r="D238" i="13"/>
  <c r="A239" i="13"/>
  <c r="B239" i="13"/>
  <c r="D239" i="13"/>
  <c r="A240" i="13"/>
  <c r="B240" i="13"/>
  <c r="D240" i="13"/>
  <c r="A241" i="13"/>
  <c r="B241" i="13"/>
  <c r="D241" i="13"/>
  <c r="A242" i="13"/>
  <c r="B242" i="13"/>
  <c r="D242" i="13"/>
  <c r="A243" i="13"/>
  <c r="B243" i="13"/>
  <c r="D243" i="13"/>
  <c r="A244" i="13"/>
  <c r="B244" i="13"/>
  <c r="D244" i="13"/>
  <c r="A245" i="13"/>
  <c r="B245" i="13"/>
  <c r="D245" i="13"/>
  <c r="A246" i="13"/>
  <c r="B246" i="13"/>
  <c r="D246" i="13"/>
  <c r="A247" i="13"/>
  <c r="B247" i="13"/>
  <c r="D247" i="13"/>
  <c r="A248" i="13"/>
  <c r="B248" i="13"/>
  <c r="D248" i="13"/>
  <c r="A249" i="13"/>
  <c r="B249" i="13"/>
  <c r="D249" i="13"/>
  <c r="A250" i="13"/>
  <c r="B250" i="13"/>
  <c r="D250" i="13"/>
  <c r="A251" i="13"/>
  <c r="B251" i="13"/>
  <c r="D251" i="13"/>
  <c r="A252" i="13"/>
  <c r="B252" i="13"/>
  <c r="D252" i="13"/>
  <c r="A253" i="13"/>
  <c r="B253" i="13"/>
  <c r="D253" i="13"/>
  <c r="A254" i="13"/>
  <c r="B254" i="13"/>
  <c r="D254" i="13"/>
  <c r="A255" i="13"/>
  <c r="B255" i="13"/>
  <c r="D255" i="13"/>
  <c r="A256" i="13"/>
  <c r="B256" i="13"/>
  <c r="D256" i="13"/>
  <c r="A257" i="13"/>
  <c r="B257" i="13"/>
  <c r="D257" i="13"/>
  <c r="A258" i="13"/>
  <c r="B258" i="13"/>
  <c r="D258" i="13"/>
  <c r="A259" i="13"/>
  <c r="B259" i="13"/>
  <c r="D259" i="13"/>
  <c r="A260" i="13"/>
  <c r="B260" i="13"/>
  <c r="D260" i="13"/>
  <c r="A261" i="13"/>
  <c r="B261" i="13"/>
  <c r="D261" i="13"/>
  <c r="A262" i="13"/>
  <c r="B262" i="13"/>
  <c r="D262" i="13"/>
  <c r="A263" i="13"/>
  <c r="B263" i="13"/>
  <c r="D263" i="13"/>
  <c r="A264" i="13"/>
  <c r="B264" i="13"/>
  <c r="D264" i="13"/>
  <c r="A265" i="13"/>
  <c r="B265" i="13"/>
  <c r="D265" i="13"/>
  <c r="A266" i="13"/>
  <c r="B266" i="13"/>
  <c r="D266" i="13"/>
  <c r="A267" i="13"/>
  <c r="B267" i="13"/>
  <c r="D267" i="13"/>
  <c r="A268" i="13"/>
  <c r="B268" i="13"/>
  <c r="D268" i="13"/>
  <c r="A269" i="13"/>
  <c r="B269" i="13"/>
  <c r="D269" i="13"/>
  <c r="A270" i="13"/>
  <c r="B270" i="13"/>
  <c r="D270" i="13"/>
  <c r="A271" i="13"/>
  <c r="B271" i="13"/>
  <c r="D271" i="13"/>
  <c r="A272" i="13"/>
  <c r="B272" i="13"/>
  <c r="D272" i="13"/>
  <c r="A273" i="13"/>
  <c r="B273" i="13"/>
  <c r="D273" i="13"/>
  <c r="A274" i="13"/>
  <c r="B274" i="13"/>
  <c r="D274" i="13"/>
  <c r="A275" i="13"/>
  <c r="B275" i="13"/>
  <c r="D275" i="13"/>
  <c r="A276" i="13"/>
  <c r="B276" i="13"/>
  <c r="D276" i="13"/>
  <c r="A277" i="13"/>
  <c r="B277" i="13"/>
  <c r="D277" i="13"/>
  <c r="A278" i="13"/>
  <c r="B278" i="13"/>
  <c r="D278" i="13"/>
  <c r="A279" i="13"/>
  <c r="B279" i="13"/>
  <c r="D279" i="13"/>
  <c r="A280" i="13"/>
  <c r="B280" i="13"/>
  <c r="D280" i="13"/>
  <c r="A281" i="13"/>
  <c r="B281" i="13"/>
  <c r="D281" i="13"/>
  <c r="A282" i="13"/>
  <c r="B282" i="13"/>
  <c r="D282" i="13"/>
  <c r="A283" i="13"/>
  <c r="B283" i="13"/>
  <c r="D283" i="13"/>
  <c r="A284" i="13"/>
  <c r="B284" i="13"/>
  <c r="D284" i="13"/>
  <c r="A285" i="13"/>
  <c r="B285" i="13"/>
  <c r="D285" i="13"/>
  <c r="A286" i="13"/>
  <c r="B286" i="13"/>
  <c r="D286" i="13"/>
  <c r="A287" i="13"/>
  <c r="B287" i="13"/>
  <c r="D287" i="13"/>
  <c r="A288" i="13"/>
  <c r="B288" i="13"/>
  <c r="D288" i="13"/>
  <c r="A289" i="13"/>
  <c r="B289" i="13"/>
  <c r="D289" i="13"/>
  <c r="A290" i="13"/>
  <c r="B290" i="13"/>
  <c r="D290" i="13"/>
  <c r="A291" i="13"/>
  <c r="B291" i="13"/>
  <c r="D291" i="13"/>
  <c r="A292" i="13"/>
  <c r="B292" i="13"/>
  <c r="D292" i="13"/>
  <c r="A293" i="13"/>
  <c r="B293" i="13"/>
  <c r="D293" i="13"/>
  <c r="A294" i="13"/>
  <c r="B294" i="13"/>
  <c r="D294" i="13"/>
  <c r="A295" i="13"/>
  <c r="B295" i="13"/>
  <c r="D295" i="13"/>
  <c r="A296" i="13"/>
  <c r="B296" i="13"/>
  <c r="D296" i="13"/>
  <c r="A297" i="13"/>
  <c r="B297" i="13"/>
  <c r="D297" i="13"/>
  <c r="A298" i="13"/>
  <c r="B298" i="13"/>
  <c r="D298" i="13"/>
  <c r="A299" i="13"/>
  <c r="B299" i="13"/>
  <c r="D299" i="13"/>
  <c r="A300" i="13"/>
  <c r="B300" i="13"/>
  <c r="D300" i="13"/>
  <c r="A7" i="39"/>
  <c r="B7" i="39"/>
  <c r="A8" i="39"/>
  <c r="B8" i="39"/>
  <c r="A9" i="39"/>
  <c r="B9" i="39"/>
  <c r="A10" i="39"/>
  <c r="B10" i="39"/>
  <c r="A11" i="39"/>
  <c r="B11" i="39"/>
  <c r="A12" i="39"/>
  <c r="B12" i="39"/>
  <c r="A13" i="39"/>
  <c r="B13" i="39"/>
  <c r="A14" i="39"/>
  <c r="B14" i="39"/>
  <c r="A15" i="39"/>
  <c r="B15" i="39"/>
  <c r="A16" i="39"/>
  <c r="B16" i="39"/>
  <c r="A17" i="39"/>
  <c r="B17" i="39"/>
  <c r="A18" i="39"/>
  <c r="B18" i="39"/>
  <c r="A19" i="39"/>
  <c r="B19" i="39"/>
  <c r="A20" i="39"/>
  <c r="B20" i="39"/>
  <c r="A21" i="39"/>
  <c r="B21" i="39"/>
  <c r="A22" i="39"/>
  <c r="B22" i="39"/>
  <c r="A23" i="39"/>
  <c r="B23" i="39"/>
  <c r="A24" i="39"/>
  <c r="B24" i="39"/>
  <c r="A25" i="39"/>
  <c r="B25" i="39"/>
  <c r="A26" i="39"/>
  <c r="B26" i="39"/>
  <c r="A27" i="39"/>
  <c r="B27" i="39"/>
  <c r="A28" i="39"/>
  <c r="B28" i="39"/>
  <c r="A29" i="39"/>
  <c r="B29" i="39"/>
  <c r="A30" i="39"/>
  <c r="B30" i="39"/>
  <c r="A31" i="39"/>
  <c r="B31" i="39"/>
  <c r="A32" i="39"/>
  <c r="B32" i="39"/>
  <c r="A33" i="39"/>
  <c r="B33" i="39"/>
  <c r="A34" i="39"/>
  <c r="B34" i="39"/>
  <c r="A35" i="39"/>
  <c r="B35" i="39"/>
  <c r="A36" i="39"/>
  <c r="B36"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A61" i="39"/>
  <c r="B61" i="39"/>
  <c r="A62" i="39"/>
  <c r="B62" i="39"/>
  <c r="A63" i="39"/>
  <c r="B63" i="39"/>
  <c r="A64" i="39"/>
  <c r="B64" i="39"/>
  <c r="A65" i="39"/>
  <c r="B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A81" i="39"/>
  <c r="B81" i="39"/>
  <c r="A82" i="39"/>
  <c r="B82" i="39"/>
  <c r="A83" i="39"/>
  <c r="B83" i="39"/>
  <c r="A84" i="39"/>
  <c r="B84" i="39"/>
  <c r="A85" i="39"/>
  <c r="B85" i="39"/>
  <c r="A86" i="39"/>
  <c r="B86" i="39"/>
  <c r="A87" i="39"/>
  <c r="B87" i="39"/>
  <c r="A88" i="39"/>
  <c r="B88" i="39"/>
  <c r="A89" i="39"/>
  <c r="B89" i="39"/>
  <c r="A90" i="39"/>
  <c r="B90" i="39"/>
  <c r="A91" i="39"/>
  <c r="B91" i="39"/>
  <c r="A92" i="39"/>
  <c r="B92" i="39"/>
  <c r="A93" i="39"/>
  <c r="B93" i="39"/>
  <c r="A94" i="39"/>
  <c r="B94" i="39"/>
  <c r="A95" i="39"/>
  <c r="B95" i="39"/>
  <c r="A96" i="39"/>
  <c r="B96" i="39"/>
  <c r="A97" i="39"/>
  <c r="B97" i="39"/>
  <c r="A98" i="39"/>
  <c r="B98" i="39"/>
  <c r="A99" i="39"/>
  <c r="B99" i="39"/>
  <c r="A100" i="39"/>
  <c r="B100" i="39"/>
  <c r="A101" i="39"/>
  <c r="B101" i="39"/>
  <c r="A102" i="39"/>
  <c r="B102" i="39"/>
  <c r="A103" i="39"/>
  <c r="B103" i="39"/>
  <c r="A104" i="39"/>
  <c r="B104" i="39"/>
  <c r="A105" i="39"/>
  <c r="B105" i="39"/>
  <c r="A106" i="39"/>
  <c r="B106" i="39"/>
  <c r="A107" i="39"/>
  <c r="B107" i="39"/>
  <c r="A108" i="39"/>
  <c r="B108" i="39"/>
  <c r="A109" i="39"/>
  <c r="B109" i="39"/>
  <c r="A110" i="39"/>
  <c r="B110" i="39"/>
  <c r="A111" i="39"/>
  <c r="B111" i="39"/>
  <c r="A112" i="39"/>
  <c r="B112" i="39"/>
  <c r="A113" i="39"/>
  <c r="B113" i="39"/>
  <c r="A114" i="39"/>
  <c r="B114" i="39"/>
  <c r="A115" i="39"/>
  <c r="B115" i="39"/>
  <c r="A116" i="39"/>
  <c r="B116" i="39"/>
  <c r="A117" i="39"/>
  <c r="B117" i="39"/>
  <c r="A118" i="39"/>
  <c r="B118" i="39"/>
  <c r="A119" i="39"/>
  <c r="B119" i="39"/>
  <c r="A120" i="39"/>
  <c r="B120" i="39"/>
  <c r="A121" i="39"/>
  <c r="B121" i="39"/>
  <c r="A122" i="39"/>
  <c r="B122" i="39"/>
  <c r="A123" i="39"/>
  <c r="B123" i="39"/>
  <c r="A124" i="39"/>
  <c r="B124" i="39"/>
  <c r="A125" i="39"/>
  <c r="B125" i="39"/>
  <c r="A126" i="39"/>
  <c r="B126" i="39"/>
  <c r="A127" i="39"/>
  <c r="B127" i="39"/>
  <c r="A128" i="39"/>
  <c r="B128" i="39"/>
  <c r="A129" i="39"/>
  <c r="B129" i="39"/>
  <c r="A130" i="39"/>
  <c r="B130" i="39"/>
  <c r="A131" i="39"/>
  <c r="B131" i="39"/>
  <c r="A132" i="39"/>
  <c r="B132" i="39"/>
  <c r="A133" i="39"/>
  <c r="B133" i="39"/>
  <c r="A134" i="39"/>
  <c r="B134" i="39"/>
  <c r="A135" i="39"/>
  <c r="B135" i="39"/>
  <c r="A136" i="39"/>
  <c r="B136" i="39"/>
  <c r="A137" i="39"/>
  <c r="B137" i="39"/>
  <c r="A138" i="39"/>
  <c r="B138" i="39"/>
  <c r="A139" i="39"/>
  <c r="B139" i="39"/>
  <c r="A140" i="39"/>
  <c r="B140" i="39"/>
  <c r="A141" i="39"/>
  <c r="B141" i="39"/>
  <c r="A142" i="39"/>
  <c r="B142" i="39"/>
  <c r="A143" i="39"/>
  <c r="B143" i="39"/>
  <c r="A144" i="39"/>
  <c r="B144" i="39"/>
  <c r="A145" i="39"/>
  <c r="B145" i="39"/>
  <c r="A146" i="39"/>
  <c r="B146" i="39"/>
  <c r="A147" i="39"/>
  <c r="B147" i="39"/>
  <c r="A148" i="39"/>
  <c r="B148" i="39"/>
  <c r="A149" i="39"/>
  <c r="B149" i="39"/>
  <c r="A150" i="39"/>
  <c r="B150" i="39"/>
  <c r="A151" i="39"/>
  <c r="B151" i="39"/>
  <c r="A152" i="39"/>
  <c r="B152" i="39"/>
  <c r="A153" i="39"/>
  <c r="B153" i="39"/>
  <c r="A154" i="39"/>
  <c r="B154" i="39"/>
  <c r="A155" i="39"/>
  <c r="B155" i="39"/>
  <c r="A156" i="39"/>
  <c r="B156" i="39"/>
  <c r="A157" i="39"/>
  <c r="B157" i="39"/>
  <c r="A158" i="39"/>
  <c r="B158" i="39"/>
  <c r="A159" i="39"/>
  <c r="B159" i="39"/>
  <c r="A160" i="39"/>
  <c r="B160" i="39"/>
  <c r="A161" i="39"/>
  <c r="B161" i="39"/>
  <c r="A162" i="39"/>
  <c r="B162" i="39"/>
  <c r="A163" i="39"/>
  <c r="B163" i="39"/>
  <c r="A164" i="39"/>
  <c r="B164" i="39"/>
  <c r="A165" i="39"/>
  <c r="B165" i="39"/>
  <c r="A166" i="39"/>
  <c r="B166" i="39"/>
  <c r="A167" i="39"/>
  <c r="B167" i="39"/>
  <c r="A168" i="39"/>
  <c r="B168" i="39"/>
  <c r="A169" i="39"/>
  <c r="B169" i="39"/>
  <c r="A170" i="39"/>
  <c r="B170" i="39"/>
  <c r="A171" i="39"/>
  <c r="B171" i="39"/>
  <c r="A172" i="39"/>
  <c r="B172" i="39"/>
  <c r="A173" i="39"/>
  <c r="B173" i="39"/>
  <c r="A174" i="39"/>
  <c r="B174" i="39"/>
  <c r="A175" i="39"/>
  <c r="B175" i="39"/>
  <c r="A176" i="39"/>
  <c r="B176" i="39"/>
  <c r="A177" i="39"/>
  <c r="B177" i="39"/>
  <c r="A178" i="39"/>
  <c r="B178" i="39"/>
  <c r="A179" i="39"/>
  <c r="B179" i="39"/>
  <c r="A180" i="39"/>
  <c r="B180" i="39"/>
  <c r="A181" i="39"/>
  <c r="B181" i="39"/>
  <c r="A182" i="39"/>
  <c r="B182" i="39"/>
  <c r="A183" i="39"/>
  <c r="B183" i="39"/>
  <c r="A184" i="39"/>
  <c r="B184" i="39"/>
  <c r="A185" i="39"/>
  <c r="B185" i="39"/>
  <c r="A186" i="39"/>
  <c r="B186" i="39"/>
  <c r="A187" i="39"/>
  <c r="B187" i="39"/>
  <c r="A188" i="39"/>
  <c r="B188" i="39"/>
  <c r="A189" i="39"/>
  <c r="B189" i="39"/>
  <c r="A190" i="39"/>
  <c r="B190" i="39"/>
  <c r="A191" i="39"/>
  <c r="B191" i="39"/>
  <c r="A192" i="39"/>
  <c r="B192" i="39"/>
  <c r="A193" i="39"/>
  <c r="B193" i="39"/>
  <c r="A194" i="39"/>
  <c r="B194" i="39"/>
  <c r="A195" i="39"/>
  <c r="B195" i="39"/>
  <c r="A196" i="39"/>
  <c r="B196" i="39"/>
  <c r="A197" i="39"/>
  <c r="B197" i="39"/>
  <c r="A198" i="39"/>
  <c r="B198" i="39"/>
  <c r="A199" i="39"/>
  <c r="B199" i="39"/>
  <c r="A200" i="39"/>
  <c r="B200" i="39"/>
  <c r="A201" i="39"/>
  <c r="B201" i="39"/>
  <c r="A202" i="39"/>
  <c r="B202" i="39"/>
  <c r="A203" i="39"/>
  <c r="B203" i="39"/>
  <c r="A204" i="39"/>
  <c r="B204" i="39"/>
  <c r="A205" i="39"/>
  <c r="B205" i="39"/>
  <c r="A206" i="39"/>
  <c r="B206" i="39"/>
  <c r="A207" i="39"/>
  <c r="B207" i="39"/>
  <c r="A208" i="39"/>
  <c r="B208" i="39"/>
  <c r="A209" i="39"/>
  <c r="B209" i="39"/>
  <c r="A210" i="39"/>
  <c r="B210" i="39"/>
  <c r="A211" i="39"/>
  <c r="B211" i="39"/>
  <c r="A212" i="39"/>
  <c r="B212" i="39"/>
  <c r="A213" i="39"/>
  <c r="B213" i="39"/>
  <c r="A214" i="39"/>
  <c r="B214" i="39"/>
  <c r="A215" i="39"/>
  <c r="B215" i="39"/>
  <c r="A216" i="39"/>
  <c r="B216" i="39"/>
  <c r="A217" i="39"/>
  <c r="B217" i="39"/>
  <c r="A218" i="39"/>
  <c r="B218" i="39"/>
  <c r="A219" i="39"/>
  <c r="B219" i="39"/>
  <c r="A220" i="39"/>
  <c r="B220" i="39"/>
  <c r="A221" i="39"/>
  <c r="B221" i="39"/>
  <c r="A222" i="39"/>
  <c r="B222" i="39"/>
  <c r="A223" i="39"/>
  <c r="B223" i="39"/>
  <c r="A224" i="39"/>
  <c r="B224" i="39"/>
  <c r="A225" i="39"/>
  <c r="B225" i="39"/>
  <c r="A226" i="39"/>
  <c r="B226" i="39"/>
  <c r="A227" i="39"/>
  <c r="B227" i="39"/>
  <c r="A228" i="39"/>
  <c r="B228" i="39"/>
  <c r="A229" i="39"/>
  <c r="B229" i="39"/>
  <c r="A230" i="39"/>
  <c r="B230" i="39"/>
  <c r="A231" i="39"/>
  <c r="B231" i="39"/>
  <c r="A232" i="39"/>
  <c r="B232" i="39"/>
  <c r="A233" i="39"/>
  <c r="B233" i="39"/>
  <c r="A234" i="39"/>
  <c r="B234" i="39"/>
  <c r="A235" i="39"/>
  <c r="B235" i="39"/>
  <c r="A236" i="39"/>
  <c r="B236" i="39"/>
  <c r="A237" i="39"/>
  <c r="B237" i="39"/>
  <c r="A238" i="39"/>
  <c r="B238" i="39"/>
  <c r="A239" i="39"/>
  <c r="B239" i="39"/>
  <c r="A240" i="39"/>
  <c r="B240" i="39"/>
  <c r="A241" i="39"/>
  <c r="B241" i="39"/>
  <c r="A242" i="39"/>
  <c r="B242" i="39"/>
  <c r="A243" i="39"/>
  <c r="B243" i="39"/>
  <c r="A244" i="39"/>
  <c r="B244" i="39"/>
  <c r="A245" i="39"/>
  <c r="B245" i="39"/>
  <c r="A246" i="39"/>
  <c r="B246" i="39"/>
  <c r="A247" i="39"/>
  <c r="B247" i="39"/>
  <c r="A248" i="39"/>
  <c r="B248" i="39"/>
  <c r="A249" i="39"/>
  <c r="B249" i="39"/>
  <c r="A250" i="39"/>
  <c r="B250" i="39"/>
  <c r="A251" i="39"/>
  <c r="B251" i="39"/>
  <c r="A252" i="39"/>
  <c r="B252" i="39"/>
  <c r="A253" i="39"/>
  <c r="B253" i="39"/>
  <c r="A254" i="39"/>
  <c r="B254" i="39"/>
  <c r="A255" i="39"/>
  <c r="B255" i="39"/>
  <c r="A256" i="39"/>
  <c r="B256" i="39"/>
  <c r="A257" i="39"/>
  <c r="B257" i="39"/>
  <c r="A258" i="39"/>
  <c r="B258" i="39"/>
  <c r="A259" i="39"/>
  <c r="B259" i="39"/>
  <c r="A260" i="39"/>
  <c r="B260" i="39"/>
  <c r="A261" i="39"/>
  <c r="B261" i="39"/>
  <c r="A262" i="39"/>
  <c r="B262" i="39"/>
  <c r="A263" i="39"/>
  <c r="B263" i="39"/>
  <c r="A264" i="39"/>
  <c r="B264" i="39"/>
  <c r="A265" i="39"/>
  <c r="B265" i="39"/>
  <c r="A266" i="39"/>
  <c r="B266" i="39"/>
  <c r="A267" i="39"/>
  <c r="B267" i="39"/>
  <c r="A268" i="39"/>
  <c r="B268" i="39"/>
  <c r="A269" i="39"/>
  <c r="B269" i="39"/>
  <c r="A270" i="39"/>
  <c r="B270" i="39"/>
  <c r="A271" i="39"/>
  <c r="B271" i="39"/>
  <c r="A272" i="39"/>
  <c r="B272" i="39"/>
  <c r="A273" i="39"/>
  <c r="B273" i="39"/>
  <c r="A274" i="39"/>
  <c r="B274" i="39"/>
  <c r="A275" i="39"/>
  <c r="B275" i="39"/>
  <c r="A276" i="39"/>
  <c r="B276" i="39"/>
  <c r="A277" i="39"/>
  <c r="B277" i="39"/>
  <c r="A278" i="39"/>
  <c r="B278" i="39"/>
  <c r="A279" i="39"/>
  <c r="B279" i="39"/>
  <c r="A280" i="39"/>
  <c r="B280" i="39"/>
  <c r="A281" i="39"/>
  <c r="B281" i="39"/>
  <c r="A282" i="39"/>
  <c r="B282" i="39"/>
  <c r="A283" i="39"/>
  <c r="B283" i="39"/>
  <c r="A284" i="39"/>
  <c r="B284" i="39"/>
  <c r="A285" i="39"/>
  <c r="B285" i="39"/>
  <c r="A286" i="39"/>
  <c r="B286" i="39"/>
  <c r="A287" i="39"/>
  <c r="B287" i="39"/>
  <c r="A288" i="39"/>
  <c r="B288" i="39"/>
  <c r="A289" i="39"/>
  <c r="B289" i="39"/>
  <c r="A290" i="39"/>
  <c r="B290" i="39"/>
  <c r="A291" i="39"/>
  <c r="B291" i="39"/>
  <c r="A292" i="39"/>
  <c r="B292" i="39"/>
  <c r="A293" i="39"/>
  <c r="B293" i="39"/>
  <c r="A294" i="39"/>
  <c r="B294" i="39"/>
  <c r="A295" i="39"/>
  <c r="B295" i="39"/>
  <c r="A296" i="39"/>
  <c r="B296" i="39"/>
  <c r="A297" i="39"/>
  <c r="B297" i="39"/>
  <c r="A298" i="39"/>
  <c r="B298" i="39"/>
  <c r="A299" i="39"/>
  <c r="B299" i="39"/>
  <c r="A300" i="39"/>
  <c r="B300" i="39"/>
  <c r="A301" i="39"/>
  <c r="B301" i="39"/>
  <c r="A302" i="39"/>
  <c r="B302" i="39"/>
  <c r="A303" i="39"/>
  <c r="B303" i="39"/>
  <c r="A304" i="39"/>
  <c r="B304" i="39"/>
  <c r="A305" i="39"/>
  <c r="B305" i="39"/>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7" i="11"/>
  <c r="B7" i="11"/>
  <c r="E7" i="11"/>
  <c r="J7" i="11"/>
  <c r="A8" i="11"/>
  <c r="B8" i="11"/>
  <c r="E8" i="11"/>
  <c r="J8" i="11"/>
  <c r="A9" i="11"/>
  <c r="B9" i="11"/>
  <c r="E9" i="11"/>
  <c r="J9" i="11"/>
  <c r="A10" i="11"/>
  <c r="B10" i="11"/>
  <c r="E10" i="11"/>
  <c r="J10" i="11"/>
  <c r="A11" i="11"/>
  <c r="B11" i="11"/>
  <c r="E11" i="11"/>
  <c r="J11" i="11"/>
  <c r="A12" i="11"/>
  <c r="B12" i="11"/>
  <c r="E12" i="11"/>
  <c r="J12" i="11"/>
  <c r="A13" i="11"/>
  <c r="B13" i="11"/>
  <c r="E13" i="11"/>
  <c r="J13" i="11"/>
  <c r="A14" i="11"/>
  <c r="B14" i="11"/>
  <c r="J14" i="11"/>
  <c r="A15" i="11"/>
  <c r="B15" i="11"/>
  <c r="E15" i="11"/>
  <c r="J15" i="11"/>
  <c r="A16" i="11"/>
  <c r="B16" i="11"/>
  <c r="E16" i="11"/>
  <c r="J16" i="11"/>
  <c r="A17" i="11"/>
  <c r="B17" i="11"/>
  <c r="E17" i="11"/>
  <c r="J17" i="11"/>
  <c r="A18" i="11"/>
  <c r="B18" i="11"/>
  <c r="E18" i="11"/>
  <c r="J18" i="11"/>
  <c r="A19" i="11"/>
  <c r="B19" i="11"/>
  <c r="E19" i="11"/>
  <c r="J19" i="11"/>
  <c r="A20" i="11"/>
  <c r="B20" i="11"/>
  <c r="E20" i="11"/>
  <c r="J20" i="11"/>
  <c r="A21" i="11"/>
  <c r="B21" i="11"/>
  <c r="E21" i="11"/>
  <c r="J21" i="11"/>
  <c r="A22" i="11"/>
  <c r="B22" i="11"/>
  <c r="E22" i="11"/>
  <c r="J22" i="11"/>
  <c r="A23" i="11"/>
  <c r="B23" i="11"/>
  <c r="E23" i="11"/>
  <c r="J23" i="11"/>
  <c r="A24" i="11"/>
  <c r="B24" i="11"/>
  <c r="E24" i="11"/>
  <c r="J24" i="11"/>
  <c r="A25" i="11"/>
  <c r="B25" i="11"/>
  <c r="E25" i="11"/>
  <c r="J25" i="11"/>
  <c r="A26" i="11"/>
  <c r="B26" i="11"/>
  <c r="E26" i="11"/>
  <c r="J26" i="11"/>
  <c r="A27" i="11"/>
  <c r="B27" i="11"/>
  <c r="E27" i="11"/>
  <c r="J27" i="11"/>
  <c r="A28" i="11"/>
  <c r="B28" i="11"/>
  <c r="E28" i="11"/>
  <c r="J28" i="11"/>
  <c r="A29" i="11"/>
  <c r="B29" i="11"/>
  <c r="E29" i="11"/>
  <c r="J29" i="11"/>
  <c r="A30" i="11"/>
  <c r="B30" i="11"/>
  <c r="E30" i="11"/>
  <c r="J30" i="11"/>
  <c r="A31" i="11"/>
  <c r="B31" i="11"/>
  <c r="E31" i="11"/>
  <c r="J31" i="11"/>
  <c r="A32" i="11"/>
  <c r="B32" i="11"/>
  <c r="E32" i="11"/>
  <c r="J32" i="11"/>
  <c r="A33" i="11"/>
  <c r="B33" i="11"/>
  <c r="E33" i="11"/>
  <c r="J33" i="11"/>
  <c r="A34" i="11"/>
  <c r="B34" i="11"/>
  <c r="E34" i="11"/>
  <c r="J34" i="11"/>
  <c r="A35" i="11"/>
  <c r="B35" i="11"/>
  <c r="E35" i="11"/>
  <c r="J35" i="11"/>
  <c r="A36" i="11"/>
  <c r="B36" i="11"/>
  <c r="E36" i="11"/>
  <c r="J36" i="11"/>
  <c r="A37" i="11"/>
  <c r="B37" i="11"/>
  <c r="E37" i="11"/>
  <c r="J37" i="11"/>
  <c r="A38" i="11"/>
  <c r="B38" i="11"/>
  <c r="E38" i="11"/>
  <c r="J38" i="11"/>
  <c r="A39" i="11"/>
  <c r="B39" i="11"/>
  <c r="E39" i="11"/>
  <c r="J39" i="11"/>
  <c r="A40" i="11"/>
  <c r="B40" i="11"/>
  <c r="E40" i="11"/>
  <c r="J40" i="11"/>
  <c r="A41" i="11"/>
  <c r="B41" i="11"/>
  <c r="E41" i="11"/>
  <c r="J41" i="11"/>
  <c r="A42" i="11"/>
  <c r="B42" i="11"/>
  <c r="E42" i="11"/>
  <c r="J42" i="11"/>
  <c r="A43" i="11"/>
  <c r="B43" i="11"/>
  <c r="E43" i="11"/>
  <c r="J43" i="11"/>
  <c r="A44" i="11"/>
  <c r="B44" i="11"/>
  <c r="E44" i="11"/>
  <c r="J44" i="11"/>
  <c r="A45" i="11"/>
  <c r="B45" i="11"/>
  <c r="E45" i="11"/>
  <c r="J45" i="11"/>
  <c r="A46" i="11"/>
  <c r="B46" i="11"/>
  <c r="E46" i="11"/>
  <c r="J46" i="11"/>
  <c r="A47" i="11"/>
  <c r="B47" i="11"/>
  <c r="E47" i="11"/>
  <c r="J47" i="11"/>
  <c r="A48" i="11"/>
  <c r="B48" i="11"/>
  <c r="E48" i="11"/>
  <c r="J48" i="11"/>
  <c r="A49" i="11"/>
  <c r="B49" i="11"/>
  <c r="E49" i="11"/>
  <c r="J49" i="11"/>
  <c r="A50" i="11"/>
  <c r="B50" i="11"/>
  <c r="E50" i="11"/>
  <c r="J50" i="11"/>
  <c r="A51" i="11"/>
  <c r="B51" i="11"/>
  <c r="E51" i="11"/>
  <c r="J51" i="11"/>
  <c r="A52" i="11"/>
  <c r="B52" i="11"/>
  <c r="E52" i="11"/>
  <c r="J52" i="11"/>
  <c r="A53" i="11"/>
  <c r="B53" i="11"/>
  <c r="E53" i="11"/>
  <c r="J53" i="11"/>
  <c r="A54" i="11"/>
  <c r="B54" i="11"/>
  <c r="E54" i="11"/>
  <c r="J54" i="11"/>
  <c r="A55" i="11"/>
  <c r="B55" i="11"/>
  <c r="E55" i="11"/>
  <c r="J55" i="11"/>
  <c r="A56" i="11"/>
  <c r="B56" i="11"/>
  <c r="E56" i="11"/>
  <c r="J56" i="11"/>
  <c r="A57" i="11"/>
  <c r="B57" i="11"/>
  <c r="E57" i="11"/>
  <c r="J57" i="11"/>
  <c r="A58" i="11"/>
  <c r="B58" i="11"/>
  <c r="E58" i="11"/>
  <c r="J58" i="11"/>
  <c r="A59" i="11"/>
  <c r="B59" i="11"/>
  <c r="E59" i="11"/>
  <c r="J59" i="11"/>
  <c r="A60" i="11"/>
  <c r="B60" i="11"/>
  <c r="E60" i="11"/>
  <c r="J60" i="11"/>
  <c r="A61" i="11"/>
  <c r="B61" i="11"/>
  <c r="E61" i="11"/>
  <c r="J61" i="11"/>
  <c r="A62" i="11"/>
  <c r="B62" i="11"/>
  <c r="E62" i="11"/>
  <c r="J62" i="11"/>
  <c r="A63" i="11"/>
  <c r="B63" i="11"/>
  <c r="E63" i="11"/>
  <c r="J63" i="11"/>
  <c r="A64" i="11"/>
  <c r="B64" i="11"/>
  <c r="E64" i="11"/>
  <c r="J64" i="11"/>
  <c r="A65" i="11"/>
  <c r="B65" i="11"/>
  <c r="E65" i="11"/>
  <c r="J65" i="11"/>
  <c r="A66" i="11"/>
  <c r="B66" i="11"/>
  <c r="E66" i="11"/>
  <c r="J66" i="11"/>
  <c r="A67" i="11"/>
  <c r="B67" i="11"/>
  <c r="E67" i="11"/>
  <c r="J67" i="11"/>
  <c r="A68" i="11"/>
  <c r="B68" i="11"/>
  <c r="E68" i="11"/>
  <c r="J68" i="11"/>
  <c r="A69" i="11"/>
  <c r="B69" i="11"/>
  <c r="E69" i="11"/>
  <c r="J69" i="11"/>
  <c r="A70" i="11"/>
  <c r="B70" i="11"/>
  <c r="E70" i="11"/>
  <c r="J70" i="11"/>
  <c r="A71" i="11"/>
  <c r="B71" i="11"/>
  <c r="E71" i="11"/>
  <c r="J71" i="11"/>
  <c r="A72" i="11"/>
  <c r="B72" i="11"/>
  <c r="E72" i="11"/>
  <c r="J72" i="11"/>
  <c r="A73" i="11"/>
  <c r="B73" i="11"/>
  <c r="E73" i="11"/>
  <c r="J73" i="11"/>
  <c r="A74" i="11"/>
  <c r="B74" i="11"/>
  <c r="E74" i="11"/>
  <c r="J74" i="11"/>
  <c r="A75" i="11"/>
  <c r="B75" i="11"/>
  <c r="E75" i="11"/>
  <c r="J75" i="11"/>
  <c r="A76" i="11"/>
  <c r="B76" i="11"/>
  <c r="E76" i="11"/>
  <c r="J76" i="11"/>
  <c r="A77" i="11"/>
  <c r="B77" i="11"/>
  <c r="E77" i="11"/>
  <c r="J77" i="11"/>
  <c r="A78" i="11"/>
  <c r="B78" i="11"/>
  <c r="E78" i="11"/>
  <c r="J78" i="11"/>
  <c r="A79" i="11"/>
  <c r="B79" i="11"/>
  <c r="E79" i="11"/>
  <c r="J79" i="11"/>
  <c r="A80" i="11"/>
  <c r="B80" i="11"/>
  <c r="E80" i="11"/>
  <c r="J80" i="11"/>
  <c r="A81" i="11"/>
  <c r="B81" i="11"/>
  <c r="E81" i="11"/>
  <c r="J81" i="11"/>
  <c r="A82" i="11"/>
  <c r="B82" i="11"/>
  <c r="E82" i="11"/>
  <c r="J82" i="11"/>
  <c r="A83" i="11"/>
  <c r="B83" i="11"/>
  <c r="E83" i="11"/>
  <c r="J83" i="11"/>
  <c r="A84" i="11"/>
  <c r="B84" i="11"/>
  <c r="E84" i="11"/>
  <c r="J84" i="11"/>
  <c r="A85" i="11"/>
  <c r="B85" i="11"/>
  <c r="E85" i="11"/>
  <c r="J85" i="11"/>
  <c r="A86" i="11"/>
  <c r="B86" i="11"/>
  <c r="E86" i="11"/>
  <c r="J86" i="11"/>
  <c r="A87" i="11"/>
  <c r="B87" i="11"/>
  <c r="E87" i="11"/>
  <c r="J87" i="11"/>
  <c r="A88" i="11"/>
  <c r="B88" i="11"/>
  <c r="E88" i="11"/>
  <c r="J88" i="11"/>
  <c r="A89" i="11"/>
  <c r="B89" i="11"/>
  <c r="E89" i="11"/>
  <c r="J89" i="11"/>
  <c r="A90" i="11"/>
  <c r="B90" i="11"/>
  <c r="E90" i="11"/>
  <c r="J90" i="11"/>
  <c r="A91" i="11"/>
  <c r="B91" i="11"/>
  <c r="E91" i="11"/>
  <c r="J91" i="11"/>
  <c r="A92" i="11"/>
  <c r="B92" i="11"/>
  <c r="E92" i="11"/>
  <c r="J92" i="11"/>
  <c r="A93" i="11"/>
  <c r="B93" i="11"/>
  <c r="E93" i="11"/>
  <c r="J93" i="11"/>
  <c r="A94" i="11"/>
  <c r="B94" i="11"/>
  <c r="E94" i="11"/>
  <c r="J94" i="11"/>
  <c r="A95" i="11"/>
  <c r="B95" i="11"/>
  <c r="E95" i="11"/>
  <c r="J95" i="11"/>
  <c r="A96" i="11"/>
  <c r="B96" i="11"/>
  <c r="E96" i="11"/>
  <c r="J96" i="11"/>
  <c r="A97" i="11"/>
  <c r="B97" i="11"/>
  <c r="E97" i="11"/>
  <c r="J97" i="11"/>
  <c r="A98" i="11"/>
  <c r="B98" i="11"/>
  <c r="E98" i="11"/>
  <c r="J98" i="11"/>
  <c r="A99" i="11"/>
  <c r="B99" i="11"/>
  <c r="E99" i="11"/>
  <c r="J99" i="11"/>
  <c r="A100" i="11"/>
  <c r="B100" i="11"/>
  <c r="E100" i="11"/>
  <c r="J100" i="11"/>
  <c r="A101" i="11"/>
  <c r="B101" i="11"/>
  <c r="E101" i="11"/>
  <c r="J101" i="11"/>
  <c r="A102" i="11"/>
  <c r="B102" i="11"/>
  <c r="E102" i="11"/>
  <c r="J102" i="11"/>
  <c r="A103" i="11"/>
  <c r="B103" i="11"/>
  <c r="E103" i="11"/>
  <c r="J103" i="11"/>
  <c r="A104" i="11"/>
  <c r="B104" i="11"/>
  <c r="E104" i="11"/>
  <c r="J104" i="11"/>
  <c r="A105" i="11"/>
  <c r="B105" i="11"/>
  <c r="E105" i="11"/>
  <c r="J105" i="11"/>
  <c r="A106" i="11"/>
  <c r="B106" i="11"/>
  <c r="E106" i="11"/>
  <c r="J106" i="11"/>
  <c r="A107" i="11"/>
  <c r="B107" i="11"/>
  <c r="E107" i="11"/>
  <c r="J107" i="11"/>
  <c r="A108" i="11"/>
  <c r="B108" i="11"/>
  <c r="E108" i="11"/>
  <c r="J108" i="11"/>
  <c r="A109" i="11"/>
  <c r="B109" i="11"/>
  <c r="E109" i="11"/>
  <c r="J109" i="11"/>
  <c r="A110" i="11"/>
  <c r="B110" i="11"/>
  <c r="E110" i="11"/>
  <c r="J110" i="11"/>
  <c r="A111" i="11"/>
  <c r="B111" i="11"/>
  <c r="E111" i="11"/>
  <c r="J111" i="11"/>
  <c r="A112" i="11"/>
  <c r="B112" i="11"/>
  <c r="E112" i="11"/>
  <c r="J112" i="11"/>
  <c r="A113" i="11"/>
  <c r="B113" i="11"/>
  <c r="E113" i="11"/>
  <c r="J113" i="11"/>
  <c r="A114" i="11"/>
  <c r="B114" i="11"/>
  <c r="E114" i="11"/>
  <c r="J114" i="11"/>
  <c r="A115" i="11"/>
  <c r="B115" i="11"/>
  <c r="E115" i="11"/>
  <c r="J115" i="11"/>
  <c r="A116" i="11"/>
  <c r="B116" i="11"/>
  <c r="E116" i="11"/>
  <c r="J116" i="11"/>
  <c r="A117" i="11"/>
  <c r="B117" i="11"/>
  <c r="E117" i="11"/>
  <c r="J117" i="11"/>
  <c r="A118" i="11"/>
  <c r="B118" i="11"/>
  <c r="E118" i="11"/>
  <c r="J118" i="11"/>
  <c r="A119" i="11"/>
  <c r="B119" i="11"/>
  <c r="E119" i="11"/>
  <c r="J119" i="11"/>
  <c r="A120" i="11"/>
  <c r="B120" i="11"/>
  <c r="E120" i="11"/>
  <c r="J120" i="11"/>
  <c r="A121" i="11"/>
  <c r="B121" i="11"/>
  <c r="E121" i="11"/>
  <c r="J121" i="11"/>
  <c r="A122" i="11"/>
  <c r="B122" i="11"/>
  <c r="E122" i="11"/>
  <c r="J122" i="11"/>
  <c r="A123" i="11"/>
  <c r="B123" i="11"/>
  <c r="E123" i="11"/>
  <c r="J123" i="11"/>
  <c r="A124" i="11"/>
  <c r="B124" i="11"/>
  <c r="E124" i="11"/>
  <c r="J124" i="11"/>
  <c r="A125" i="11"/>
  <c r="B125" i="11"/>
  <c r="E125" i="11"/>
  <c r="J125" i="11"/>
  <c r="A126" i="11"/>
  <c r="B126" i="11"/>
  <c r="E126" i="11"/>
  <c r="J126" i="11"/>
  <c r="A127" i="11"/>
  <c r="B127" i="11"/>
  <c r="E127" i="11"/>
  <c r="J127" i="11"/>
  <c r="A128" i="11"/>
  <c r="B128" i="11"/>
  <c r="E128" i="11"/>
  <c r="J128" i="11"/>
  <c r="A129" i="11"/>
  <c r="B129" i="11"/>
  <c r="E129" i="11"/>
  <c r="J129" i="11"/>
  <c r="A130" i="11"/>
  <c r="B130" i="11"/>
  <c r="E130" i="11"/>
  <c r="J130" i="11"/>
  <c r="A131" i="11"/>
  <c r="B131" i="11"/>
  <c r="E131" i="11"/>
  <c r="J131" i="11"/>
  <c r="A132" i="11"/>
  <c r="B132" i="11"/>
  <c r="E132" i="11"/>
  <c r="J132" i="11"/>
  <c r="A133" i="11"/>
  <c r="B133" i="11"/>
  <c r="E133" i="11"/>
  <c r="J133" i="11"/>
  <c r="A134" i="11"/>
  <c r="B134" i="11"/>
  <c r="E134" i="11"/>
  <c r="J134" i="11"/>
  <c r="A135" i="11"/>
  <c r="B135" i="11"/>
  <c r="E135" i="11"/>
  <c r="J135" i="11"/>
  <c r="A136" i="11"/>
  <c r="B136" i="11"/>
  <c r="E136" i="11"/>
  <c r="J136" i="11"/>
  <c r="A137" i="11"/>
  <c r="B137" i="11"/>
  <c r="E137" i="11"/>
  <c r="J137" i="11"/>
  <c r="A138" i="11"/>
  <c r="B138" i="11"/>
  <c r="E138" i="11"/>
  <c r="J138" i="11"/>
  <c r="A139" i="11"/>
  <c r="B139" i="11"/>
  <c r="E139" i="11"/>
  <c r="J139" i="11"/>
  <c r="A140" i="11"/>
  <c r="B140" i="11"/>
  <c r="E140" i="11"/>
  <c r="J140" i="11"/>
  <c r="A141" i="11"/>
  <c r="B141" i="11"/>
  <c r="E141" i="11"/>
  <c r="J141" i="11"/>
  <c r="A142" i="11"/>
  <c r="B142" i="11"/>
  <c r="E142" i="11"/>
  <c r="J142" i="11"/>
  <c r="A143" i="11"/>
  <c r="B143" i="11"/>
  <c r="E143" i="11"/>
  <c r="J143" i="11"/>
  <c r="A144" i="11"/>
  <c r="B144" i="11"/>
  <c r="E144" i="11"/>
  <c r="J144" i="11"/>
  <c r="A145" i="11"/>
  <c r="B145" i="11"/>
  <c r="E145" i="11"/>
  <c r="J145" i="11"/>
  <c r="A146" i="11"/>
  <c r="B146" i="11"/>
  <c r="E146" i="11"/>
  <c r="J146" i="11"/>
  <c r="A147" i="11"/>
  <c r="B147" i="11"/>
  <c r="E147" i="11"/>
  <c r="J147" i="11"/>
  <c r="A148" i="11"/>
  <c r="B148" i="11"/>
  <c r="E148" i="11"/>
  <c r="J148" i="11"/>
  <c r="A149" i="11"/>
  <c r="B149" i="11"/>
  <c r="E149" i="11"/>
  <c r="J149" i="11"/>
  <c r="A150" i="11"/>
  <c r="B150" i="11"/>
  <c r="E150" i="11"/>
  <c r="J150" i="11"/>
  <c r="A151" i="11"/>
  <c r="B151" i="11"/>
  <c r="E151" i="11"/>
  <c r="J151" i="11"/>
  <c r="A152" i="11"/>
  <c r="B152" i="11"/>
  <c r="E152" i="11"/>
  <c r="J152" i="11"/>
  <c r="A153" i="11"/>
  <c r="B153" i="11"/>
  <c r="E153" i="11"/>
  <c r="J153" i="11"/>
  <c r="A154" i="11"/>
  <c r="B154" i="11"/>
  <c r="E154" i="11"/>
  <c r="J154" i="11"/>
  <c r="A155" i="11"/>
  <c r="B155" i="11"/>
  <c r="E155" i="11"/>
  <c r="J155" i="11"/>
  <c r="A156" i="11"/>
  <c r="B156" i="11"/>
  <c r="E156" i="11"/>
  <c r="J156" i="11"/>
  <c r="A157" i="11"/>
  <c r="B157" i="11"/>
  <c r="E157" i="11"/>
  <c r="J157" i="11"/>
  <c r="A158" i="11"/>
  <c r="B158" i="11"/>
  <c r="E158" i="11"/>
  <c r="J158" i="11"/>
  <c r="A159" i="11"/>
  <c r="B159" i="11"/>
  <c r="E159" i="11"/>
  <c r="J159" i="11"/>
  <c r="A160" i="11"/>
  <c r="B160" i="11"/>
  <c r="E160" i="11"/>
  <c r="J160" i="11"/>
  <c r="A161" i="11"/>
  <c r="B161" i="11"/>
  <c r="E161" i="11"/>
  <c r="J161" i="11"/>
  <c r="A162" i="11"/>
  <c r="B162" i="11"/>
  <c r="E162" i="11"/>
  <c r="J162" i="11"/>
  <c r="A163" i="11"/>
  <c r="B163" i="11"/>
  <c r="E163" i="11"/>
  <c r="J163" i="11"/>
  <c r="A164" i="11"/>
  <c r="B164" i="11"/>
  <c r="E164" i="11"/>
  <c r="J164" i="11"/>
  <c r="A165" i="11"/>
  <c r="B165" i="11"/>
  <c r="E165" i="11"/>
  <c r="J165" i="11"/>
  <c r="A166" i="11"/>
  <c r="B166" i="11"/>
  <c r="E166" i="11"/>
  <c r="J166" i="11"/>
  <c r="A167" i="11"/>
  <c r="B167" i="11"/>
  <c r="E167" i="11"/>
  <c r="J167" i="11"/>
  <c r="A168" i="11"/>
  <c r="B168" i="11"/>
  <c r="E168" i="11"/>
  <c r="J168" i="11"/>
  <c r="A169" i="11"/>
  <c r="B169" i="11"/>
  <c r="E169" i="11"/>
  <c r="J169" i="11"/>
  <c r="A170" i="11"/>
  <c r="B170" i="11"/>
  <c r="E170" i="11"/>
  <c r="J170" i="11"/>
  <c r="A171" i="11"/>
  <c r="B171" i="11"/>
  <c r="E171" i="11"/>
  <c r="J171" i="11"/>
  <c r="A172" i="11"/>
  <c r="B172" i="11"/>
  <c r="E172" i="11"/>
  <c r="J172" i="11"/>
  <c r="A173" i="11"/>
  <c r="B173" i="11"/>
  <c r="E173" i="11"/>
  <c r="J173" i="11"/>
  <c r="A174" i="11"/>
  <c r="B174" i="11"/>
  <c r="E174" i="11"/>
  <c r="J174" i="11"/>
  <c r="A175" i="11"/>
  <c r="B175" i="11"/>
  <c r="E175" i="11"/>
  <c r="J175" i="11"/>
  <c r="A176" i="11"/>
  <c r="B176" i="11"/>
  <c r="E176" i="11"/>
  <c r="J176" i="11"/>
  <c r="A177" i="11"/>
  <c r="B177" i="11"/>
  <c r="E177" i="11"/>
  <c r="J177" i="11"/>
  <c r="A178" i="11"/>
  <c r="B178" i="11"/>
  <c r="E178" i="11"/>
  <c r="J178" i="11"/>
  <c r="A179" i="11"/>
  <c r="B179" i="11"/>
  <c r="E179" i="11"/>
  <c r="J179" i="11"/>
  <c r="A180" i="11"/>
  <c r="B180" i="11"/>
  <c r="E180" i="11"/>
  <c r="J180" i="11"/>
  <c r="A181" i="11"/>
  <c r="B181" i="11"/>
  <c r="E181" i="11"/>
  <c r="J181" i="11"/>
  <c r="A182" i="11"/>
  <c r="B182" i="11"/>
  <c r="E182" i="11"/>
  <c r="J182" i="11"/>
  <c r="A183" i="11"/>
  <c r="B183" i="11"/>
  <c r="E183" i="11"/>
  <c r="J183" i="11"/>
  <c r="A184" i="11"/>
  <c r="B184" i="11"/>
  <c r="E184" i="11"/>
  <c r="J184" i="11"/>
  <c r="A185" i="11"/>
  <c r="B185" i="11"/>
  <c r="E185" i="11"/>
  <c r="J185" i="11"/>
  <c r="A186" i="11"/>
  <c r="B186" i="11"/>
  <c r="E186" i="11"/>
  <c r="J186" i="11"/>
  <c r="A187" i="11"/>
  <c r="B187" i="11"/>
  <c r="E187" i="11"/>
  <c r="J187" i="11"/>
  <c r="A188" i="11"/>
  <c r="B188" i="11"/>
  <c r="E188" i="11"/>
  <c r="J188" i="11"/>
  <c r="A189" i="11"/>
  <c r="B189" i="11"/>
  <c r="E189" i="11"/>
  <c r="J189" i="11"/>
  <c r="A190" i="11"/>
  <c r="B190" i="11"/>
  <c r="E190" i="11"/>
  <c r="J190" i="11"/>
  <c r="A191" i="11"/>
  <c r="B191" i="11"/>
  <c r="E191" i="11"/>
  <c r="J191" i="11"/>
  <c r="A192" i="11"/>
  <c r="B192" i="11"/>
  <c r="E192" i="11"/>
  <c r="J192" i="11"/>
  <c r="A193" i="11"/>
  <c r="B193" i="11"/>
  <c r="E193" i="11"/>
  <c r="J193" i="11"/>
  <c r="A194" i="11"/>
  <c r="B194" i="11"/>
  <c r="E194" i="11"/>
  <c r="J194" i="11"/>
  <c r="A195" i="11"/>
  <c r="B195" i="11"/>
  <c r="E195" i="11"/>
  <c r="J195" i="11"/>
  <c r="A196" i="11"/>
  <c r="B196" i="11"/>
  <c r="E196" i="11"/>
  <c r="J196" i="11"/>
  <c r="A197" i="11"/>
  <c r="B197" i="11"/>
  <c r="E197" i="11"/>
  <c r="J197" i="11"/>
  <c r="A198" i="11"/>
  <c r="B198" i="11"/>
  <c r="E198" i="11"/>
  <c r="J198" i="11"/>
  <c r="A199" i="11"/>
  <c r="B199" i="11"/>
  <c r="E199" i="11"/>
  <c r="J199" i="11"/>
  <c r="A200" i="11"/>
  <c r="B200" i="11"/>
  <c r="E200" i="11"/>
  <c r="J200" i="11"/>
  <c r="A201" i="11"/>
  <c r="B201" i="11"/>
  <c r="E201" i="11"/>
  <c r="J201" i="11"/>
  <c r="A202" i="11"/>
  <c r="B202" i="11"/>
  <c r="E202" i="11"/>
  <c r="J202" i="11"/>
  <c r="A203" i="11"/>
  <c r="B203" i="11"/>
  <c r="E203" i="11"/>
  <c r="J203" i="11"/>
  <c r="A204" i="11"/>
  <c r="B204" i="11"/>
  <c r="E204" i="11"/>
  <c r="J204" i="11"/>
  <c r="A205" i="11"/>
  <c r="B205" i="11"/>
  <c r="E205" i="11"/>
  <c r="J205" i="11"/>
  <c r="A206" i="11"/>
  <c r="B206" i="11"/>
  <c r="E206" i="11"/>
  <c r="J206" i="11"/>
  <c r="A207" i="11"/>
  <c r="B207" i="11"/>
  <c r="E207" i="11"/>
  <c r="J207" i="11"/>
  <c r="A208" i="11"/>
  <c r="B208" i="11"/>
  <c r="E208" i="11"/>
  <c r="J208" i="11"/>
  <c r="A209" i="11"/>
  <c r="B209" i="11"/>
  <c r="E209" i="11"/>
  <c r="J209" i="11"/>
  <c r="A210" i="11"/>
  <c r="B210" i="11"/>
  <c r="E210" i="11"/>
  <c r="J210" i="11"/>
  <c r="A211" i="11"/>
  <c r="B211" i="11"/>
  <c r="E211" i="11"/>
  <c r="J211" i="11"/>
  <c r="A212" i="11"/>
  <c r="B212" i="11"/>
  <c r="E212" i="11"/>
  <c r="J212" i="11"/>
  <c r="A213" i="11"/>
  <c r="B213" i="11"/>
  <c r="E213" i="11"/>
  <c r="J213" i="11"/>
  <c r="A214" i="11"/>
  <c r="B214" i="11"/>
  <c r="E214" i="11"/>
  <c r="J214" i="11"/>
  <c r="A215" i="11"/>
  <c r="B215" i="11"/>
  <c r="E215" i="11"/>
  <c r="J215" i="11"/>
  <c r="A216" i="11"/>
  <c r="B216" i="11"/>
  <c r="E216" i="11"/>
  <c r="J216" i="11"/>
  <c r="A217" i="11"/>
  <c r="B217" i="11"/>
  <c r="E217" i="11"/>
  <c r="J217" i="11"/>
  <c r="A218" i="11"/>
  <c r="B218" i="11"/>
  <c r="E218" i="11"/>
  <c r="J218" i="11"/>
  <c r="A219" i="11"/>
  <c r="B219" i="11"/>
  <c r="E219" i="11"/>
  <c r="J219" i="11"/>
  <c r="A220" i="11"/>
  <c r="B220" i="11"/>
  <c r="E220" i="11"/>
  <c r="J220" i="11"/>
  <c r="A221" i="11"/>
  <c r="B221" i="11"/>
  <c r="E221" i="11"/>
  <c r="J221" i="11"/>
  <c r="A222" i="11"/>
  <c r="B222" i="11"/>
  <c r="E222" i="11"/>
  <c r="J222" i="11"/>
  <c r="A223" i="11"/>
  <c r="B223" i="11"/>
  <c r="E223" i="11"/>
  <c r="J223" i="11"/>
  <c r="A224" i="11"/>
  <c r="B224" i="11"/>
  <c r="E224" i="11"/>
  <c r="J224" i="11"/>
  <c r="A225" i="11"/>
  <c r="B225" i="11"/>
  <c r="E225" i="11"/>
  <c r="J225" i="11"/>
  <c r="A226" i="11"/>
  <c r="B226" i="11"/>
  <c r="E226" i="11"/>
  <c r="J226" i="11"/>
  <c r="A227" i="11"/>
  <c r="B227" i="11"/>
  <c r="E227" i="11"/>
  <c r="J227" i="11"/>
  <c r="A228" i="11"/>
  <c r="B228" i="11"/>
  <c r="E228" i="11"/>
  <c r="J228" i="11"/>
  <c r="A229" i="11"/>
  <c r="B229" i="11"/>
  <c r="E229" i="11"/>
  <c r="J229" i="11"/>
  <c r="A230" i="11"/>
  <c r="B230" i="11"/>
  <c r="E230" i="11"/>
  <c r="J230" i="11"/>
  <c r="A231" i="11"/>
  <c r="B231" i="11"/>
  <c r="E231" i="11"/>
  <c r="J231" i="11"/>
  <c r="A232" i="11"/>
  <c r="B232" i="11"/>
  <c r="E232" i="11"/>
  <c r="J232" i="11"/>
  <c r="A233" i="11"/>
  <c r="B233" i="11"/>
  <c r="E233" i="11"/>
  <c r="J233" i="11"/>
  <c r="A234" i="11"/>
  <c r="B234" i="11"/>
  <c r="E234" i="11"/>
  <c r="J234" i="11"/>
  <c r="A235" i="11"/>
  <c r="B235" i="11"/>
  <c r="E235" i="11"/>
  <c r="J235" i="11"/>
  <c r="A236" i="11"/>
  <c r="B236" i="11"/>
  <c r="E236" i="11"/>
  <c r="J236" i="11"/>
  <c r="A237" i="11"/>
  <c r="B237" i="11"/>
  <c r="E237" i="11"/>
  <c r="J237" i="11"/>
  <c r="A238" i="11"/>
  <c r="B238" i="11"/>
  <c r="E238" i="11"/>
  <c r="J238" i="11"/>
  <c r="A239" i="11"/>
  <c r="B239" i="11"/>
  <c r="E239" i="11"/>
  <c r="J239" i="11"/>
  <c r="A240" i="11"/>
  <c r="B240" i="11"/>
  <c r="E240" i="11"/>
  <c r="J240" i="11"/>
  <c r="A241" i="11"/>
  <c r="B241" i="11"/>
  <c r="E241" i="11"/>
  <c r="J241" i="11"/>
  <c r="A242" i="11"/>
  <c r="B242" i="11"/>
  <c r="E242" i="11"/>
  <c r="J242" i="11"/>
  <c r="A243" i="11"/>
  <c r="B243" i="11"/>
  <c r="E243" i="11"/>
  <c r="J243" i="11"/>
  <c r="A244" i="11"/>
  <c r="B244" i="11"/>
  <c r="E244" i="11"/>
  <c r="J244" i="11"/>
  <c r="A245" i="11"/>
  <c r="B245" i="11"/>
  <c r="E245" i="11"/>
  <c r="J245" i="11"/>
  <c r="A246" i="11"/>
  <c r="B246" i="11"/>
  <c r="E246" i="11"/>
  <c r="J246" i="11"/>
  <c r="A247" i="11"/>
  <c r="B247" i="11"/>
  <c r="E247" i="11"/>
  <c r="J247" i="11"/>
  <c r="A248" i="11"/>
  <c r="B248" i="11"/>
  <c r="E248" i="11"/>
  <c r="J248" i="11"/>
  <c r="A249" i="11"/>
  <c r="B249" i="11"/>
  <c r="E249" i="11"/>
  <c r="J249" i="11"/>
  <c r="A250" i="11"/>
  <c r="B250" i="11"/>
  <c r="E250" i="11"/>
  <c r="J250" i="11"/>
  <c r="A251" i="11"/>
  <c r="B251" i="11"/>
  <c r="E251" i="11"/>
  <c r="J251" i="11"/>
  <c r="A252" i="11"/>
  <c r="B252" i="11"/>
  <c r="E252" i="11"/>
  <c r="J252" i="11"/>
  <c r="A253" i="11"/>
  <c r="B253" i="11"/>
  <c r="E253" i="11"/>
  <c r="J253" i="11"/>
  <c r="A254" i="11"/>
  <c r="B254" i="11"/>
  <c r="E254" i="11"/>
  <c r="J254" i="11"/>
  <c r="A255" i="11"/>
  <c r="B255" i="11"/>
  <c r="E255" i="11"/>
  <c r="J255" i="11"/>
  <c r="A256" i="11"/>
  <c r="B256" i="11"/>
  <c r="E256" i="11"/>
  <c r="J256" i="11"/>
  <c r="A257" i="11"/>
  <c r="B257" i="11"/>
  <c r="E257" i="11"/>
  <c r="J257" i="11"/>
  <c r="A258" i="11"/>
  <c r="B258" i="11"/>
  <c r="E258" i="11"/>
  <c r="J258" i="11"/>
  <c r="A259" i="11"/>
  <c r="B259" i="11"/>
  <c r="E259" i="11"/>
  <c r="J259" i="11"/>
  <c r="A260" i="11"/>
  <c r="B260" i="11"/>
  <c r="E260" i="11"/>
  <c r="J260" i="11"/>
  <c r="A261" i="11"/>
  <c r="B261" i="11"/>
  <c r="E261" i="11"/>
  <c r="J261" i="11"/>
  <c r="A262" i="11"/>
  <c r="B262" i="11"/>
  <c r="E262" i="11"/>
  <c r="J262" i="11"/>
  <c r="A263" i="11"/>
  <c r="B263" i="11"/>
  <c r="E263" i="11"/>
  <c r="J263" i="11"/>
  <c r="A264" i="11"/>
  <c r="B264" i="11"/>
  <c r="E264" i="11"/>
  <c r="J264" i="11"/>
  <c r="A265" i="11"/>
  <c r="B265" i="11"/>
  <c r="E265" i="11"/>
  <c r="J265" i="11"/>
  <c r="A266" i="11"/>
  <c r="B266" i="11"/>
  <c r="E266" i="11"/>
  <c r="J266" i="11"/>
  <c r="A267" i="11"/>
  <c r="B267" i="11"/>
  <c r="E267" i="11"/>
  <c r="J267" i="11"/>
  <c r="A268" i="11"/>
  <c r="B268" i="11"/>
  <c r="J268" i="11"/>
  <c r="A269" i="11"/>
  <c r="B269" i="11"/>
  <c r="E269" i="11"/>
  <c r="J269" i="11"/>
  <c r="A270" i="11"/>
  <c r="B270" i="11"/>
  <c r="E270" i="11"/>
  <c r="J270" i="11"/>
  <c r="A271" i="11"/>
  <c r="B271" i="11"/>
  <c r="E271" i="11"/>
  <c r="J271" i="11"/>
  <c r="A272" i="11"/>
  <c r="B272" i="11"/>
  <c r="E272" i="11"/>
  <c r="J272" i="11"/>
  <c r="A273" i="11"/>
  <c r="B273" i="11"/>
  <c r="E273" i="11"/>
  <c r="J273" i="11"/>
  <c r="A274" i="11"/>
  <c r="B274" i="11"/>
  <c r="E274" i="11"/>
  <c r="J274" i="11"/>
  <c r="A275" i="11"/>
  <c r="B275" i="11"/>
  <c r="E275" i="11"/>
  <c r="J275" i="11"/>
  <c r="A276" i="11"/>
  <c r="B276" i="11"/>
  <c r="E276" i="11"/>
  <c r="J276" i="11"/>
  <c r="A277" i="11"/>
  <c r="B277" i="11"/>
  <c r="E277" i="11"/>
  <c r="J277" i="11"/>
  <c r="A278" i="11"/>
  <c r="B278" i="11"/>
  <c r="E278" i="11"/>
  <c r="J278" i="11"/>
  <c r="A279" i="11"/>
  <c r="B279" i="11"/>
  <c r="E279" i="11"/>
  <c r="J279" i="11"/>
  <c r="A280" i="11"/>
  <c r="B280" i="11"/>
  <c r="E280" i="11"/>
  <c r="J280" i="11"/>
  <c r="A281" i="11"/>
  <c r="B281" i="11"/>
  <c r="E281" i="11"/>
  <c r="J281" i="11"/>
  <c r="A282" i="11"/>
  <c r="B282" i="11"/>
  <c r="E282" i="11"/>
  <c r="J282" i="11"/>
  <c r="A283" i="11"/>
  <c r="B283" i="11"/>
  <c r="E283" i="11"/>
  <c r="J283" i="11"/>
  <c r="A284" i="11"/>
  <c r="B284" i="11"/>
  <c r="E284" i="11"/>
  <c r="J284" i="11"/>
  <c r="A285" i="11"/>
  <c r="B285" i="11"/>
  <c r="E285" i="11"/>
  <c r="J285" i="11"/>
  <c r="A286" i="11"/>
  <c r="B286" i="11"/>
  <c r="E286" i="11"/>
  <c r="J286" i="11"/>
  <c r="A287" i="11"/>
  <c r="B287" i="11"/>
  <c r="E287" i="11"/>
  <c r="J287" i="11"/>
  <c r="A288" i="11"/>
  <c r="B288" i="11"/>
  <c r="E288" i="11"/>
  <c r="J288" i="11"/>
  <c r="A289" i="11"/>
  <c r="B289" i="11"/>
  <c r="E289" i="11"/>
  <c r="J289" i="11"/>
  <c r="A290" i="11"/>
  <c r="B290" i="11"/>
  <c r="E290" i="11"/>
  <c r="J290" i="11"/>
  <c r="A291" i="11"/>
  <c r="B291" i="11"/>
  <c r="E291" i="11"/>
  <c r="J291" i="11"/>
  <c r="A292" i="11"/>
  <c r="B292" i="11"/>
  <c r="E292" i="11"/>
  <c r="J292" i="11"/>
  <c r="A293" i="11"/>
  <c r="B293" i="11"/>
  <c r="E293" i="11"/>
  <c r="J293" i="11"/>
  <c r="A294" i="11"/>
  <c r="B294" i="11"/>
  <c r="E294" i="11"/>
  <c r="J294" i="11"/>
  <c r="A295" i="11"/>
  <c r="B295" i="11"/>
  <c r="E295" i="11"/>
  <c r="J295" i="11"/>
  <c r="A296" i="11"/>
  <c r="B296" i="11"/>
  <c r="E296" i="11"/>
  <c r="J296" i="11"/>
  <c r="A297" i="11"/>
  <c r="B297" i="11"/>
  <c r="E297" i="11"/>
  <c r="J297" i="11"/>
  <c r="A298" i="11"/>
  <c r="B298" i="11"/>
  <c r="E298" i="11"/>
  <c r="J298" i="11"/>
  <c r="A299" i="11"/>
  <c r="B299" i="11"/>
  <c r="E299" i="11"/>
  <c r="J299" i="11"/>
  <c r="A300" i="11"/>
  <c r="B300" i="11"/>
  <c r="E300" i="11"/>
  <c r="J300" i="11"/>
  <c r="A301" i="11"/>
  <c r="B301" i="11"/>
  <c r="E301" i="11"/>
  <c r="J301" i="11"/>
  <c r="A302" i="11"/>
  <c r="B302" i="11"/>
  <c r="E302" i="11"/>
  <c r="J302" i="11"/>
  <c r="A303" i="11"/>
  <c r="B303" i="11"/>
  <c r="E303" i="11"/>
  <c r="J303" i="11"/>
  <c r="A304" i="11"/>
  <c r="B304" i="11"/>
  <c r="E304" i="11"/>
  <c r="J304" i="11"/>
  <c r="A305" i="11"/>
  <c r="B305" i="11"/>
  <c r="E305" i="11"/>
  <c r="J305" i="11"/>
  <c r="A7" i="37"/>
  <c r="B7" i="37"/>
  <c r="F7" i="37"/>
  <c r="A8" i="37"/>
  <c r="B8" i="37"/>
  <c r="F8" i="37"/>
  <c r="A9" i="37"/>
  <c r="B9" i="37"/>
  <c r="F9" i="37"/>
  <c r="A10" i="37"/>
  <c r="B10" i="37"/>
  <c r="F10" i="37"/>
  <c r="A11" i="37"/>
  <c r="B11" i="37"/>
  <c r="F11" i="37"/>
  <c r="A12" i="37"/>
  <c r="B12" i="37"/>
  <c r="F12" i="37"/>
  <c r="A13" i="37"/>
  <c r="B13" i="37"/>
  <c r="F13" i="37"/>
  <c r="A14" i="37"/>
  <c r="B14" i="37"/>
  <c r="F14" i="37"/>
  <c r="A15" i="37"/>
  <c r="B15" i="37"/>
  <c r="F15" i="37"/>
  <c r="A16" i="37"/>
  <c r="B16" i="37"/>
  <c r="F16" i="37"/>
  <c r="A17" i="37"/>
  <c r="B17" i="37"/>
  <c r="F17" i="37"/>
  <c r="A18" i="37"/>
  <c r="B18" i="37"/>
  <c r="F18" i="37"/>
  <c r="A19" i="37"/>
  <c r="B19" i="37"/>
  <c r="F19" i="37"/>
  <c r="A20" i="37"/>
  <c r="B20" i="37"/>
  <c r="F20" i="37"/>
  <c r="A21" i="37"/>
  <c r="B21" i="37"/>
  <c r="F21" i="37"/>
  <c r="A22" i="37"/>
  <c r="B22" i="37"/>
  <c r="F22" i="37"/>
  <c r="A23" i="37"/>
  <c r="B23" i="37"/>
  <c r="F23" i="37"/>
  <c r="A24" i="37"/>
  <c r="B24" i="37"/>
  <c r="F24" i="37"/>
  <c r="A25" i="37"/>
  <c r="B25" i="37"/>
  <c r="F25" i="37"/>
  <c r="A26" i="37"/>
  <c r="B26" i="37"/>
  <c r="F26" i="37"/>
  <c r="A27" i="37"/>
  <c r="B27" i="37"/>
  <c r="F27" i="37"/>
  <c r="A28" i="37"/>
  <c r="B28" i="37"/>
  <c r="F28" i="37"/>
  <c r="A29" i="37"/>
  <c r="B29" i="37"/>
  <c r="F29" i="37"/>
  <c r="A30" i="37"/>
  <c r="B30" i="37"/>
  <c r="F30" i="37"/>
  <c r="A31" i="37"/>
  <c r="B31" i="37"/>
  <c r="F31" i="37"/>
  <c r="A32" i="37"/>
  <c r="B32" i="37"/>
  <c r="F32" i="37"/>
  <c r="A33" i="37"/>
  <c r="B33" i="37"/>
  <c r="F33" i="37"/>
  <c r="A34" i="37"/>
  <c r="B34" i="37"/>
  <c r="F34" i="37"/>
  <c r="A35" i="37"/>
  <c r="B35" i="37"/>
  <c r="F35" i="37"/>
  <c r="A36" i="37"/>
  <c r="B36" i="37"/>
  <c r="F36" i="37"/>
  <c r="A37" i="37"/>
  <c r="B37" i="37"/>
  <c r="F37" i="37"/>
  <c r="A38" i="37"/>
  <c r="B38" i="37"/>
  <c r="F38" i="37"/>
  <c r="A39" i="37"/>
  <c r="B39" i="37"/>
  <c r="F39" i="37"/>
  <c r="A40" i="37"/>
  <c r="B40" i="37"/>
  <c r="F40" i="37"/>
  <c r="A41" i="37"/>
  <c r="B41" i="37"/>
  <c r="F41" i="37"/>
  <c r="A42" i="37"/>
  <c r="B42" i="37"/>
  <c r="F42" i="37"/>
  <c r="A43" i="37"/>
  <c r="B43" i="37"/>
  <c r="F43" i="37"/>
  <c r="A44" i="37"/>
  <c r="B44" i="37"/>
  <c r="F44" i="37"/>
  <c r="A45" i="37"/>
  <c r="B45" i="37"/>
  <c r="F45" i="37"/>
  <c r="A46" i="37"/>
  <c r="B46" i="37"/>
  <c r="F46" i="37"/>
  <c r="A47" i="37"/>
  <c r="B47" i="37"/>
  <c r="F47" i="37"/>
  <c r="A48" i="37"/>
  <c r="B48" i="37"/>
  <c r="F48" i="37"/>
  <c r="A49" i="37"/>
  <c r="B49" i="37"/>
  <c r="F49" i="37"/>
  <c r="A50" i="37"/>
  <c r="B50" i="37"/>
  <c r="F50" i="37"/>
  <c r="A51" i="37"/>
  <c r="B51" i="37"/>
  <c r="F51" i="37"/>
  <c r="A52" i="37"/>
  <c r="B52" i="37"/>
  <c r="F52" i="37"/>
  <c r="A53" i="37"/>
  <c r="B53" i="37"/>
  <c r="F53" i="37"/>
  <c r="A54" i="37"/>
  <c r="B54" i="37"/>
  <c r="F54" i="37"/>
  <c r="A55" i="37"/>
  <c r="B55" i="37"/>
  <c r="F55" i="37"/>
  <c r="A56" i="37"/>
  <c r="B56" i="37"/>
  <c r="F56" i="37"/>
  <c r="A57" i="37"/>
  <c r="B57" i="37"/>
  <c r="F57" i="37"/>
  <c r="A58" i="37"/>
  <c r="B58" i="37"/>
  <c r="F58" i="37"/>
  <c r="A59" i="37"/>
  <c r="B59" i="37"/>
  <c r="F59" i="37"/>
  <c r="A60" i="37"/>
  <c r="B60" i="37"/>
  <c r="F60" i="37"/>
  <c r="A61" i="37"/>
  <c r="B61" i="37"/>
  <c r="F61" i="37"/>
  <c r="A62" i="37"/>
  <c r="B62" i="37"/>
  <c r="F62" i="37"/>
  <c r="A63" i="37"/>
  <c r="B63" i="37"/>
  <c r="F63" i="37"/>
  <c r="A64" i="37"/>
  <c r="B64" i="37"/>
  <c r="F64" i="37"/>
  <c r="A65" i="37"/>
  <c r="B65" i="37"/>
  <c r="F65" i="37"/>
  <c r="A66" i="37"/>
  <c r="B66" i="37"/>
  <c r="F66" i="37"/>
  <c r="A67" i="37"/>
  <c r="B67" i="37"/>
  <c r="F67" i="37"/>
  <c r="A68" i="37"/>
  <c r="B68" i="37"/>
  <c r="F68" i="37"/>
  <c r="A69" i="37"/>
  <c r="B69" i="37"/>
  <c r="F69" i="37"/>
  <c r="A70" i="37"/>
  <c r="B70" i="37"/>
  <c r="F70" i="37"/>
  <c r="A71" i="37"/>
  <c r="B71" i="37"/>
  <c r="F71" i="37"/>
  <c r="A72" i="37"/>
  <c r="B72" i="37"/>
  <c r="F72" i="37"/>
  <c r="A73" i="37"/>
  <c r="B73" i="37"/>
  <c r="F73" i="37"/>
  <c r="A74" i="37"/>
  <c r="B74" i="37"/>
  <c r="F74" i="37"/>
  <c r="A75" i="37"/>
  <c r="B75" i="37"/>
  <c r="F75" i="37"/>
  <c r="A76" i="37"/>
  <c r="B76" i="37"/>
  <c r="F76" i="37"/>
  <c r="A77" i="37"/>
  <c r="B77" i="37"/>
  <c r="F77" i="37"/>
  <c r="A78" i="37"/>
  <c r="B78" i="37"/>
  <c r="F78" i="37"/>
  <c r="A79" i="37"/>
  <c r="B79" i="37"/>
  <c r="F79" i="37"/>
  <c r="A80" i="37"/>
  <c r="B80" i="37"/>
  <c r="F80" i="37"/>
  <c r="A81" i="37"/>
  <c r="B81" i="37"/>
  <c r="F81" i="37"/>
  <c r="A82" i="37"/>
  <c r="B82" i="37"/>
  <c r="F82" i="37"/>
  <c r="A83" i="37"/>
  <c r="B83" i="37"/>
  <c r="F83" i="37"/>
  <c r="A84" i="37"/>
  <c r="B84" i="37"/>
  <c r="F84" i="37"/>
  <c r="A85" i="37"/>
  <c r="B85" i="37"/>
  <c r="F85" i="37"/>
  <c r="A86" i="37"/>
  <c r="B86" i="37"/>
  <c r="F86" i="37"/>
  <c r="A87" i="37"/>
  <c r="B87" i="37"/>
  <c r="F87" i="37"/>
  <c r="A88" i="37"/>
  <c r="B88" i="37"/>
  <c r="F88" i="37"/>
  <c r="A89" i="37"/>
  <c r="B89" i="37"/>
  <c r="F89" i="37"/>
  <c r="A90" i="37"/>
  <c r="B90" i="37"/>
  <c r="F90" i="37"/>
  <c r="A91" i="37"/>
  <c r="B91" i="37"/>
  <c r="F91" i="37"/>
  <c r="A92" i="37"/>
  <c r="B92" i="37"/>
  <c r="F92" i="37"/>
  <c r="A93" i="37"/>
  <c r="B93" i="37"/>
  <c r="F93" i="37"/>
  <c r="A94" i="37"/>
  <c r="B94" i="37"/>
  <c r="F94" i="37"/>
  <c r="A95" i="37"/>
  <c r="B95" i="37"/>
  <c r="F95" i="37"/>
  <c r="A96" i="37"/>
  <c r="B96" i="37"/>
  <c r="F96" i="37"/>
  <c r="A97" i="37"/>
  <c r="B97" i="37"/>
  <c r="F97" i="37"/>
  <c r="A98" i="37"/>
  <c r="B98" i="37"/>
  <c r="F98" i="37"/>
  <c r="A99" i="37"/>
  <c r="B99" i="37"/>
  <c r="F99" i="37"/>
  <c r="A100" i="37"/>
  <c r="B100" i="37"/>
  <c r="F100" i="37"/>
  <c r="A101" i="37"/>
  <c r="B101" i="37"/>
  <c r="F101" i="37"/>
  <c r="A102" i="37"/>
  <c r="B102" i="37"/>
  <c r="F102" i="37"/>
  <c r="A103" i="37"/>
  <c r="B103" i="37"/>
  <c r="F103" i="37"/>
  <c r="A104" i="37"/>
  <c r="B104" i="37"/>
  <c r="F104" i="37"/>
  <c r="A105" i="37"/>
  <c r="B105" i="37"/>
  <c r="F105" i="37"/>
  <c r="A106" i="37"/>
  <c r="B106" i="37"/>
  <c r="F106" i="37"/>
  <c r="A107" i="37"/>
  <c r="B107" i="37"/>
  <c r="F107" i="37"/>
  <c r="A108" i="37"/>
  <c r="B108" i="37"/>
  <c r="F108" i="37"/>
  <c r="A109" i="37"/>
  <c r="B109" i="37"/>
  <c r="F109" i="37"/>
  <c r="A110" i="37"/>
  <c r="B110" i="37"/>
  <c r="F110" i="37"/>
  <c r="A111" i="37"/>
  <c r="B111" i="37"/>
  <c r="F111" i="37"/>
  <c r="A112" i="37"/>
  <c r="B112" i="37"/>
  <c r="F112" i="37"/>
  <c r="A113" i="37"/>
  <c r="B113" i="37"/>
  <c r="F113" i="37"/>
  <c r="A114" i="37"/>
  <c r="B114" i="37"/>
  <c r="F114" i="37"/>
  <c r="A115" i="37"/>
  <c r="B115" i="37"/>
  <c r="F115" i="37"/>
  <c r="A116" i="37"/>
  <c r="B116" i="37"/>
  <c r="F116" i="37"/>
  <c r="A117" i="37"/>
  <c r="B117" i="37"/>
  <c r="F117" i="37"/>
  <c r="A118" i="37"/>
  <c r="B118" i="37"/>
  <c r="F118" i="37"/>
  <c r="A119" i="37"/>
  <c r="B119" i="37"/>
  <c r="F119" i="37"/>
  <c r="A120" i="37"/>
  <c r="B120" i="37"/>
  <c r="F120" i="37"/>
  <c r="A121" i="37"/>
  <c r="B121" i="37"/>
  <c r="F121" i="37"/>
  <c r="A122" i="37"/>
  <c r="B122" i="37"/>
  <c r="F122" i="37"/>
  <c r="A123" i="37"/>
  <c r="B123" i="37"/>
  <c r="F123" i="37"/>
  <c r="A124" i="37"/>
  <c r="B124" i="37"/>
  <c r="F124" i="37"/>
  <c r="A125" i="37"/>
  <c r="B125" i="37"/>
  <c r="F125" i="37"/>
  <c r="A126" i="37"/>
  <c r="B126" i="37"/>
  <c r="F126" i="37"/>
  <c r="A127" i="37"/>
  <c r="B127" i="37"/>
  <c r="F127" i="37"/>
  <c r="A128" i="37"/>
  <c r="B128" i="37"/>
  <c r="F128" i="37"/>
  <c r="A129" i="37"/>
  <c r="B129" i="37"/>
  <c r="F129" i="37"/>
  <c r="A130" i="37"/>
  <c r="B130" i="37"/>
  <c r="F130" i="37"/>
  <c r="A131" i="37"/>
  <c r="B131" i="37"/>
  <c r="F131" i="37"/>
  <c r="A132" i="37"/>
  <c r="B132" i="37"/>
  <c r="F132" i="37"/>
  <c r="A133" i="37"/>
  <c r="B133" i="37"/>
  <c r="F133" i="37"/>
  <c r="A134" i="37"/>
  <c r="B134" i="37"/>
  <c r="F134" i="37"/>
  <c r="A135" i="37"/>
  <c r="B135" i="37"/>
  <c r="F135" i="37"/>
  <c r="A136" i="37"/>
  <c r="B136" i="37"/>
  <c r="F136" i="37"/>
  <c r="A137" i="37"/>
  <c r="B137" i="37"/>
  <c r="F137" i="37"/>
  <c r="A138" i="37"/>
  <c r="B138" i="37"/>
  <c r="F138" i="37"/>
  <c r="A139" i="37"/>
  <c r="B139" i="37"/>
  <c r="F139" i="37"/>
  <c r="A140" i="37"/>
  <c r="B140" i="37"/>
  <c r="F140" i="37"/>
  <c r="A141" i="37"/>
  <c r="B141" i="37"/>
  <c r="F141" i="37"/>
  <c r="A142" i="37"/>
  <c r="B142" i="37"/>
  <c r="F142" i="37"/>
  <c r="A143" i="37"/>
  <c r="B143" i="37"/>
  <c r="F143" i="37"/>
  <c r="A144" i="37"/>
  <c r="B144" i="37"/>
  <c r="F144" i="37"/>
  <c r="A145" i="37"/>
  <c r="B145" i="37"/>
  <c r="F145" i="37"/>
  <c r="A146" i="37"/>
  <c r="B146" i="37"/>
  <c r="F146" i="37"/>
  <c r="A147" i="37"/>
  <c r="B147" i="37"/>
  <c r="F147" i="37"/>
  <c r="A148" i="37"/>
  <c r="B148" i="37"/>
  <c r="F148" i="37"/>
  <c r="A149" i="37"/>
  <c r="B149" i="37"/>
  <c r="F149" i="37"/>
  <c r="A150" i="37"/>
  <c r="B150" i="37"/>
  <c r="F150" i="37"/>
  <c r="A151" i="37"/>
  <c r="B151" i="37"/>
  <c r="F151" i="37"/>
  <c r="A152" i="37"/>
  <c r="B152" i="37"/>
  <c r="F152" i="37"/>
  <c r="A153" i="37"/>
  <c r="B153" i="37"/>
  <c r="F153" i="37"/>
  <c r="A154" i="37"/>
  <c r="B154" i="37"/>
  <c r="F154" i="37"/>
  <c r="A155" i="37"/>
  <c r="B155" i="37"/>
  <c r="F155" i="37"/>
  <c r="A156" i="37"/>
  <c r="B156" i="37"/>
  <c r="F156" i="37"/>
  <c r="A157" i="37"/>
  <c r="B157" i="37"/>
  <c r="F157" i="37"/>
  <c r="A158" i="37"/>
  <c r="B158" i="37"/>
  <c r="F158" i="37"/>
  <c r="A159" i="37"/>
  <c r="B159" i="37"/>
  <c r="F159" i="37"/>
  <c r="A160" i="37"/>
  <c r="B160" i="37"/>
  <c r="F160" i="37"/>
  <c r="A161" i="37"/>
  <c r="B161" i="37"/>
  <c r="F161" i="37"/>
  <c r="A162" i="37"/>
  <c r="B162" i="37"/>
  <c r="F162" i="37"/>
  <c r="A163" i="37"/>
  <c r="B163" i="37"/>
  <c r="F163" i="37"/>
  <c r="A164" i="37"/>
  <c r="B164" i="37"/>
  <c r="F164" i="37"/>
  <c r="A165" i="37"/>
  <c r="B165" i="37"/>
  <c r="F165" i="37"/>
  <c r="A166" i="37"/>
  <c r="B166" i="37"/>
  <c r="F166" i="37"/>
  <c r="A167" i="37"/>
  <c r="B167" i="37"/>
  <c r="F167" i="37"/>
  <c r="A168" i="37"/>
  <c r="B168" i="37"/>
  <c r="F168" i="37"/>
  <c r="A169" i="37"/>
  <c r="B169" i="37"/>
  <c r="F169" i="37"/>
  <c r="A170" i="37"/>
  <c r="B170" i="37"/>
  <c r="F170" i="37"/>
  <c r="A171" i="37"/>
  <c r="B171" i="37"/>
  <c r="F171" i="37"/>
  <c r="A172" i="37"/>
  <c r="B172" i="37"/>
  <c r="F172" i="37"/>
  <c r="A173" i="37"/>
  <c r="B173" i="37"/>
  <c r="F173" i="37"/>
  <c r="A174" i="37"/>
  <c r="B174" i="37"/>
  <c r="F174" i="37"/>
  <c r="A175" i="37"/>
  <c r="B175" i="37"/>
  <c r="F175" i="37"/>
  <c r="A176" i="37"/>
  <c r="B176" i="37"/>
  <c r="F176" i="37"/>
  <c r="A177" i="37"/>
  <c r="B177" i="37"/>
  <c r="F177" i="37"/>
  <c r="A178" i="37"/>
  <c r="B178" i="37"/>
  <c r="F178" i="37"/>
  <c r="A179" i="37"/>
  <c r="B179" i="37"/>
  <c r="F179" i="37"/>
  <c r="A180" i="37"/>
  <c r="B180" i="37"/>
  <c r="F180" i="37"/>
  <c r="A181" i="37"/>
  <c r="B181" i="37"/>
  <c r="F181" i="37"/>
  <c r="A182" i="37"/>
  <c r="B182" i="37"/>
  <c r="F182" i="37"/>
  <c r="A183" i="37"/>
  <c r="B183" i="37"/>
  <c r="F183" i="37"/>
  <c r="A184" i="37"/>
  <c r="B184" i="37"/>
  <c r="F184" i="37"/>
  <c r="A185" i="37"/>
  <c r="B185" i="37"/>
  <c r="F185" i="37"/>
  <c r="A186" i="37"/>
  <c r="B186" i="37"/>
  <c r="F186" i="37"/>
  <c r="A187" i="37"/>
  <c r="B187" i="37"/>
  <c r="F187" i="37"/>
  <c r="A188" i="37"/>
  <c r="B188" i="37"/>
  <c r="F188" i="37"/>
  <c r="A189" i="37"/>
  <c r="B189" i="37"/>
  <c r="F189" i="37"/>
  <c r="A190" i="37"/>
  <c r="B190" i="37"/>
  <c r="F190" i="37"/>
  <c r="A191" i="37"/>
  <c r="B191" i="37"/>
  <c r="F191" i="37"/>
  <c r="A192" i="37"/>
  <c r="B192" i="37"/>
  <c r="F192" i="37"/>
  <c r="A193" i="37"/>
  <c r="B193" i="37"/>
  <c r="F193" i="37"/>
  <c r="A194" i="37"/>
  <c r="B194" i="37"/>
  <c r="F194" i="37"/>
  <c r="A195" i="37"/>
  <c r="B195" i="37"/>
  <c r="F195" i="37"/>
  <c r="A196" i="37"/>
  <c r="B196" i="37"/>
  <c r="F196" i="37"/>
  <c r="A197" i="37"/>
  <c r="B197" i="37"/>
  <c r="F197" i="37"/>
  <c r="A198" i="37"/>
  <c r="B198" i="37"/>
  <c r="F198" i="37"/>
  <c r="A199" i="37"/>
  <c r="B199" i="37"/>
  <c r="F199" i="37"/>
  <c r="A200" i="37"/>
  <c r="B200" i="37"/>
  <c r="F200" i="37"/>
  <c r="A201" i="37"/>
  <c r="B201" i="37"/>
  <c r="F201" i="37"/>
  <c r="A202" i="37"/>
  <c r="B202" i="37"/>
  <c r="F202" i="37"/>
  <c r="A203" i="37"/>
  <c r="B203" i="37"/>
  <c r="F203" i="37"/>
  <c r="A204" i="37"/>
  <c r="B204" i="37"/>
  <c r="F204" i="37"/>
  <c r="A205" i="37"/>
  <c r="B205" i="37"/>
  <c r="F205" i="37"/>
  <c r="A206" i="37"/>
  <c r="B206" i="37"/>
  <c r="F206" i="37"/>
  <c r="A207" i="37"/>
  <c r="B207" i="37"/>
  <c r="F207" i="37"/>
  <c r="A208" i="37"/>
  <c r="B208" i="37"/>
  <c r="F208" i="37"/>
  <c r="A209" i="37"/>
  <c r="B209" i="37"/>
  <c r="F209" i="37"/>
  <c r="A210" i="37"/>
  <c r="B210" i="37"/>
  <c r="F210" i="37"/>
  <c r="A211" i="37"/>
  <c r="B211" i="37"/>
  <c r="F211" i="37"/>
  <c r="A212" i="37"/>
  <c r="B212" i="37"/>
  <c r="F212" i="37"/>
  <c r="A213" i="37"/>
  <c r="B213" i="37"/>
  <c r="F213" i="37"/>
  <c r="A214" i="37"/>
  <c r="B214" i="37"/>
  <c r="F214" i="37"/>
  <c r="A215" i="37"/>
  <c r="B215" i="37"/>
  <c r="F215" i="37"/>
  <c r="A216" i="37"/>
  <c r="B216" i="37"/>
  <c r="F216" i="37"/>
  <c r="A217" i="37"/>
  <c r="B217" i="37"/>
  <c r="F217" i="37"/>
  <c r="A218" i="37"/>
  <c r="B218" i="37"/>
  <c r="F218" i="37"/>
  <c r="A219" i="37"/>
  <c r="B219" i="37"/>
  <c r="F219" i="37"/>
  <c r="A220" i="37"/>
  <c r="B220" i="37"/>
  <c r="F220" i="37"/>
  <c r="A221" i="37"/>
  <c r="B221" i="37"/>
  <c r="F221" i="37"/>
  <c r="A222" i="37"/>
  <c r="B222" i="37"/>
  <c r="F222" i="37"/>
  <c r="A223" i="37"/>
  <c r="B223" i="37"/>
  <c r="F223" i="37"/>
  <c r="A224" i="37"/>
  <c r="B224" i="37"/>
  <c r="F224" i="37"/>
  <c r="A225" i="37"/>
  <c r="B225" i="37"/>
  <c r="F225" i="37"/>
  <c r="A226" i="37"/>
  <c r="B226" i="37"/>
  <c r="F226" i="37"/>
  <c r="A227" i="37"/>
  <c r="B227" i="37"/>
  <c r="F227" i="37"/>
  <c r="A228" i="37"/>
  <c r="B228" i="37"/>
  <c r="F228" i="37"/>
  <c r="A229" i="37"/>
  <c r="B229" i="37"/>
  <c r="F229" i="37"/>
  <c r="A230" i="37"/>
  <c r="B230" i="37"/>
  <c r="F230" i="37"/>
  <c r="A231" i="37"/>
  <c r="B231" i="37"/>
  <c r="F231" i="37"/>
  <c r="A232" i="37"/>
  <c r="B232" i="37"/>
  <c r="F232" i="37"/>
  <c r="A233" i="37"/>
  <c r="B233" i="37"/>
  <c r="F233" i="37"/>
  <c r="A234" i="37"/>
  <c r="B234" i="37"/>
  <c r="F234" i="37"/>
  <c r="A235" i="37"/>
  <c r="B235" i="37"/>
  <c r="F235" i="37"/>
  <c r="A236" i="37"/>
  <c r="B236" i="37"/>
  <c r="F236" i="37"/>
  <c r="A237" i="37"/>
  <c r="B237" i="37"/>
  <c r="F237" i="37"/>
  <c r="A238" i="37"/>
  <c r="B238" i="37"/>
  <c r="F238" i="37"/>
  <c r="A239" i="37"/>
  <c r="B239" i="37"/>
  <c r="F239" i="37"/>
  <c r="A240" i="37"/>
  <c r="B240" i="37"/>
  <c r="F240" i="37"/>
  <c r="A241" i="37"/>
  <c r="B241" i="37"/>
  <c r="F241" i="37"/>
  <c r="A242" i="37"/>
  <c r="B242" i="37"/>
  <c r="F242" i="37"/>
  <c r="A243" i="37"/>
  <c r="B243" i="37"/>
  <c r="F243" i="37"/>
  <c r="A244" i="37"/>
  <c r="B244" i="37"/>
  <c r="F244" i="37"/>
  <c r="A245" i="37"/>
  <c r="B245" i="37"/>
  <c r="F245" i="37"/>
  <c r="A246" i="37"/>
  <c r="B246" i="37"/>
  <c r="F246" i="37"/>
  <c r="A247" i="37"/>
  <c r="B247" i="37"/>
  <c r="F247" i="37"/>
  <c r="A248" i="37"/>
  <c r="B248" i="37"/>
  <c r="F248" i="37"/>
  <c r="A249" i="37"/>
  <c r="B249" i="37"/>
  <c r="F249" i="37"/>
  <c r="A250" i="37"/>
  <c r="B250" i="37"/>
  <c r="F250" i="37"/>
  <c r="A251" i="37"/>
  <c r="B251" i="37"/>
  <c r="F251" i="37"/>
  <c r="A252" i="37"/>
  <c r="B252" i="37"/>
  <c r="F252" i="37"/>
  <c r="A253" i="37"/>
  <c r="B253" i="37"/>
  <c r="F253" i="37"/>
  <c r="A254" i="37"/>
  <c r="B254" i="37"/>
  <c r="F254" i="37"/>
  <c r="A255" i="37"/>
  <c r="B255" i="37"/>
  <c r="F255" i="37"/>
  <c r="A256" i="37"/>
  <c r="B256" i="37"/>
  <c r="F256" i="37"/>
  <c r="A257" i="37"/>
  <c r="B257" i="37"/>
  <c r="F257" i="37"/>
  <c r="A258" i="37"/>
  <c r="B258" i="37"/>
  <c r="F258" i="37"/>
  <c r="A259" i="37"/>
  <c r="B259" i="37"/>
  <c r="F259" i="37"/>
  <c r="A260" i="37"/>
  <c r="B260" i="37"/>
  <c r="F260" i="37"/>
  <c r="A261" i="37"/>
  <c r="B261" i="37"/>
  <c r="F261" i="37"/>
  <c r="A262" i="37"/>
  <c r="B262" i="37"/>
  <c r="F262" i="37"/>
  <c r="A263" i="37"/>
  <c r="B263" i="37"/>
  <c r="F263" i="37"/>
  <c r="A264" i="37"/>
  <c r="B264" i="37"/>
  <c r="F264" i="37"/>
  <c r="A265" i="37"/>
  <c r="B265" i="37"/>
  <c r="F265" i="37"/>
  <c r="A266" i="37"/>
  <c r="B266" i="37"/>
  <c r="F266" i="37"/>
  <c r="A267" i="37"/>
  <c r="B267" i="37"/>
  <c r="F267" i="37"/>
  <c r="A268" i="37"/>
  <c r="B268" i="37"/>
  <c r="F268" i="37"/>
  <c r="A269" i="37"/>
  <c r="B269" i="37"/>
  <c r="F269" i="37"/>
  <c r="A270" i="37"/>
  <c r="B270" i="37"/>
  <c r="F270" i="37"/>
  <c r="A271" i="37"/>
  <c r="B271" i="37"/>
  <c r="F271" i="37"/>
  <c r="A272" i="37"/>
  <c r="B272" i="37"/>
  <c r="F272" i="37"/>
  <c r="A273" i="37"/>
  <c r="B273" i="37"/>
  <c r="F273" i="37"/>
  <c r="A274" i="37"/>
  <c r="B274" i="37"/>
  <c r="F274" i="37"/>
  <c r="A275" i="37"/>
  <c r="B275" i="37"/>
  <c r="F275" i="37"/>
  <c r="A276" i="37"/>
  <c r="B276" i="37"/>
  <c r="F276" i="37"/>
  <c r="A277" i="37"/>
  <c r="B277" i="37"/>
  <c r="F277" i="37"/>
  <c r="A278" i="37"/>
  <c r="B278" i="37"/>
  <c r="F278" i="37"/>
  <c r="A279" i="37"/>
  <c r="B279" i="37"/>
  <c r="F279" i="37"/>
  <c r="A280" i="37"/>
  <c r="B280" i="37"/>
  <c r="F280" i="37"/>
  <c r="A281" i="37"/>
  <c r="B281" i="37"/>
  <c r="F281" i="37"/>
  <c r="A282" i="37"/>
  <c r="B282" i="37"/>
  <c r="F282" i="37"/>
  <c r="A283" i="37"/>
  <c r="B283" i="37"/>
  <c r="F283" i="37"/>
  <c r="A284" i="37"/>
  <c r="B284" i="37"/>
  <c r="F284" i="37"/>
  <c r="A285" i="37"/>
  <c r="B285" i="37"/>
  <c r="F285" i="37"/>
  <c r="A286" i="37"/>
  <c r="B286" i="37"/>
  <c r="F286" i="37"/>
  <c r="A287" i="37"/>
  <c r="B287" i="37"/>
  <c r="F287" i="37"/>
  <c r="A288" i="37"/>
  <c r="B288" i="37"/>
  <c r="F288" i="37"/>
  <c r="A289" i="37"/>
  <c r="B289" i="37"/>
  <c r="F289" i="37"/>
  <c r="A290" i="37"/>
  <c r="B290" i="37"/>
  <c r="F290" i="37"/>
  <c r="A291" i="37"/>
  <c r="B291" i="37"/>
  <c r="F291" i="37"/>
  <c r="A292" i="37"/>
  <c r="B292" i="37"/>
  <c r="F292" i="37"/>
  <c r="A293" i="37"/>
  <c r="B293" i="37"/>
  <c r="F293" i="37"/>
  <c r="A294" i="37"/>
  <c r="B294" i="37"/>
  <c r="F294" i="37"/>
  <c r="A295" i="37"/>
  <c r="B295" i="37"/>
  <c r="F295" i="37"/>
  <c r="A296" i="37"/>
  <c r="B296" i="37"/>
  <c r="F296" i="37"/>
  <c r="A297" i="37"/>
  <c r="B297" i="37"/>
  <c r="F297" i="37"/>
  <c r="A298" i="37"/>
  <c r="B298" i="37"/>
  <c r="F298" i="37"/>
  <c r="A299" i="37"/>
  <c r="B299" i="37"/>
  <c r="F299" i="37"/>
  <c r="A300" i="37"/>
  <c r="B300" i="37"/>
  <c r="F300" i="37"/>
  <c r="A301" i="37"/>
  <c r="B301" i="37"/>
  <c r="F301" i="37"/>
  <c r="A302" i="37"/>
  <c r="B302" i="37"/>
  <c r="F302" i="37"/>
  <c r="A303" i="37"/>
  <c r="B303" i="37"/>
  <c r="F303" i="37"/>
  <c r="A304" i="37"/>
  <c r="B304" i="37"/>
  <c r="F304" i="37"/>
  <c r="A305" i="37"/>
  <c r="B305" i="37"/>
  <c r="F305" i="37"/>
  <c r="A10" i="36"/>
  <c r="B10" i="36"/>
  <c r="A11" i="36"/>
  <c r="B11" i="36"/>
  <c r="A12" i="36"/>
  <c r="B12" i="36"/>
  <c r="A13" i="36"/>
  <c r="B13" i="36"/>
  <c r="A14" i="36"/>
  <c r="B14" i="36"/>
  <c r="A15" i="36"/>
  <c r="B15" i="36"/>
  <c r="A16" i="36"/>
  <c r="B16" i="36"/>
  <c r="A17" i="36"/>
  <c r="B17" i="36"/>
  <c r="A18" i="36"/>
  <c r="B18" i="36"/>
  <c r="A19" i="36"/>
  <c r="B19" i="36"/>
  <c r="A20" i="36"/>
  <c r="B20" i="36"/>
  <c r="A21" i="36"/>
  <c r="B21" i="36"/>
  <c r="A22" i="36"/>
  <c r="B22" i="36"/>
  <c r="A23" i="36"/>
  <c r="B23" i="36"/>
  <c r="A24" i="36"/>
  <c r="B24" i="36"/>
  <c r="A25" i="36"/>
  <c r="B25" i="36"/>
  <c r="A26" i="36"/>
  <c r="B26" i="36"/>
  <c r="A27" i="36"/>
  <c r="B27" i="36"/>
  <c r="A28" i="36"/>
  <c r="B28" i="36"/>
  <c r="A29" i="36"/>
  <c r="B29" i="36"/>
  <c r="A30" i="36"/>
  <c r="B30" i="36"/>
  <c r="A31" i="36"/>
  <c r="B31" i="36"/>
  <c r="A32" i="36"/>
  <c r="B32" i="36"/>
  <c r="A33" i="36"/>
  <c r="B33" i="36"/>
  <c r="A34" i="36"/>
  <c r="B34" i="36"/>
  <c r="A35" i="36"/>
  <c r="B35" i="36"/>
  <c r="A36" i="36"/>
  <c r="B36" i="36"/>
  <c r="A37" i="36"/>
  <c r="B37" i="36"/>
  <c r="A38" i="36"/>
  <c r="B38" i="36"/>
  <c r="A39" i="36"/>
  <c r="B39" i="36"/>
  <c r="A40" i="36"/>
  <c r="B40" i="36"/>
  <c r="A41" i="36"/>
  <c r="B41" i="36"/>
  <c r="A42" i="36"/>
  <c r="B42" i="36"/>
  <c r="A43" i="36"/>
  <c r="B43" i="36"/>
  <c r="A44" i="36"/>
  <c r="B44" i="36"/>
  <c r="A45" i="36"/>
  <c r="B45" i="36"/>
  <c r="A46" i="36"/>
  <c r="B46" i="36"/>
  <c r="A47" i="36"/>
  <c r="B47" i="36"/>
  <c r="A48" i="36"/>
  <c r="B48" i="36"/>
  <c r="A49" i="36"/>
  <c r="B49" i="36"/>
  <c r="A50" i="36"/>
  <c r="B50" i="36"/>
  <c r="A51" i="36"/>
  <c r="B51" i="36"/>
  <c r="A52" i="36"/>
  <c r="B52" i="36"/>
  <c r="A53" i="36"/>
  <c r="B53" i="36"/>
  <c r="A54" i="36"/>
  <c r="B54" i="36"/>
  <c r="A55" i="36"/>
  <c r="B55" i="36"/>
  <c r="A56" i="36"/>
  <c r="B56" i="36"/>
  <c r="A57" i="36"/>
  <c r="B57" i="36"/>
  <c r="A58" i="36"/>
  <c r="B58" i="36"/>
  <c r="A59" i="36"/>
  <c r="B59" i="36"/>
  <c r="A60" i="36"/>
  <c r="B60" i="36"/>
  <c r="A61" i="36"/>
  <c r="B61" i="36"/>
  <c r="A62" i="36"/>
  <c r="B62" i="36"/>
  <c r="A63" i="36"/>
  <c r="B63" i="36"/>
  <c r="A64" i="36"/>
  <c r="B64" i="36"/>
  <c r="A65" i="36"/>
  <c r="B65" i="36"/>
  <c r="A66" i="36"/>
  <c r="B66" i="36"/>
  <c r="A67" i="36"/>
  <c r="B67" i="36"/>
  <c r="A68" i="36"/>
  <c r="B68" i="36"/>
  <c r="A69" i="36"/>
  <c r="B69" i="36"/>
  <c r="A70" i="36"/>
  <c r="B70" i="36"/>
  <c r="A71" i="36"/>
  <c r="B71" i="36"/>
  <c r="A72" i="36"/>
  <c r="B72" i="36"/>
  <c r="A73" i="36"/>
  <c r="B73" i="36"/>
  <c r="A74" i="36"/>
  <c r="B74" i="36"/>
  <c r="A75" i="36"/>
  <c r="B75" i="36"/>
  <c r="A76" i="36"/>
  <c r="B76" i="36"/>
  <c r="A77" i="36"/>
  <c r="B77" i="36"/>
  <c r="A78" i="36"/>
  <c r="B78" i="36"/>
  <c r="A79" i="36"/>
  <c r="B79" i="36"/>
  <c r="A80" i="36"/>
  <c r="B80" i="36"/>
  <c r="A81" i="36"/>
  <c r="B81" i="36"/>
  <c r="A82" i="36"/>
  <c r="B82" i="36"/>
  <c r="A83" i="36"/>
  <c r="B83" i="36"/>
  <c r="A84" i="36"/>
  <c r="B84" i="36"/>
  <c r="A85" i="36"/>
  <c r="B85" i="36"/>
  <c r="A86" i="36"/>
  <c r="B86" i="36"/>
  <c r="A87" i="36"/>
  <c r="B87" i="36"/>
  <c r="A88" i="36"/>
  <c r="B88" i="36"/>
  <c r="A89" i="36"/>
  <c r="B89" i="36"/>
  <c r="A90" i="36"/>
  <c r="B90" i="36"/>
  <c r="A91" i="36"/>
  <c r="B91" i="36"/>
  <c r="A92" i="36"/>
  <c r="B92" i="36"/>
  <c r="A93" i="36"/>
  <c r="B93" i="36"/>
  <c r="A94" i="36"/>
  <c r="B94" i="36"/>
  <c r="A95" i="36"/>
  <c r="B95" i="36"/>
  <c r="A96" i="36"/>
  <c r="B96" i="36"/>
  <c r="A97" i="36"/>
  <c r="B97" i="36"/>
  <c r="A98" i="36"/>
  <c r="B98" i="36"/>
  <c r="A99" i="36"/>
  <c r="B99" i="36"/>
  <c r="A100" i="36"/>
  <c r="B100" i="36"/>
  <c r="A101" i="36"/>
  <c r="B101" i="36"/>
  <c r="A102" i="36"/>
  <c r="B102" i="36"/>
  <c r="A103" i="36"/>
  <c r="B103" i="36"/>
  <c r="A104" i="36"/>
  <c r="B104" i="36"/>
  <c r="A105" i="36"/>
  <c r="B105" i="36"/>
  <c r="A106" i="36"/>
  <c r="B106" i="36"/>
  <c r="A107" i="36"/>
  <c r="B107" i="36"/>
  <c r="A108" i="36"/>
  <c r="B108" i="36"/>
  <c r="A109" i="36"/>
  <c r="B109" i="36"/>
  <c r="A110" i="36"/>
  <c r="B110" i="36"/>
  <c r="A111" i="36"/>
  <c r="B111" i="36"/>
  <c r="A112" i="36"/>
  <c r="B112" i="36"/>
  <c r="A113" i="36"/>
  <c r="B113" i="36"/>
  <c r="A114" i="36"/>
  <c r="B114" i="36"/>
  <c r="A115" i="36"/>
  <c r="B115" i="36"/>
  <c r="A116" i="36"/>
  <c r="B116" i="36"/>
  <c r="A117" i="36"/>
  <c r="B117" i="36"/>
  <c r="A118" i="36"/>
  <c r="B118" i="36"/>
  <c r="A119" i="36"/>
  <c r="B119" i="36"/>
  <c r="A120" i="36"/>
  <c r="B120" i="36"/>
  <c r="A121" i="36"/>
  <c r="B121" i="36"/>
  <c r="A122" i="36"/>
  <c r="B122" i="36"/>
  <c r="A123" i="36"/>
  <c r="B123" i="36"/>
  <c r="A124" i="36"/>
  <c r="B124" i="36"/>
  <c r="A125" i="36"/>
  <c r="B125" i="36"/>
  <c r="A126" i="36"/>
  <c r="B126" i="36"/>
  <c r="A127" i="36"/>
  <c r="B127" i="36"/>
  <c r="A128" i="36"/>
  <c r="B128" i="36"/>
  <c r="A129" i="36"/>
  <c r="B129" i="36"/>
  <c r="A130" i="36"/>
  <c r="B130" i="36"/>
  <c r="A131" i="36"/>
  <c r="B131" i="36"/>
  <c r="A132" i="36"/>
  <c r="B132" i="36"/>
  <c r="A133" i="36"/>
  <c r="B133" i="36"/>
  <c r="A134" i="36"/>
  <c r="B134" i="36"/>
  <c r="A135" i="36"/>
  <c r="B135" i="36"/>
  <c r="A136" i="36"/>
  <c r="B136" i="36"/>
  <c r="A137" i="36"/>
  <c r="B137" i="36"/>
  <c r="A138" i="36"/>
  <c r="B138" i="36"/>
  <c r="A139" i="36"/>
  <c r="B139" i="36"/>
  <c r="A140" i="36"/>
  <c r="B140" i="36"/>
  <c r="A141" i="36"/>
  <c r="B141" i="36"/>
  <c r="A142" i="36"/>
  <c r="B142" i="36"/>
  <c r="A143" i="36"/>
  <c r="B143" i="36"/>
  <c r="A144" i="36"/>
  <c r="B144" i="36"/>
  <c r="A145" i="36"/>
  <c r="B145" i="36"/>
  <c r="A146" i="36"/>
  <c r="B146" i="36"/>
  <c r="A147" i="36"/>
  <c r="B147" i="36"/>
  <c r="A148" i="36"/>
  <c r="B148" i="36"/>
  <c r="A149" i="36"/>
  <c r="B149" i="36"/>
  <c r="A150" i="36"/>
  <c r="B150" i="36"/>
  <c r="A151" i="36"/>
  <c r="B151" i="36"/>
  <c r="A152" i="36"/>
  <c r="B152" i="36"/>
  <c r="A153" i="36"/>
  <c r="B153" i="36"/>
  <c r="A154" i="36"/>
  <c r="B154" i="36"/>
  <c r="A155" i="36"/>
  <c r="B155" i="36"/>
  <c r="A156" i="36"/>
  <c r="B156" i="36"/>
  <c r="A157" i="36"/>
  <c r="B157" i="36"/>
  <c r="A158" i="36"/>
  <c r="B158" i="36"/>
  <c r="A159" i="36"/>
  <c r="B159" i="36"/>
  <c r="A160" i="36"/>
  <c r="B160" i="36"/>
  <c r="A161" i="36"/>
  <c r="B161" i="36"/>
  <c r="A162" i="36"/>
  <c r="B162" i="36"/>
  <c r="A163" i="36"/>
  <c r="B163" i="36"/>
  <c r="A164" i="36"/>
  <c r="B164" i="36"/>
  <c r="A165" i="36"/>
  <c r="B165" i="36"/>
  <c r="A166" i="36"/>
  <c r="B166" i="36"/>
  <c r="A167" i="36"/>
  <c r="B167" i="36"/>
  <c r="A168" i="36"/>
  <c r="B168" i="36"/>
  <c r="A169" i="36"/>
  <c r="B169" i="36"/>
  <c r="A170" i="36"/>
  <c r="B170" i="36"/>
  <c r="A171" i="36"/>
  <c r="B171" i="36"/>
  <c r="A172" i="36"/>
  <c r="B172" i="36"/>
  <c r="A173" i="36"/>
  <c r="B173" i="36"/>
  <c r="A174" i="36"/>
  <c r="B174" i="36"/>
  <c r="A175" i="36"/>
  <c r="B175" i="36"/>
  <c r="A176" i="36"/>
  <c r="B176" i="36"/>
  <c r="A177" i="36"/>
  <c r="B177" i="36"/>
  <c r="A178" i="36"/>
  <c r="B178" i="36"/>
  <c r="A179" i="36"/>
  <c r="B179" i="36"/>
  <c r="A180" i="36"/>
  <c r="B180" i="36"/>
  <c r="A181" i="36"/>
  <c r="B181" i="36"/>
  <c r="A182" i="36"/>
  <c r="B182" i="36"/>
  <c r="A183" i="36"/>
  <c r="B183" i="36"/>
  <c r="A184" i="36"/>
  <c r="B184" i="36"/>
  <c r="A185" i="36"/>
  <c r="B185" i="36"/>
  <c r="A186" i="36"/>
  <c r="B186" i="36"/>
  <c r="A187" i="36"/>
  <c r="B187" i="36"/>
  <c r="A188" i="36"/>
  <c r="B188" i="36"/>
  <c r="A189" i="36"/>
  <c r="B189" i="36"/>
  <c r="A190" i="36"/>
  <c r="B190" i="36"/>
  <c r="A191" i="36"/>
  <c r="B191" i="36"/>
  <c r="A192" i="36"/>
  <c r="B192" i="36"/>
  <c r="A193" i="36"/>
  <c r="B193" i="36"/>
  <c r="A194" i="36"/>
  <c r="B194" i="36"/>
  <c r="A195" i="36"/>
  <c r="B195" i="36"/>
  <c r="A196" i="36"/>
  <c r="B196" i="36"/>
  <c r="A197" i="36"/>
  <c r="B197" i="36"/>
  <c r="A198" i="36"/>
  <c r="B198" i="36"/>
  <c r="A199" i="36"/>
  <c r="B199" i="36"/>
  <c r="A200" i="36"/>
  <c r="B200" i="36"/>
  <c r="A201" i="36"/>
  <c r="B201" i="36"/>
  <c r="A202" i="36"/>
  <c r="B202" i="36"/>
  <c r="A203" i="36"/>
  <c r="B203" i="36"/>
  <c r="A204" i="36"/>
  <c r="B204" i="36"/>
  <c r="A205" i="36"/>
  <c r="B205" i="36"/>
  <c r="A206" i="36"/>
  <c r="B206" i="36"/>
  <c r="A207" i="36"/>
  <c r="B207" i="36"/>
  <c r="A208" i="36"/>
  <c r="B208" i="36"/>
  <c r="A209" i="36"/>
  <c r="B209" i="36"/>
  <c r="A210" i="36"/>
  <c r="B210" i="36"/>
  <c r="A211" i="36"/>
  <c r="B211" i="36"/>
  <c r="A212" i="36"/>
  <c r="B212" i="36"/>
  <c r="A213" i="36"/>
  <c r="B213" i="36"/>
  <c r="A214" i="36"/>
  <c r="B214" i="36"/>
  <c r="A215" i="36"/>
  <c r="B215" i="36"/>
  <c r="A216" i="36"/>
  <c r="B216" i="36"/>
  <c r="A217" i="36"/>
  <c r="B217" i="36"/>
  <c r="A218" i="36"/>
  <c r="B218" i="36"/>
  <c r="A219" i="36"/>
  <c r="B219" i="36"/>
  <c r="A220" i="36"/>
  <c r="B220" i="36"/>
  <c r="A221" i="36"/>
  <c r="B221" i="36"/>
  <c r="A222" i="36"/>
  <c r="B222" i="36"/>
  <c r="A223" i="36"/>
  <c r="B223" i="36"/>
  <c r="A224" i="36"/>
  <c r="B224" i="36"/>
  <c r="A225" i="36"/>
  <c r="B225" i="36"/>
  <c r="A226" i="36"/>
  <c r="B226" i="36"/>
  <c r="A227" i="36"/>
  <c r="B227" i="36"/>
  <c r="A228" i="36"/>
  <c r="B228" i="36"/>
  <c r="A229" i="36"/>
  <c r="B229" i="36"/>
  <c r="A230" i="36"/>
  <c r="B230" i="36"/>
  <c r="A231" i="36"/>
  <c r="B231" i="36"/>
  <c r="A232" i="36"/>
  <c r="B232" i="36"/>
  <c r="A233" i="36"/>
  <c r="B233" i="36"/>
  <c r="A234" i="36"/>
  <c r="B234" i="36"/>
  <c r="A235" i="36"/>
  <c r="B235" i="36"/>
  <c r="A236" i="36"/>
  <c r="B236" i="36"/>
  <c r="A237" i="36"/>
  <c r="B237" i="36"/>
  <c r="A238" i="36"/>
  <c r="B238" i="36"/>
  <c r="A239" i="36"/>
  <c r="B239" i="36"/>
  <c r="A240" i="36"/>
  <c r="B240" i="36"/>
  <c r="A241" i="36"/>
  <c r="B241" i="36"/>
  <c r="A242" i="36"/>
  <c r="B242" i="36"/>
  <c r="A243" i="36"/>
  <c r="B243" i="36"/>
  <c r="A244" i="36"/>
  <c r="B244" i="36"/>
  <c r="A245" i="36"/>
  <c r="B245" i="36"/>
  <c r="A246" i="36"/>
  <c r="B246" i="36"/>
  <c r="A247" i="36"/>
  <c r="B247" i="36"/>
  <c r="A248" i="36"/>
  <c r="B248" i="36"/>
  <c r="A249" i="36"/>
  <c r="B249" i="36"/>
  <c r="A250" i="36"/>
  <c r="B250" i="36"/>
  <c r="A251" i="36"/>
  <c r="B251" i="36"/>
  <c r="A252" i="36"/>
  <c r="B252" i="36"/>
  <c r="A253" i="36"/>
  <c r="B253" i="36"/>
  <c r="A254" i="36"/>
  <c r="B254" i="36"/>
  <c r="A255" i="36"/>
  <c r="B255" i="36"/>
  <c r="A256" i="36"/>
  <c r="B256" i="36"/>
  <c r="A257" i="36"/>
  <c r="B257" i="36"/>
  <c r="A258" i="36"/>
  <c r="B258" i="36"/>
  <c r="A259" i="36"/>
  <c r="B259" i="36"/>
  <c r="A260" i="36"/>
  <c r="B260" i="36"/>
  <c r="A261" i="36"/>
  <c r="B261" i="36"/>
  <c r="A262" i="36"/>
  <c r="B262" i="36"/>
  <c r="A263" i="36"/>
  <c r="B263" i="36"/>
  <c r="A264" i="36"/>
  <c r="B264" i="36"/>
  <c r="A265" i="36"/>
  <c r="B265" i="36"/>
  <c r="A266" i="36"/>
  <c r="B266" i="36"/>
  <c r="A267" i="36"/>
  <c r="B267" i="36"/>
  <c r="A268" i="36"/>
  <c r="B268" i="36"/>
  <c r="A269" i="36"/>
  <c r="B269" i="36"/>
  <c r="A270" i="36"/>
  <c r="B270" i="36"/>
  <c r="A271" i="36"/>
  <c r="B271" i="36"/>
  <c r="A272" i="36"/>
  <c r="B272" i="36"/>
  <c r="A273" i="36"/>
  <c r="B273" i="36"/>
  <c r="A274" i="36"/>
  <c r="B274" i="36"/>
  <c r="A275" i="36"/>
  <c r="B275" i="36"/>
  <c r="A276" i="36"/>
  <c r="B276" i="36"/>
  <c r="A277" i="36"/>
  <c r="B277" i="36"/>
  <c r="A278" i="36"/>
  <c r="B278" i="36"/>
  <c r="A279" i="36"/>
  <c r="B279" i="36"/>
  <c r="A280" i="36"/>
  <c r="B280" i="36"/>
  <c r="A281" i="36"/>
  <c r="B281" i="36"/>
  <c r="A282" i="36"/>
  <c r="B282" i="36"/>
  <c r="A283" i="36"/>
  <c r="B283" i="36"/>
  <c r="A284" i="36"/>
  <c r="B284" i="36"/>
  <c r="A285" i="36"/>
  <c r="B285" i="36"/>
  <c r="A286" i="36"/>
  <c r="B286" i="36"/>
  <c r="A287" i="36"/>
  <c r="B287" i="36"/>
  <c r="A288" i="36"/>
  <c r="B288" i="36"/>
  <c r="A289" i="36"/>
  <c r="B289" i="36"/>
  <c r="A290" i="36"/>
  <c r="B290" i="36"/>
  <c r="A291" i="36"/>
  <c r="B291" i="36"/>
  <c r="A292" i="36"/>
  <c r="B292" i="36"/>
  <c r="A293" i="36"/>
  <c r="B293" i="36"/>
  <c r="A294" i="36"/>
  <c r="B294" i="36"/>
  <c r="A295" i="36"/>
  <c r="B295" i="36"/>
  <c r="A296" i="36"/>
  <c r="B296" i="36"/>
  <c r="A297" i="36"/>
  <c r="B297" i="36"/>
  <c r="A298" i="36"/>
  <c r="B298" i="36"/>
  <c r="A299" i="36"/>
  <c r="B299" i="36"/>
  <c r="A300" i="36"/>
  <c r="B300" i="36"/>
  <c r="A301" i="36"/>
  <c r="B301" i="36"/>
  <c r="A302" i="36"/>
  <c r="B302" i="36"/>
  <c r="A303" i="36"/>
  <c r="B303" i="36"/>
  <c r="A304" i="36"/>
  <c r="B304" i="36"/>
  <c r="A305" i="36"/>
  <c r="B305" i="36"/>
  <c r="A306" i="36"/>
  <c r="B306" i="36"/>
  <c r="A307" i="36"/>
  <c r="B307" i="36"/>
  <c r="A308" i="36"/>
  <c r="B308" i="36"/>
  <c r="A13" i="34"/>
  <c r="B13" i="34"/>
  <c r="A14" i="34"/>
  <c r="B14" i="34"/>
  <c r="A15" i="34"/>
  <c r="B15" i="34"/>
  <c r="A16" i="34"/>
  <c r="B16" i="34"/>
  <c r="A17" i="34"/>
  <c r="B17" i="34"/>
  <c r="A18" i="34"/>
  <c r="B18" i="34"/>
  <c r="A19" i="34"/>
  <c r="B19" i="34"/>
  <c r="A20" i="34"/>
  <c r="B20" i="34"/>
  <c r="A21" i="34"/>
  <c r="B21" i="34"/>
  <c r="A22" i="34"/>
  <c r="B22" i="34"/>
  <c r="A23" i="34"/>
  <c r="B23" i="34"/>
  <c r="A24" i="34"/>
  <c r="B24" i="34"/>
  <c r="A25" i="34"/>
  <c r="B25" i="34"/>
  <c r="A26" i="34"/>
  <c r="B26" i="34"/>
  <c r="A27" i="34"/>
  <c r="B27" i="34"/>
  <c r="A28" i="34"/>
  <c r="B28" i="34"/>
  <c r="A29" i="34"/>
  <c r="B29" i="34"/>
  <c r="A30" i="34"/>
  <c r="B30" i="34"/>
  <c r="A31" i="34"/>
  <c r="B31" i="34"/>
  <c r="A32" i="34"/>
  <c r="B32" i="34"/>
  <c r="A33" i="34"/>
  <c r="B33" i="34"/>
  <c r="A34" i="34"/>
  <c r="B34" i="34"/>
  <c r="A35" i="34"/>
  <c r="B35" i="34"/>
  <c r="A36" i="34"/>
  <c r="B36" i="34"/>
  <c r="A37" i="34"/>
  <c r="B37" i="34"/>
  <c r="A38" i="34"/>
  <c r="B38" i="34"/>
  <c r="A39" i="34"/>
  <c r="B39" i="34"/>
  <c r="A40" i="34"/>
  <c r="B40" i="34"/>
  <c r="A41" i="34"/>
  <c r="B41" i="34"/>
  <c r="A42" i="34"/>
  <c r="B42" i="34"/>
  <c r="A43" i="34"/>
  <c r="B43" i="34"/>
  <c r="A44" i="34"/>
  <c r="B44" i="34"/>
  <c r="A45" i="34"/>
  <c r="B45" i="34"/>
  <c r="A46" i="34"/>
  <c r="B46" i="34"/>
  <c r="A47" i="34"/>
  <c r="B47" i="34"/>
  <c r="A48" i="34"/>
  <c r="B48" i="34"/>
  <c r="A49" i="34"/>
  <c r="B49" i="34"/>
  <c r="A50" i="34"/>
  <c r="B50" i="34"/>
  <c r="A51" i="34"/>
  <c r="B51" i="34"/>
  <c r="A52" i="34"/>
  <c r="B52" i="34"/>
  <c r="A53" i="34"/>
  <c r="B53" i="34"/>
  <c r="A54" i="34"/>
  <c r="B54" i="34"/>
  <c r="A55" i="34"/>
  <c r="B55" i="34"/>
  <c r="A56" i="34"/>
  <c r="B56" i="34"/>
  <c r="A57" i="34"/>
  <c r="B57" i="34"/>
  <c r="A58" i="34"/>
  <c r="B58" i="34"/>
  <c r="A59" i="34"/>
  <c r="B59" i="34"/>
  <c r="A60" i="34"/>
  <c r="B60" i="34"/>
  <c r="A61" i="34"/>
  <c r="B61" i="34"/>
  <c r="A62" i="34"/>
  <c r="B62" i="34"/>
  <c r="A63" i="34"/>
  <c r="B63" i="34"/>
  <c r="A64" i="34"/>
  <c r="B64" i="34"/>
  <c r="A65" i="34"/>
  <c r="B65" i="34"/>
  <c r="A66" i="34"/>
  <c r="B66" i="34"/>
  <c r="A67" i="34"/>
  <c r="B67" i="34"/>
  <c r="A68" i="34"/>
  <c r="B68" i="34"/>
  <c r="A69" i="34"/>
  <c r="B69" i="34"/>
  <c r="A70" i="34"/>
  <c r="B70" i="34"/>
  <c r="A71" i="34"/>
  <c r="B71" i="34"/>
  <c r="A72" i="34"/>
  <c r="B72" i="34"/>
  <c r="A73" i="34"/>
  <c r="B73" i="34"/>
  <c r="A74" i="34"/>
  <c r="B74" i="34"/>
  <c r="A75" i="34"/>
  <c r="B75" i="34"/>
  <c r="A76" i="34"/>
  <c r="B76" i="34"/>
  <c r="A77" i="34"/>
  <c r="B77" i="34"/>
  <c r="A78" i="34"/>
  <c r="B78" i="34"/>
  <c r="A79" i="34"/>
  <c r="B79" i="34"/>
  <c r="A80" i="34"/>
  <c r="B80" i="34"/>
  <c r="A81" i="34"/>
  <c r="B81" i="34"/>
  <c r="A82" i="34"/>
  <c r="B82" i="34"/>
  <c r="A83" i="34"/>
  <c r="B83" i="34"/>
  <c r="A84" i="34"/>
  <c r="B84" i="34"/>
  <c r="A85" i="34"/>
  <c r="B85" i="34"/>
  <c r="A86" i="34"/>
  <c r="B86" i="34"/>
  <c r="A87" i="34"/>
  <c r="B87" i="34"/>
  <c r="A88" i="34"/>
  <c r="B88" i="34"/>
  <c r="A89" i="34"/>
  <c r="B89" i="34"/>
  <c r="A90" i="34"/>
  <c r="B90" i="34"/>
  <c r="A91" i="34"/>
  <c r="B91" i="34"/>
  <c r="A92" i="34"/>
  <c r="B92" i="34"/>
  <c r="A93" i="34"/>
  <c r="B93" i="34"/>
  <c r="A94" i="34"/>
  <c r="B94" i="34"/>
  <c r="A95" i="34"/>
  <c r="B95" i="34"/>
  <c r="A96" i="34"/>
  <c r="B96" i="34"/>
  <c r="A97" i="34"/>
  <c r="B97" i="34"/>
  <c r="A98" i="34"/>
  <c r="B98" i="34"/>
  <c r="A99" i="34"/>
  <c r="B99" i="34"/>
  <c r="A100" i="34"/>
  <c r="B100" i="34"/>
  <c r="A101" i="34"/>
  <c r="B101" i="34"/>
  <c r="A102" i="34"/>
  <c r="B102" i="34"/>
  <c r="A103" i="34"/>
  <c r="B103" i="34"/>
  <c r="A104" i="34"/>
  <c r="B104" i="34"/>
  <c r="A105" i="34"/>
  <c r="B105" i="34"/>
  <c r="A106" i="34"/>
  <c r="B106" i="34"/>
  <c r="A107" i="34"/>
  <c r="B107" i="34"/>
  <c r="A108" i="34"/>
  <c r="B108" i="34"/>
  <c r="A109" i="34"/>
  <c r="B109" i="34"/>
  <c r="A110" i="34"/>
  <c r="B110" i="34"/>
  <c r="A111" i="34"/>
  <c r="B111" i="34"/>
  <c r="A112" i="34"/>
  <c r="B112" i="34"/>
  <c r="A113" i="34"/>
  <c r="B113" i="34"/>
  <c r="A114" i="34"/>
  <c r="B114" i="34"/>
  <c r="A115" i="34"/>
  <c r="B115" i="34"/>
  <c r="A116" i="34"/>
  <c r="B116" i="34"/>
  <c r="A117" i="34"/>
  <c r="B117" i="34"/>
  <c r="A118" i="34"/>
  <c r="B118" i="34"/>
  <c r="A119" i="34"/>
  <c r="B119" i="34"/>
  <c r="A120" i="34"/>
  <c r="B120" i="34"/>
  <c r="A121" i="34"/>
  <c r="B121" i="34"/>
  <c r="A122" i="34"/>
  <c r="B122" i="34"/>
  <c r="A123" i="34"/>
  <c r="B123" i="34"/>
  <c r="A124" i="34"/>
  <c r="B124" i="34"/>
  <c r="A125" i="34"/>
  <c r="B125" i="34"/>
  <c r="A126" i="34"/>
  <c r="B126" i="34"/>
  <c r="A127" i="34"/>
  <c r="B127" i="34"/>
  <c r="A128" i="34"/>
  <c r="B128" i="34"/>
  <c r="A129" i="34"/>
  <c r="B129" i="34"/>
  <c r="A130" i="34"/>
  <c r="B130" i="34"/>
  <c r="A131" i="34"/>
  <c r="B131" i="34"/>
  <c r="A132" i="34"/>
  <c r="B132" i="34"/>
  <c r="A133" i="34"/>
  <c r="B133" i="34"/>
  <c r="A134" i="34"/>
  <c r="B134" i="34"/>
  <c r="A135" i="34"/>
  <c r="B135" i="34"/>
  <c r="A136" i="34"/>
  <c r="B136" i="34"/>
  <c r="A137" i="34"/>
  <c r="B137" i="34"/>
  <c r="A138" i="34"/>
  <c r="B138" i="34"/>
  <c r="A139" i="34"/>
  <c r="B139" i="34"/>
  <c r="A140" i="34"/>
  <c r="B140" i="34"/>
  <c r="A141" i="34"/>
  <c r="B141" i="34"/>
  <c r="A142" i="34"/>
  <c r="B142" i="34"/>
  <c r="A143" i="34"/>
  <c r="B143" i="34"/>
  <c r="A144" i="34"/>
  <c r="B144" i="34"/>
  <c r="A145" i="34"/>
  <c r="B145" i="34"/>
  <c r="A146" i="34"/>
  <c r="B146" i="34"/>
  <c r="A147" i="34"/>
  <c r="B147" i="34"/>
  <c r="A148" i="34"/>
  <c r="B148" i="34"/>
  <c r="A149" i="34"/>
  <c r="B149" i="34"/>
  <c r="A150" i="34"/>
  <c r="B150" i="34"/>
  <c r="A151" i="34"/>
  <c r="B151" i="34"/>
  <c r="A152" i="34"/>
  <c r="B152" i="34"/>
  <c r="A153" i="34"/>
  <c r="B153" i="34"/>
  <c r="A154" i="34"/>
  <c r="B154" i="34"/>
  <c r="A155" i="34"/>
  <c r="B155" i="34"/>
  <c r="A156" i="34"/>
  <c r="B156" i="34"/>
  <c r="A157" i="34"/>
  <c r="B157" i="34"/>
  <c r="A158" i="34"/>
  <c r="B158" i="34"/>
  <c r="A159" i="34"/>
  <c r="B159" i="34"/>
  <c r="A160" i="34"/>
  <c r="B160" i="34"/>
  <c r="A161" i="34"/>
  <c r="B161" i="34"/>
  <c r="A162" i="34"/>
  <c r="B162" i="34"/>
  <c r="A163" i="34"/>
  <c r="B163" i="34"/>
  <c r="A164" i="34"/>
  <c r="B164" i="34"/>
  <c r="A165" i="34"/>
  <c r="B165" i="34"/>
  <c r="A166" i="34"/>
  <c r="B166" i="34"/>
  <c r="A167" i="34"/>
  <c r="B167" i="34"/>
  <c r="A168" i="34"/>
  <c r="B168" i="34"/>
  <c r="A169" i="34"/>
  <c r="B169" i="34"/>
  <c r="A170" i="34"/>
  <c r="B170" i="34"/>
  <c r="A171" i="34"/>
  <c r="B171" i="34"/>
  <c r="A172" i="34"/>
  <c r="B172" i="34"/>
  <c r="A173" i="34"/>
  <c r="B173" i="34"/>
  <c r="A174" i="34"/>
  <c r="B174" i="34"/>
  <c r="A175" i="34"/>
  <c r="B175" i="34"/>
  <c r="A176" i="34"/>
  <c r="B176" i="34"/>
  <c r="A177" i="34"/>
  <c r="B177" i="34"/>
  <c r="A178" i="34"/>
  <c r="B178" i="34"/>
  <c r="A179" i="34"/>
  <c r="B179" i="34"/>
  <c r="A180" i="34"/>
  <c r="B180" i="34"/>
  <c r="A181" i="34"/>
  <c r="B181" i="34"/>
  <c r="A182" i="34"/>
  <c r="B182" i="34"/>
  <c r="A183" i="34"/>
  <c r="B183" i="34"/>
  <c r="A184" i="34"/>
  <c r="B184" i="34"/>
  <c r="A185" i="34"/>
  <c r="B185" i="34"/>
  <c r="A186" i="34"/>
  <c r="B186" i="34"/>
  <c r="A187" i="34"/>
  <c r="B187" i="34"/>
  <c r="A188" i="34"/>
  <c r="B188" i="34"/>
  <c r="A189" i="34"/>
  <c r="B189" i="34"/>
  <c r="A190" i="34"/>
  <c r="B190" i="34"/>
  <c r="A191" i="34"/>
  <c r="B191" i="34"/>
  <c r="A192" i="34"/>
  <c r="B192" i="34"/>
  <c r="A193" i="34"/>
  <c r="B193" i="34"/>
  <c r="A194" i="34"/>
  <c r="B194" i="34"/>
  <c r="A195" i="34"/>
  <c r="B195" i="34"/>
  <c r="A196" i="34"/>
  <c r="B196" i="34"/>
  <c r="A197" i="34"/>
  <c r="B197" i="34"/>
  <c r="A198" i="34"/>
  <c r="B198" i="34"/>
  <c r="A199" i="34"/>
  <c r="B199" i="34"/>
  <c r="A200" i="34"/>
  <c r="B200" i="34"/>
  <c r="A201" i="34"/>
  <c r="B201" i="34"/>
  <c r="A202" i="34"/>
  <c r="B202" i="34"/>
  <c r="A203" i="34"/>
  <c r="B203" i="34"/>
  <c r="A204" i="34"/>
  <c r="B204" i="34"/>
  <c r="A205" i="34"/>
  <c r="B205" i="34"/>
  <c r="A206" i="34"/>
  <c r="B206" i="34"/>
  <c r="A207" i="34"/>
  <c r="B207" i="34"/>
  <c r="A208" i="34"/>
  <c r="B208" i="34"/>
  <c r="A209" i="34"/>
  <c r="B209" i="34"/>
  <c r="A210" i="34"/>
  <c r="B210" i="34"/>
  <c r="A211" i="34"/>
  <c r="B211" i="34"/>
  <c r="A212" i="34"/>
  <c r="B212" i="34"/>
  <c r="A213" i="34"/>
  <c r="B213" i="34"/>
  <c r="A214" i="34"/>
  <c r="B214" i="34"/>
  <c r="A215" i="34"/>
  <c r="B215" i="34"/>
  <c r="A216" i="34"/>
  <c r="B216" i="34"/>
  <c r="A217" i="34"/>
  <c r="B217" i="34"/>
  <c r="A218" i="34"/>
  <c r="B218" i="34"/>
  <c r="A219" i="34"/>
  <c r="B219" i="34"/>
  <c r="A220" i="34"/>
  <c r="B220" i="34"/>
  <c r="A221" i="34"/>
  <c r="B221" i="34"/>
  <c r="A222" i="34"/>
  <c r="B222" i="34"/>
  <c r="A223" i="34"/>
  <c r="B223" i="34"/>
  <c r="A224" i="34"/>
  <c r="B224" i="34"/>
  <c r="A225" i="34"/>
  <c r="B225" i="34"/>
  <c r="A226" i="34"/>
  <c r="B226" i="34"/>
  <c r="A227" i="34"/>
  <c r="B227" i="34"/>
  <c r="A228" i="34"/>
  <c r="B228" i="34"/>
  <c r="A229" i="34"/>
  <c r="B229" i="34"/>
  <c r="A230" i="34"/>
  <c r="B230" i="34"/>
  <c r="A231" i="34"/>
  <c r="B231" i="34"/>
  <c r="A232" i="34"/>
  <c r="B232" i="34"/>
  <c r="A233" i="34"/>
  <c r="B233" i="34"/>
  <c r="A234" i="34"/>
  <c r="B234" i="34"/>
  <c r="A235" i="34"/>
  <c r="B235" i="34"/>
  <c r="A236" i="34"/>
  <c r="B236" i="34"/>
  <c r="A237" i="34"/>
  <c r="B237" i="34"/>
  <c r="A238" i="34"/>
  <c r="B238" i="34"/>
  <c r="A239" i="34"/>
  <c r="B239" i="34"/>
  <c r="A240" i="34"/>
  <c r="B240" i="34"/>
  <c r="A241" i="34"/>
  <c r="B241" i="34"/>
  <c r="A242" i="34"/>
  <c r="B242" i="34"/>
  <c r="A243" i="34"/>
  <c r="B243" i="34"/>
  <c r="A244" i="34"/>
  <c r="B244" i="34"/>
  <c r="A245" i="34"/>
  <c r="B245" i="34"/>
  <c r="A246" i="34"/>
  <c r="B246" i="34"/>
  <c r="A247" i="34"/>
  <c r="B247" i="34"/>
  <c r="A248" i="34"/>
  <c r="B248" i="34"/>
  <c r="A249" i="34"/>
  <c r="B249" i="34"/>
  <c r="A250" i="34"/>
  <c r="B250" i="34"/>
  <c r="A251" i="34"/>
  <c r="B251" i="34"/>
  <c r="A252" i="34"/>
  <c r="B252" i="34"/>
  <c r="A253" i="34"/>
  <c r="B253" i="34"/>
  <c r="A254" i="34"/>
  <c r="B254" i="34"/>
  <c r="A255" i="34"/>
  <c r="B255" i="34"/>
  <c r="A256" i="34"/>
  <c r="B256" i="34"/>
  <c r="A257" i="34"/>
  <c r="B257" i="34"/>
  <c r="A258" i="34"/>
  <c r="B258" i="34"/>
  <c r="A259" i="34"/>
  <c r="B259" i="34"/>
  <c r="A260" i="34"/>
  <c r="B260" i="34"/>
  <c r="A261" i="34"/>
  <c r="B261" i="34"/>
  <c r="A262" i="34"/>
  <c r="B262" i="34"/>
  <c r="A263" i="34"/>
  <c r="B263" i="34"/>
  <c r="A264" i="34"/>
  <c r="B264" i="34"/>
  <c r="A265" i="34"/>
  <c r="B265" i="34"/>
  <c r="A266" i="34"/>
  <c r="B266" i="34"/>
  <c r="A267" i="34"/>
  <c r="B267" i="34"/>
  <c r="A268" i="34"/>
  <c r="B268" i="34"/>
  <c r="A269" i="34"/>
  <c r="B269" i="34"/>
  <c r="A270" i="34"/>
  <c r="B270" i="34"/>
  <c r="A271" i="34"/>
  <c r="B271" i="34"/>
  <c r="A272" i="34"/>
  <c r="B272" i="34"/>
  <c r="A273" i="34"/>
  <c r="B273" i="34"/>
  <c r="A274" i="34"/>
  <c r="B274" i="34"/>
  <c r="A275" i="34"/>
  <c r="B275" i="34"/>
  <c r="A276" i="34"/>
  <c r="B276" i="34"/>
  <c r="A277" i="34"/>
  <c r="B277" i="34"/>
  <c r="A278" i="34"/>
  <c r="B278" i="34"/>
  <c r="A279" i="34"/>
  <c r="B279" i="34"/>
  <c r="A280" i="34"/>
  <c r="B280" i="34"/>
  <c r="A281" i="34"/>
  <c r="B281" i="34"/>
  <c r="A282" i="34"/>
  <c r="B282" i="34"/>
  <c r="A283" i="34"/>
  <c r="B283" i="34"/>
  <c r="A284" i="34"/>
  <c r="B284" i="34"/>
  <c r="A285" i="34"/>
  <c r="B285" i="34"/>
  <c r="A286" i="34"/>
  <c r="B286" i="34"/>
  <c r="A287" i="34"/>
  <c r="B287" i="34"/>
  <c r="A288" i="34"/>
  <c r="B288" i="34"/>
  <c r="A289" i="34"/>
  <c r="B289" i="34"/>
  <c r="A290" i="34"/>
  <c r="B290" i="34"/>
  <c r="A291" i="34"/>
  <c r="B291" i="34"/>
  <c r="A292" i="34"/>
  <c r="B292" i="34"/>
  <c r="A293" i="34"/>
  <c r="B293" i="34"/>
  <c r="A294" i="34"/>
  <c r="B294" i="34"/>
  <c r="A295" i="34"/>
  <c r="B295" i="34"/>
  <c r="A296" i="34"/>
  <c r="B296" i="34"/>
  <c r="A297" i="34"/>
  <c r="B297" i="34"/>
  <c r="A298" i="34"/>
  <c r="B298" i="34"/>
  <c r="A299" i="34"/>
  <c r="B299" i="34"/>
  <c r="A300" i="34"/>
  <c r="B300" i="34"/>
  <c r="A301" i="34"/>
  <c r="B301" i="34"/>
  <c r="A302" i="34"/>
  <c r="B302" i="34"/>
  <c r="A303" i="34"/>
  <c r="B303" i="34"/>
  <c r="A304" i="34"/>
  <c r="B304" i="34"/>
  <c r="A305" i="34"/>
  <c r="B305" i="34"/>
  <c r="A306" i="34"/>
  <c r="B306" i="34"/>
  <c r="A307" i="34"/>
  <c r="B307" i="34"/>
  <c r="A308" i="34"/>
  <c r="B308" i="34"/>
  <c r="A309" i="34"/>
  <c r="B309" i="34"/>
  <c r="A310" i="34"/>
  <c r="B310" i="34"/>
  <c r="A311" i="34"/>
  <c r="B311" i="34"/>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58" i="33"/>
  <c r="B158" i="33"/>
  <c r="A159" i="33"/>
  <c r="B159" i="33"/>
  <c r="A160" i="33"/>
  <c r="B160" i="33"/>
  <c r="A161" i="33"/>
  <c r="B161" i="33"/>
  <c r="A162" i="33"/>
  <c r="B162" i="33"/>
  <c r="A163" i="33"/>
  <c r="B163" i="33"/>
  <c r="A164" i="33"/>
  <c r="B164" i="33"/>
  <c r="A165" i="33"/>
  <c r="B165" i="33"/>
  <c r="A166" i="33"/>
  <c r="B166" i="33"/>
  <c r="A167" i="33"/>
  <c r="B167" i="33"/>
  <c r="A168" i="33"/>
  <c r="B168" i="33"/>
  <c r="A169" i="33"/>
  <c r="B169" i="33"/>
  <c r="A170" i="33"/>
  <c r="B170" i="33"/>
  <c r="A171" i="33"/>
  <c r="B171" i="33"/>
  <c r="A172" i="33"/>
  <c r="B172" i="33"/>
  <c r="A173" i="33"/>
  <c r="B173" i="33"/>
  <c r="A174" i="33"/>
  <c r="B174" i="33"/>
  <c r="A175" i="33"/>
  <c r="B175" i="33"/>
  <c r="A176" i="33"/>
  <c r="B176" i="33"/>
  <c r="A177" i="33"/>
  <c r="B177" i="33"/>
  <c r="A178" i="33"/>
  <c r="B178" i="33"/>
  <c r="A179" i="33"/>
  <c r="B179" i="33"/>
  <c r="A180" i="33"/>
  <c r="B180" i="33"/>
  <c r="A181" i="33"/>
  <c r="B181" i="33"/>
  <c r="A182" i="33"/>
  <c r="B182" i="33"/>
  <c r="A183" i="33"/>
  <c r="B183" i="33"/>
  <c r="A184" i="33"/>
  <c r="B184" i="33"/>
  <c r="A185" i="33"/>
  <c r="B185" i="33"/>
  <c r="A186" i="33"/>
  <c r="B186" i="33"/>
  <c r="A187" i="33"/>
  <c r="B187" i="33"/>
  <c r="A188" i="33"/>
  <c r="B188" i="33"/>
  <c r="A189" i="33"/>
  <c r="B189" i="33"/>
  <c r="A190" i="33"/>
  <c r="B190" i="33"/>
  <c r="A191" i="33"/>
  <c r="B191" i="33"/>
  <c r="A192" i="33"/>
  <c r="B192" i="33"/>
  <c r="A193" i="33"/>
  <c r="B193" i="33"/>
  <c r="A194" i="33"/>
  <c r="B194" i="33"/>
  <c r="A195" i="33"/>
  <c r="B195" i="33"/>
  <c r="A196" i="33"/>
  <c r="B196" i="33"/>
  <c r="A197" i="33"/>
  <c r="B197" i="33"/>
  <c r="A198" i="33"/>
  <c r="B198" i="33"/>
  <c r="A199" i="33"/>
  <c r="B199" i="33"/>
  <c r="A200" i="33"/>
  <c r="B200" i="33"/>
  <c r="A201" i="33"/>
  <c r="B201" i="33"/>
  <c r="A202" i="33"/>
  <c r="B202" i="33"/>
  <c r="A203" i="33"/>
  <c r="B203" i="33"/>
  <c r="A204" i="33"/>
  <c r="B204" i="33"/>
  <c r="A205" i="33"/>
  <c r="B205" i="33"/>
  <c r="A206" i="33"/>
  <c r="B206" i="33"/>
  <c r="A207" i="33"/>
  <c r="B207" i="33"/>
  <c r="A208" i="33"/>
  <c r="B208" i="33"/>
  <c r="A209" i="33"/>
  <c r="B209" i="33"/>
  <c r="A210" i="33"/>
  <c r="B210" i="33"/>
  <c r="A211" i="33"/>
  <c r="B211" i="33"/>
  <c r="A212" i="33"/>
  <c r="B212" i="33"/>
  <c r="A213" i="33"/>
  <c r="B213" i="33"/>
  <c r="A214" i="33"/>
  <c r="B214" i="33"/>
  <c r="A215" i="33"/>
  <c r="B215" i="33"/>
  <c r="A216" i="33"/>
  <c r="B216" i="33"/>
  <c r="A217" i="33"/>
  <c r="B217" i="33"/>
  <c r="A218" i="33"/>
  <c r="B218" i="33"/>
  <c r="A219" i="33"/>
  <c r="B219" i="33"/>
  <c r="A220" i="33"/>
  <c r="B220" i="33"/>
  <c r="A221" i="33"/>
  <c r="B221" i="33"/>
  <c r="A222" i="33"/>
  <c r="B222" i="33"/>
  <c r="A223" i="33"/>
  <c r="B223" i="33"/>
  <c r="A224" i="33"/>
  <c r="B224" i="33"/>
  <c r="A225" i="33"/>
  <c r="B225" i="33"/>
  <c r="A226" i="33"/>
  <c r="B226" i="33"/>
  <c r="A227" i="33"/>
  <c r="B227" i="33"/>
  <c r="A228" i="33"/>
  <c r="B228" i="33"/>
  <c r="A229" i="33"/>
  <c r="B229" i="33"/>
  <c r="A230" i="33"/>
  <c r="B230" i="33"/>
  <c r="A231" i="33"/>
  <c r="B231" i="33"/>
  <c r="A232" i="33"/>
  <c r="B232" i="33"/>
  <c r="A233" i="33"/>
  <c r="B233" i="33"/>
  <c r="A234" i="33"/>
  <c r="B234" i="33"/>
  <c r="A235" i="33"/>
  <c r="B235" i="33"/>
  <c r="A236" i="33"/>
  <c r="B236" i="33"/>
  <c r="A237" i="33"/>
  <c r="B237" i="33"/>
  <c r="A238" i="33"/>
  <c r="B238" i="33"/>
  <c r="A239" i="33"/>
  <c r="B239" i="33"/>
  <c r="A240" i="33"/>
  <c r="B240" i="33"/>
  <c r="A241" i="33"/>
  <c r="B241" i="33"/>
  <c r="A242" i="33"/>
  <c r="B242" i="33"/>
  <c r="A243" i="33"/>
  <c r="B243" i="33"/>
  <c r="A244" i="33"/>
  <c r="B244" i="33"/>
  <c r="A245" i="33"/>
  <c r="B245" i="33"/>
  <c r="A246" i="33"/>
  <c r="B246" i="33"/>
  <c r="A247" i="33"/>
  <c r="B247" i="33"/>
  <c r="A248" i="33"/>
  <c r="B248" i="33"/>
  <c r="A249" i="33"/>
  <c r="B249" i="33"/>
  <c r="A250" i="33"/>
  <c r="B250" i="33"/>
  <c r="A251" i="33"/>
  <c r="B251" i="33"/>
  <c r="A252" i="33"/>
  <c r="B252" i="33"/>
  <c r="A253" i="33"/>
  <c r="B253" i="33"/>
  <c r="A254" i="33"/>
  <c r="B254" i="33"/>
  <c r="A255" i="33"/>
  <c r="B255" i="33"/>
  <c r="A256" i="33"/>
  <c r="B256" i="33"/>
  <c r="A257" i="33"/>
  <c r="B257" i="33"/>
  <c r="A258" i="33"/>
  <c r="B258" i="33"/>
  <c r="A259" i="33"/>
  <c r="B259" i="33"/>
  <c r="A260" i="33"/>
  <c r="B260" i="33"/>
  <c r="A261" i="33"/>
  <c r="B261" i="33"/>
  <c r="A262" i="33"/>
  <c r="B262" i="33"/>
  <c r="A263" i="33"/>
  <c r="B263" i="33"/>
  <c r="A264" i="33"/>
  <c r="B264" i="33"/>
  <c r="A265" i="33"/>
  <c r="B265" i="33"/>
  <c r="A266" i="33"/>
  <c r="B266" i="33"/>
  <c r="A267" i="33"/>
  <c r="B267" i="33"/>
  <c r="A268" i="33"/>
  <c r="B268" i="33"/>
  <c r="A269" i="33"/>
  <c r="B269" i="33"/>
  <c r="A270" i="33"/>
  <c r="B270" i="33"/>
  <c r="A271" i="33"/>
  <c r="B271" i="33"/>
  <c r="A272" i="33"/>
  <c r="B272" i="33"/>
  <c r="A273" i="33"/>
  <c r="B273" i="33"/>
  <c r="A274" i="33"/>
  <c r="B274" i="33"/>
  <c r="A275" i="33"/>
  <c r="B275" i="33"/>
  <c r="A276" i="33"/>
  <c r="B276" i="33"/>
  <c r="A277" i="33"/>
  <c r="B277" i="33"/>
  <c r="A278" i="33"/>
  <c r="B278" i="33"/>
  <c r="A279" i="33"/>
  <c r="B279" i="33"/>
  <c r="A280" i="33"/>
  <c r="B280" i="33"/>
  <c r="A281" i="33"/>
  <c r="B281" i="33"/>
  <c r="A282" i="33"/>
  <c r="B282" i="33"/>
  <c r="A283" i="33"/>
  <c r="B283" i="33"/>
  <c r="A284" i="33"/>
  <c r="B284" i="33"/>
  <c r="A285" i="33"/>
  <c r="B285" i="33"/>
  <c r="A286" i="33"/>
  <c r="B286" i="33"/>
  <c r="A287" i="33"/>
  <c r="B287" i="33"/>
  <c r="A288" i="33"/>
  <c r="B288" i="33"/>
  <c r="A289" i="33"/>
  <c r="B289" i="33"/>
  <c r="A290" i="33"/>
  <c r="B290" i="33"/>
  <c r="A291" i="33"/>
  <c r="B291" i="33"/>
  <c r="A292" i="33"/>
  <c r="B292" i="33"/>
  <c r="A293" i="33"/>
  <c r="B293" i="33"/>
  <c r="A294" i="33"/>
  <c r="B294" i="33"/>
  <c r="A295" i="33"/>
  <c r="B295" i="33"/>
  <c r="A296" i="33"/>
  <c r="B296" i="33"/>
  <c r="A297" i="33"/>
  <c r="B297" i="33"/>
  <c r="A298" i="33"/>
  <c r="B298" i="33"/>
  <c r="A299" i="33"/>
  <c r="B299" i="33"/>
  <c r="A300" i="33"/>
  <c r="B300" i="33"/>
  <c r="A301" i="33"/>
  <c r="B301" i="33"/>
  <c r="A302" i="33"/>
  <c r="B302" i="33"/>
  <c r="A303" i="33"/>
  <c r="B303" i="33"/>
  <c r="A304" i="33"/>
  <c r="B304" i="33"/>
  <c r="A305" i="33"/>
  <c r="B305" i="33"/>
  <c r="A13" i="9"/>
  <c r="B13" i="9"/>
  <c r="D13" i="9"/>
  <c r="E13" i="9"/>
  <c r="A14" i="9"/>
  <c r="B14" i="9"/>
  <c r="D14" i="9"/>
  <c r="F14" i="9" s="1"/>
  <c r="E14" i="9"/>
  <c r="A15" i="9"/>
  <c r="B15" i="9"/>
  <c r="D15" i="9"/>
  <c r="F15" i="9" s="1"/>
  <c r="E15" i="9"/>
  <c r="A16" i="9"/>
  <c r="B16" i="9"/>
  <c r="D16" i="9"/>
  <c r="E16" i="9"/>
  <c r="A17" i="9"/>
  <c r="B17" i="9"/>
  <c r="D17" i="9"/>
  <c r="F17" i="9" s="1"/>
  <c r="E17" i="9"/>
  <c r="A18" i="9"/>
  <c r="B18" i="9"/>
  <c r="D18" i="9"/>
  <c r="F18" i="9" s="1"/>
  <c r="E18" i="9"/>
  <c r="A19" i="9"/>
  <c r="B19" i="9"/>
  <c r="D19" i="9"/>
  <c r="E19" i="9"/>
  <c r="A20" i="9"/>
  <c r="B20" i="9"/>
  <c r="D20" i="9"/>
  <c r="F20" i="9" s="1"/>
  <c r="E20" i="9"/>
  <c r="A21" i="9"/>
  <c r="B21" i="9"/>
  <c r="D21" i="9"/>
  <c r="E21" i="9"/>
  <c r="F21" i="9" s="1"/>
  <c r="A22" i="9"/>
  <c r="B22" i="9"/>
  <c r="D22" i="9"/>
  <c r="E22" i="9"/>
  <c r="A23" i="9"/>
  <c r="B23" i="9"/>
  <c r="D23" i="9"/>
  <c r="F23" i="9" s="1"/>
  <c r="E23" i="9"/>
  <c r="A24" i="9"/>
  <c r="B24" i="9"/>
  <c r="D24" i="9"/>
  <c r="E24" i="9"/>
  <c r="F24" i="9" s="1"/>
  <c r="A25" i="9"/>
  <c r="B25" i="9"/>
  <c r="D25" i="9"/>
  <c r="E25" i="9"/>
  <c r="A26" i="9"/>
  <c r="B26" i="9"/>
  <c r="D26" i="9"/>
  <c r="F26" i="9" s="1"/>
  <c r="E26" i="9"/>
  <c r="A27" i="9"/>
  <c r="B27" i="9"/>
  <c r="D27" i="9"/>
  <c r="E27" i="9"/>
  <c r="F27" i="9" s="1"/>
  <c r="A28" i="9"/>
  <c r="B28" i="9"/>
  <c r="D28" i="9"/>
  <c r="E28" i="9"/>
  <c r="A29" i="9"/>
  <c r="B29" i="9"/>
  <c r="D29" i="9"/>
  <c r="E29" i="9"/>
  <c r="F29" i="9" s="1"/>
  <c r="A30" i="9"/>
  <c r="B30" i="9"/>
  <c r="D30" i="9"/>
  <c r="E30" i="9"/>
  <c r="A31" i="9"/>
  <c r="B31" i="9"/>
  <c r="D31" i="9"/>
  <c r="E31" i="9"/>
  <c r="F31" i="9"/>
  <c r="A32" i="9"/>
  <c r="B32" i="9"/>
  <c r="D32" i="9"/>
  <c r="E32" i="9"/>
  <c r="F32" i="9" s="1"/>
  <c r="A33" i="9"/>
  <c r="B33" i="9"/>
  <c r="D33" i="9"/>
  <c r="E33" i="9"/>
  <c r="A34" i="9"/>
  <c r="B34" i="9"/>
  <c r="D34" i="9"/>
  <c r="E34" i="9"/>
  <c r="F34" i="9"/>
  <c r="A35" i="9"/>
  <c r="B35" i="9"/>
  <c r="D35" i="9"/>
  <c r="E35" i="9"/>
  <c r="F35" i="9" s="1"/>
  <c r="A36" i="9"/>
  <c r="B36" i="9"/>
  <c r="D36" i="9"/>
  <c r="E36" i="9"/>
  <c r="A37" i="9"/>
  <c r="B37" i="9"/>
  <c r="D37" i="9"/>
  <c r="F37" i="9" s="1"/>
  <c r="E37" i="9"/>
  <c r="A38" i="9"/>
  <c r="B38" i="9"/>
  <c r="D38" i="9"/>
  <c r="F38" i="9" s="1"/>
  <c r="E38" i="9"/>
  <c r="A39" i="9"/>
  <c r="B39" i="9"/>
  <c r="D39" i="9"/>
  <c r="F39" i="9" s="1"/>
  <c r="E39" i="9"/>
  <c r="A40" i="9"/>
  <c r="B40" i="9"/>
  <c r="D40" i="9"/>
  <c r="E40" i="9"/>
  <c r="F40" i="9" s="1"/>
  <c r="A41" i="9"/>
  <c r="B41" i="9"/>
  <c r="D41" i="9"/>
  <c r="F41" i="9" s="1"/>
  <c r="E41" i="9"/>
  <c r="A42" i="9"/>
  <c r="B42" i="9"/>
  <c r="D42" i="9"/>
  <c r="F42" i="9" s="1"/>
  <c r="E42" i="9"/>
  <c r="A43" i="9"/>
  <c r="B43" i="9"/>
  <c r="D43" i="9"/>
  <c r="F43" i="9" s="1"/>
  <c r="E43" i="9"/>
  <c r="A44" i="9"/>
  <c r="B44" i="9"/>
  <c r="D44" i="9"/>
  <c r="E44" i="9"/>
  <c r="A45" i="9"/>
  <c r="B45" i="9"/>
  <c r="D45" i="9"/>
  <c r="E45" i="9"/>
  <c r="A46" i="9"/>
  <c r="B46" i="9"/>
  <c r="D46" i="9"/>
  <c r="E46" i="9"/>
  <c r="A47" i="9"/>
  <c r="B47" i="9"/>
  <c r="D47" i="9"/>
  <c r="E47" i="9"/>
  <c r="F47" i="9"/>
  <c r="A48" i="9"/>
  <c r="B48" i="9"/>
  <c r="D48" i="9"/>
  <c r="E48" i="9"/>
  <c r="F48" i="9" s="1"/>
  <c r="A49" i="9"/>
  <c r="B49" i="9"/>
  <c r="D49" i="9"/>
  <c r="E49" i="9"/>
  <c r="A50" i="9"/>
  <c r="B50" i="9"/>
  <c r="D50" i="9"/>
  <c r="E50" i="9"/>
  <c r="A51" i="9"/>
  <c r="B51" i="9"/>
  <c r="D51" i="9"/>
  <c r="E51" i="9"/>
  <c r="F51" i="9" s="1"/>
  <c r="A52" i="9"/>
  <c r="B52" i="9"/>
  <c r="D52" i="9"/>
  <c r="F52" i="9" s="1"/>
  <c r="E52" i="9"/>
  <c r="A53" i="9"/>
  <c r="B53" i="9"/>
  <c r="D53" i="9"/>
  <c r="F53" i="9" s="1"/>
  <c r="E53" i="9"/>
  <c r="A54" i="9"/>
  <c r="B54" i="9"/>
  <c r="D54" i="9"/>
  <c r="F54" i="9" s="1"/>
  <c r="E54" i="9"/>
  <c r="A55" i="9"/>
  <c r="B55" i="9"/>
  <c r="D55" i="9"/>
  <c r="F55" i="9" s="1"/>
  <c r="E55" i="9"/>
  <c r="A56" i="9"/>
  <c r="B56" i="9"/>
  <c r="D56" i="9"/>
  <c r="E56" i="9"/>
  <c r="A57" i="9"/>
  <c r="B57" i="9"/>
  <c r="D57" i="9"/>
  <c r="F57" i="9" s="1"/>
  <c r="E57" i="9"/>
  <c r="A58" i="9"/>
  <c r="B58" i="9"/>
  <c r="D58" i="9"/>
  <c r="E58" i="9"/>
  <c r="A59" i="9"/>
  <c r="B59" i="9"/>
  <c r="D59" i="9"/>
  <c r="E59" i="9"/>
  <c r="A60" i="9"/>
  <c r="B60" i="9"/>
  <c r="D60" i="9"/>
  <c r="E60" i="9"/>
  <c r="A61" i="9"/>
  <c r="B61" i="9"/>
  <c r="D61" i="9"/>
  <c r="E61" i="9"/>
  <c r="A62" i="9"/>
  <c r="B62" i="9"/>
  <c r="D62" i="9"/>
  <c r="E62" i="9"/>
  <c r="A63" i="9"/>
  <c r="B63" i="9"/>
  <c r="D63" i="9"/>
  <c r="F63" i="9" s="1"/>
  <c r="E63" i="9"/>
  <c r="A64" i="9"/>
  <c r="B64" i="9"/>
  <c r="D64" i="9"/>
  <c r="E64" i="9"/>
  <c r="F64" i="9" s="1"/>
  <c r="A65" i="9"/>
  <c r="B65" i="9"/>
  <c r="D65" i="9"/>
  <c r="E65" i="9"/>
  <c r="A66" i="9"/>
  <c r="B66" i="9"/>
  <c r="D66" i="9"/>
  <c r="F66" i="9" s="1"/>
  <c r="E66" i="9"/>
  <c r="A67" i="9"/>
  <c r="B67" i="9"/>
  <c r="D67" i="9"/>
  <c r="F67" i="9" s="1"/>
  <c r="E67" i="9"/>
  <c r="A68" i="9"/>
  <c r="B68" i="9"/>
  <c r="D68" i="9"/>
  <c r="F68" i="9" s="1"/>
  <c r="E68" i="9"/>
  <c r="A69" i="9"/>
  <c r="B69" i="9"/>
  <c r="D69" i="9"/>
  <c r="E69" i="9"/>
  <c r="A70" i="9"/>
  <c r="B70" i="9"/>
  <c r="D70" i="9"/>
  <c r="E70" i="9"/>
  <c r="A71" i="9"/>
  <c r="B71" i="9"/>
  <c r="D71" i="9"/>
  <c r="E71" i="9"/>
  <c r="F71" i="9" s="1"/>
  <c r="A72" i="9"/>
  <c r="B72" i="9"/>
  <c r="D72" i="9"/>
  <c r="E72" i="9"/>
  <c r="F72" i="9" s="1"/>
  <c r="A73" i="9"/>
  <c r="B73" i="9"/>
  <c r="D73" i="9"/>
  <c r="E73" i="9"/>
  <c r="A74" i="9"/>
  <c r="B74" i="9"/>
  <c r="D74" i="9"/>
  <c r="E74" i="9"/>
  <c r="A75" i="9"/>
  <c r="B75" i="9"/>
  <c r="D75" i="9"/>
  <c r="E75" i="9"/>
  <c r="A76" i="9"/>
  <c r="B76" i="9"/>
  <c r="D76" i="9"/>
  <c r="E76" i="9"/>
  <c r="A77" i="9"/>
  <c r="B77" i="9"/>
  <c r="D77" i="9"/>
  <c r="E77" i="9"/>
  <c r="A78" i="9"/>
  <c r="B78" i="9"/>
  <c r="D78" i="9"/>
  <c r="F78" i="9" s="1"/>
  <c r="E78" i="9"/>
  <c r="A79" i="9"/>
  <c r="B79" i="9"/>
  <c r="D79" i="9"/>
  <c r="F79" i="9" s="1"/>
  <c r="E79" i="9"/>
  <c r="A80" i="9"/>
  <c r="B80" i="9"/>
  <c r="D80" i="9"/>
  <c r="E80" i="9"/>
  <c r="A81" i="9"/>
  <c r="B81" i="9"/>
  <c r="D81" i="9"/>
  <c r="F81" i="9" s="1"/>
  <c r="E81" i="9"/>
  <c r="A82" i="9"/>
  <c r="B82" i="9"/>
  <c r="D82" i="9"/>
  <c r="F82" i="9" s="1"/>
  <c r="E82" i="9"/>
  <c r="A83" i="9"/>
  <c r="B83" i="9"/>
  <c r="D83" i="9"/>
  <c r="E83" i="9"/>
  <c r="A84" i="9"/>
  <c r="B84" i="9"/>
  <c r="D84" i="9"/>
  <c r="E84" i="9"/>
  <c r="A85" i="9"/>
  <c r="B85" i="9"/>
  <c r="D85" i="9"/>
  <c r="E85" i="9"/>
  <c r="A86" i="9"/>
  <c r="B86" i="9"/>
  <c r="D86" i="9"/>
  <c r="E86" i="9"/>
  <c r="A87" i="9"/>
  <c r="B87" i="9"/>
  <c r="D87" i="9"/>
  <c r="E87" i="9"/>
  <c r="F87" i="9"/>
  <c r="A88" i="9"/>
  <c r="B88" i="9"/>
  <c r="D88" i="9"/>
  <c r="E88" i="9"/>
  <c r="F88" i="9" s="1"/>
  <c r="A89" i="9"/>
  <c r="B89" i="9"/>
  <c r="D89" i="9"/>
  <c r="E89" i="9"/>
  <c r="A90" i="9"/>
  <c r="B90" i="9"/>
  <c r="D90" i="9"/>
  <c r="E90" i="9"/>
  <c r="A91" i="9"/>
  <c r="B91" i="9"/>
  <c r="D91" i="9"/>
  <c r="F91" i="9" s="1"/>
  <c r="E91" i="9"/>
  <c r="A92" i="9"/>
  <c r="B92" i="9"/>
  <c r="D92" i="9"/>
  <c r="F92" i="9" s="1"/>
  <c r="E92" i="9"/>
  <c r="A93" i="9"/>
  <c r="B93" i="9"/>
  <c r="D93" i="9"/>
  <c r="E93" i="9"/>
  <c r="A94" i="9"/>
  <c r="B94" i="9"/>
  <c r="D94" i="9"/>
  <c r="E94" i="9"/>
  <c r="A95" i="9"/>
  <c r="B95" i="9"/>
  <c r="D95" i="9"/>
  <c r="E95" i="9"/>
  <c r="F95" i="9" s="1"/>
  <c r="A96" i="9"/>
  <c r="B96" i="9"/>
  <c r="D96" i="9"/>
  <c r="E96" i="9"/>
  <c r="A97" i="9"/>
  <c r="B97" i="9"/>
  <c r="D97" i="9"/>
  <c r="E97" i="9"/>
  <c r="A98" i="9"/>
  <c r="B98" i="9"/>
  <c r="D98" i="9"/>
  <c r="E98" i="9"/>
  <c r="A99" i="9"/>
  <c r="B99" i="9"/>
  <c r="D99" i="9"/>
  <c r="E99" i="9"/>
  <c r="A100" i="9"/>
  <c r="B100" i="9"/>
  <c r="D100" i="9"/>
  <c r="E100" i="9"/>
  <c r="A101" i="9"/>
  <c r="B101" i="9"/>
  <c r="D101" i="9"/>
  <c r="E101" i="9"/>
  <c r="A102" i="9"/>
  <c r="B102" i="9"/>
  <c r="D102" i="9"/>
  <c r="F102" i="9" s="1"/>
  <c r="E102" i="9"/>
  <c r="A103" i="9"/>
  <c r="B103" i="9"/>
  <c r="D103" i="9"/>
  <c r="F103" i="9" s="1"/>
  <c r="E103" i="9"/>
  <c r="A104" i="9"/>
  <c r="B104" i="9"/>
  <c r="D104" i="9"/>
  <c r="E104" i="9"/>
  <c r="A105" i="9"/>
  <c r="B105" i="9"/>
  <c r="D105" i="9"/>
  <c r="F105" i="9" s="1"/>
  <c r="E105" i="9"/>
  <c r="A106" i="9"/>
  <c r="B106" i="9"/>
  <c r="D106" i="9"/>
  <c r="F106" i="9" s="1"/>
  <c r="E106" i="9"/>
  <c r="A107" i="9"/>
  <c r="B107" i="9"/>
  <c r="D107" i="9"/>
  <c r="E107" i="9"/>
  <c r="A108" i="9"/>
  <c r="B108" i="9"/>
  <c r="D108" i="9"/>
  <c r="E108" i="9"/>
  <c r="A109" i="9"/>
  <c r="B109" i="9"/>
  <c r="D109" i="9"/>
  <c r="E109" i="9"/>
  <c r="A110" i="9"/>
  <c r="B110" i="9"/>
  <c r="D110" i="9"/>
  <c r="A111" i="9"/>
  <c r="B111" i="9"/>
  <c r="D111" i="9"/>
  <c r="E111" i="9"/>
  <c r="F111" i="9"/>
  <c r="A112" i="9"/>
  <c r="B112" i="9"/>
  <c r="D112" i="9"/>
  <c r="E112" i="9"/>
  <c r="F112" i="9" s="1"/>
  <c r="A113" i="9"/>
  <c r="B113" i="9"/>
  <c r="D113" i="9"/>
  <c r="E113" i="9"/>
  <c r="A114" i="9"/>
  <c r="B114" i="9"/>
  <c r="D114" i="9"/>
  <c r="E114" i="9"/>
  <c r="A115" i="9"/>
  <c r="B115" i="9"/>
  <c r="D115" i="9"/>
  <c r="F115" i="9" s="1"/>
  <c r="E115" i="9"/>
  <c r="A116" i="9"/>
  <c r="B116" i="9"/>
  <c r="D116" i="9"/>
  <c r="F116" i="9" s="1"/>
  <c r="E116" i="9"/>
  <c r="A117" i="9"/>
  <c r="B117" i="9"/>
  <c r="D117" i="9"/>
  <c r="F117" i="9" s="1"/>
  <c r="E117" i="9"/>
  <c r="A118" i="9"/>
  <c r="B118" i="9"/>
  <c r="D118" i="9"/>
  <c r="E118" i="9"/>
  <c r="A119" i="9"/>
  <c r="B119" i="9"/>
  <c r="D119" i="9"/>
  <c r="F119" i="9" s="1"/>
  <c r="E119" i="9"/>
  <c r="A120" i="9"/>
  <c r="B120" i="9"/>
  <c r="D120" i="9"/>
  <c r="E120" i="9"/>
  <c r="A121" i="9"/>
  <c r="B121" i="9"/>
  <c r="D121" i="9"/>
  <c r="E121" i="9"/>
  <c r="A122" i="9"/>
  <c r="B122" i="9"/>
  <c r="D122" i="9"/>
  <c r="E122" i="9"/>
  <c r="A123" i="9"/>
  <c r="B123" i="9"/>
  <c r="D123" i="9"/>
  <c r="E123" i="9"/>
  <c r="A124" i="9"/>
  <c r="B124" i="9"/>
  <c r="D124" i="9"/>
  <c r="E124" i="9"/>
  <c r="A125" i="9"/>
  <c r="B125" i="9"/>
  <c r="D125" i="9"/>
  <c r="E125" i="9"/>
  <c r="A126" i="9"/>
  <c r="B126" i="9"/>
  <c r="D126" i="9"/>
  <c r="F126" i="9" s="1"/>
  <c r="E126" i="9"/>
  <c r="A127" i="9"/>
  <c r="B127" i="9"/>
  <c r="D127" i="9"/>
  <c r="F127" i="9" s="1"/>
  <c r="E127" i="9"/>
  <c r="A128" i="9"/>
  <c r="B128" i="9"/>
  <c r="D128" i="9"/>
  <c r="E128" i="9"/>
  <c r="F128" i="9" s="1"/>
  <c r="A129" i="9"/>
  <c r="B129" i="9"/>
  <c r="D129" i="9"/>
  <c r="F129" i="9" s="1"/>
  <c r="E129" i="9"/>
  <c r="A130" i="9"/>
  <c r="B130" i="9"/>
  <c r="D130" i="9"/>
  <c r="F130" i="9" s="1"/>
  <c r="E130" i="9"/>
  <c r="A131" i="9"/>
  <c r="B131" i="9"/>
  <c r="D131" i="9"/>
  <c r="F131" i="9" s="1"/>
  <c r="E131" i="9"/>
  <c r="A132" i="9"/>
  <c r="B132" i="9"/>
  <c r="D132" i="9"/>
  <c r="E132" i="9"/>
  <c r="A133" i="9"/>
  <c r="B133" i="9"/>
  <c r="D133" i="9"/>
  <c r="E133" i="9"/>
  <c r="A134" i="9"/>
  <c r="B134" i="9"/>
  <c r="D134" i="9"/>
  <c r="E134" i="9"/>
  <c r="A135" i="9"/>
  <c r="B135" i="9"/>
  <c r="D135" i="9"/>
  <c r="E135" i="9"/>
  <c r="F135" i="9"/>
  <c r="A136" i="9"/>
  <c r="B136" i="9"/>
  <c r="D136" i="9"/>
  <c r="E136" i="9"/>
  <c r="F136" i="9" s="1"/>
  <c r="A137" i="9"/>
  <c r="B137" i="9"/>
  <c r="D137" i="9"/>
  <c r="E137" i="9"/>
  <c r="A138" i="9"/>
  <c r="B138" i="9"/>
  <c r="D138" i="9"/>
  <c r="E138" i="9"/>
  <c r="A139" i="9"/>
  <c r="B139" i="9"/>
  <c r="D139" i="9"/>
  <c r="E139" i="9"/>
  <c r="A140" i="9"/>
  <c r="B140" i="9"/>
  <c r="D140" i="9"/>
  <c r="F140" i="9" s="1"/>
  <c r="E140" i="9"/>
  <c r="A141" i="9"/>
  <c r="B141" i="9"/>
  <c r="D141" i="9"/>
  <c r="F141" i="9" s="1"/>
  <c r="E141" i="9"/>
  <c r="A142" i="9"/>
  <c r="B142" i="9"/>
  <c r="D142" i="9"/>
  <c r="E142" i="9"/>
  <c r="A143" i="9"/>
  <c r="B143" i="9"/>
  <c r="D143" i="9"/>
  <c r="E143" i="9"/>
  <c r="F143" i="9"/>
  <c r="A144" i="9"/>
  <c r="B144" i="9"/>
  <c r="D144" i="9"/>
  <c r="E144" i="9"/>
  <c r="A145" i="9"/>
  <c r="B145" i="9"/>
  <c r="D145" i="9"/>
  <c r="E145" i="9"/>
  <c r="A146" i="9"/>
  <c r="B146" i="9"/>
  <c r="D146" i="9"/>
  <c r="E146" i="9"/>
  <c r="A147" i="9"/>
  <c r="B147" i="9"/>
  <c r="D147" i="9"/>
  <c r="F147" i="9" s="1"/>
  <c r="E147" i="9"/>
  <c r="A148" i="9"/>
  <c r="B148" i="9"/>
  <c r="D148" i="9"/>
  <c r="F148" i="9" s="1"/>
  <c r="E148" i="9"/>
  <c r="A149" i="9"/>
  <c r="B149" i="9"/>
  <c r="D149" i="9"/>
  <c r="F149" i="9" s="1"/>
  <c r="E149" i="9"/>
  <c r="A150" i="9"/>
  <c r="B150" i="9"/>
  <c r="D150" i="9"/>
  <c r="F150" i="9" s="1"/>
  <c r="E150" i="9"/>
  <c r="A151" i="9"/>
  <c r="B151" i="9"/>
  <c r="D151" i="9"/>
  <c r="F151" i="9" s="1"/>
  <c r="E151" i="9"/>
  <c r="A152" i="9"/>
  <c r="B152" i="9"/>
  <c r="D152" i="9"/>
  <c r="E152" i="9"/>
  <c r="A153" i="9"/>
  <c r="B153" i="9"/>
  <c r="D153" i="9"/>
  <c r="F153" i="9" s="1"/>
  <c r="E153" i="9"/>
  <c r="A154" i="9"/>
  <c r="B154" i="9"/>
  <c r="D154" i="9"/>
  <c r="F154" i="9" s="1"/>
  <c r="E154" i="9"/>
  <c r="A155" i="9"/>
  <c r="B155" i="9"/>
  <c r="D155" i="9"/>
  <c r="E155" i="9"/>
  <c r="A156" i="9"/>
  <c r="B156" i="9"/>
  <c r="D156" i="9"/>
  <c r="F156" i="9" s="1"/>
  <c r="E156" i="9"/>
  <c r="A157" i="9"/>
  <c r="B157" i="9"/>
  <c r="D157" i="9"/>
  <c r="F157" i="9" s="1"/>
  <c r="E157" i="9"/>
  <c r="A158" i="9"/>
  <c r="B158" i="9"/>
  <c r="D158" i="9"/>
  <c r="E158" i="9"/>
  <c r="A159" i="9"/>
  <c r="B159" i="9"/>
  <c r="D159" i="9"/>
  <c r="F159" i="9" s="1"/>
  <c r="E159" i="9"/>
  <c r="A160" i="9"/>
  <c r="B160" i="9"/>
  <c r="D160" i="9"/>
  <c r="E160" i="9"/>
  <c r="A161" i="9"/>
  <c r="B161" i="9"/>
  <c r="D161" i="9"/>
  <c r="E161" i="9"/>
  <c r="A162" i="9"/>
  <c r="B162" i="9"/>
  <c r="D162" i="9"/>
  <c r="E162" i="9"/>
  <c r="A163" i="9"/>
  <c r="B163" i="9"/>
  <c r="D163" i="9"/>
  <c r="E163" i="9"/>
  <c r="A164" i="9"/>
  <c r="B164" i="9"/>
  <c r="D164" i="9"/>
  <c r="E164" i="9"/>
  <c r="F164" i="9"/>
  <c r="A165" i="9"/>
  <c r="B165" i="9"/>
  <c r="D165" i="9"/>
  <c r="E165" i="9"/>
  <c r="F165" i="9" s="1"/>
  <c r="A166" i="9"/>
  <c r="B166" i="9"/>
  <c r="D166" i="9"/>
  <c r="E166" i="9"/>
  <c r="A167" i="9"/>
  <c r="B167" i="9"/>
  <c r="D167" i="9"/>
  <c r="E167" i="9"/>
  <c r="F167" i="9"/>
  <c r="A168" i="9"/>
  <c r="B168" i="9"/>
  <c r="D168" i="9"/>
  <c r="E168" i="9"/>
  <c r="F168" i="9" s="1"/>
  <c r="A169" i="9"/>
  <c r="B169" i="9"/>
  <c r="D169" i="9"/>
  <c r="E169" i="9"/>
  <c r="A170" i="9"/>
  <c r="B170" i="9"/>
  <c r="D170" i="9"/>
  <c r="E170" i="9"/>
  <c r="A171" i="9"/>
  <c r="B171" i="9"/>
  <c r="D171" i="9"/>
  <c r="E171" i="9"/>
  <c r="A172" i="9"/>
  <c r="B172" i="9"/>
  <c r="D172" i="9"/>
  <c r="E172" i="9"/>
  <c r="A173" i="9"/>
  <c r="B173" i="9"/>
  <c r="D173" i="9"/>
  <c r="F173" i="9" s="1"/>
  <c r="E173" i="9"/>
  <c r="A174" i="9"/>
  <c r="B174" i="9"/>
  <c r="D174" i="9"/>
  <c r="F174" i="9" s="1"/>
  <c r="E174" i="9"/>
  <c r="A175" i="9"/>
  <c r="B175" i="9"/>
  <c r="D175" i="9"/>
  <c r="F175" i="9" s="1"/>
  <c r="E175" i="9"/>
  <c r="A176" i="9"/>
  <c r="B176" i="9"/>
  <c r="D176" i="9"/>
  <c r="F176" i="9" s="1"/>
  <c r="E176" i="9"/>
  <c r="A177" i="9"/>
  <c r="B177" i="9"/>
  <c r="D177" i="9"/>
  <c r="F177" i="9" s="1"/>
  <c r="E177" i="9"/>
  <c r="A178" i="9"/>
  <c r="B178" i="9"/>
  <c r="D178" i="9"/>
  <c r="E178" i="9"/>
  <c r="A179" i="9"/>
  <c r="B179" i="9"/>
  <c r="D179" i="9"/>
  <c r="E179" i="9"/>
  <c r="A180" i="9"/>
  <c r="B180" i="9"/>
  <c r="D180" i="9"/>
  <c r="E180" i="9"/>
  <c r="F180" i="9" s="1"/>
  <c r="A181" i="9"/>
  <c r="B181" i="9"/>
  <c r="D181" i="9"/>
  <c r="E181" i="9"/>
  <c r="A182" i="9"/>
  <c r="B182" i="9"/>
  <c r="D182" i="9"/>
  <c r="E182" i="9"/>
  <c r="A183" i="9"/>
  <c r="B183" i="9"/>
  <c r="D183" i="9"/>
  <c r="E183" i="9"/>
  <c r="F183" i="9" s="1"/>
  <c r="A184" i="9"/>
  <c r="B184" i="9"/>
  <c r="D184" i="9"/>
  <c r="E184" i="9"/>
  <c r="F184" i="9" s="1"/>
  <c r="A185" i="9"/>
  <c r="B185" i="9"/>
  <c r="D185" i="9"/>
  <c r="E185" i="9"/>
  <c r="A186" i="9"/>
  <c r="B186" i="9"/>
  <c r="D186" i="9"/>
  <c r="E186" i="9"/>
  <c r="A187" i="9"/>
  <c r="B187" i="9"/>
  <c r="D187" i="9"/>
  <c r="E187" i="9"/>
  <c r="A188" i="9"/>
  <c r="B188" i="9"/>
  <c r="D188" i="9"/>
  <c r="E188" i="9"/>
  <c r="F188" i="9"/>
  <c r="A189" i="9"/>
  <c r="B189" i="9"/>
  <c r="D189" i="9"/>
  <c r="E189" i="9"/>
  <c r="A190" i="9"/>
  <c r="B190" i="9"/>
  <c r="D190" i="9"/>
  <c r="E190" i="9"/>
  <c r="A191" i="9"/>
  <c r="B191" i="9"/>
  <c r="D191" i="9"/>
  <c r="E191" i="9"/>
  <c r="F191" i="9"/>
  <c r="A192" i="9"/>
  <c r="B192" i="9"/>
  <c r="D192" i="9"/>
  <c r="E192" i="9"/>
  <c r="F192" i="9" s="1"/>
  <c r="A193" i="9"/>
  <c r="B193" i="9"/>
  <c r="D193" i="9"/>
  <c r="E193" i="9"/>
  <c r="A194" i="9"/>
  <c r="B194" i="9"/>
  <c r="D194" i="9"/>
  <c r="E194" i="9"/>
  <c r="F194" i="9"/>
  <c r="A195" i="9"/>
  <c r="B195" i="9"/>
  <c r="D195" i="9"/>
  <c r="E195" i="9"/>
  <c r="A196" i="9"/>
  <c r="B196" i="9"/>
  <c r="D196" i="9"/>
  <c r="E196" i="9"/>
  <c r="A197" i="9"/>
  <c r="B197" i="9"/>
  <c r="D197" i="9"/>
  <c r="E197" i="9"/>
  <c r="A198" i="9"/>
  <c r="B198" i="9"/>
  <c r="D198" i="9"/>
  <c r="F198" i="9" s="1"/>
  <c r="E198" i="9"/>
  <c r="A199" i="9"/>
  <c r="B199" i="9"/>
  <c r="D199" i="9"/>
  <c r="F199" i="9" s="1"/>
  <c r="E199" i="9"/>
  <c r="A200" i="9"/>
  <c r="B200" i="9"/>
  <c r="D200" i="9"/>
  <c r="E200" i="9"/>
  <c r="A201" i="9"/>
  <c r="B201" i="9"/>
  <c r="D201" i="9"/>
  <c r="F201" i="9" s="1"/>
  <c r="E201" i="9"/>
  <c r="A202" i="9"/>
  <c r="B202" i="9"/>
  <c r="D202" i="9"/>
  <c r="F202" i="9" s="1"/>
  <c r="E202" i="9"/>
  <c r="A203" i="9"/>
  <c r="B203" i="9"/>
  <c r="D203" i="9"/>
  <c r="F203" i="9" s="1"/>
  <c r="E203" i="9"/>
  <c r="A204" i="9"/>
  <c r="B204" i="9"/>
  <c r="D204" i="9"/>
  <c r="F204" i="9" s="1"/>
  <c r="E204" i="9"/>
  <c r="A205" i="9"/>
  <c r="B205" i="9"/>
  <c r="D205" i="9"/>
  <c r="F205" i="9" s="1"/>
  <c r="E205" i="9"/>
  <c r="A206" i="9"/>
  <c r="B206" i="9"/>
  <c r="D206" i="9"/>
  <c r="F206" i="9" s="1"/>
  <c r="E206" i="9"/>
  <c r="A207" i="9"/>
  <c r="B207" i="9"/>
  <c r="D207" i="9"/>
  <c r="F207" i="9" s="1"/>
  <c r="E207" i="9"/>
  <c r="A208" i="9"/>
  <c r="B208" i="9"/>
  <c r="D208" i="9"/>
  <c r="E208" i="9"/>
  <c r="A209" i="9"/>
  <c r="B209" i="9"/>
  <c r="D209" i="9"/>
  <c r="F209" i="9" s="1"/>
  <c r="E209" i="9"/>
  <c r="A210" i="9"/>
  <c r="B210" i="9"/>
  <c r="D210" i="9"/>
  <c r="E210" i="9"/>
  <c r="A211" i="9"/>
  <c r="B211" i="9"/>
  <c r="D211" i="9"/>
  <c r="E211" i="9"/>
  <c r="A212" i="9"/>
  <c r="B212" i="9"/>
  <c r="D212" i="9"/>
  <c r="E212" i="9"/>
  <c r="F212" i="9" s="1"/>
  <c r="A213" i="9"/>
  <c r="B213" i="9"/>
  <c r="D213" i="9"/>
  <c r="E213" i="9"/>
  <c r="A214" i="9"/>
  <c r="B214" i="9"/>
  <c r="D214" i="9"/>
  <c r="E214" i="9"/>
  <c r="A215" i="9"/>
  <c r="B215" i="9"/>
  <c r="D215" i="9"/>
  <c r="E215" i="9"/>
  <c r="F215" i="9"/>
  <c r="A216" i="9"/>
  <c r="B216" i="9"/>
  <c r="D216" i="9"/>
  <c r="E216" i="9"/>
  <c r="F216" i="9" s="1"/>
  <c r="A217" i="9"/>
  <c r="B217" i="9"/>
  <c r="D217" i="9"/>
  <c r="E217" i="9"/>
  <c r="A218" i="9"/>
  <c r="B218" i="9"/>
  <c r="D218" i="9"/>
  <c r="F218" i="9" s="1"/>
  <c r="E218" i="9"/>
  <c r="A219" i="9"/>
  <c r="B219" i="9"/>
  <c r="D219" i="9"/>
  <c r="F219" i="9" s="1"/>
  <c r="E219" i="9"/>
  <c r="A220" i="9"/>
  <c r="B220" i="9"/>
  <c r="D220" i="9"/>
  <c r="F220" i="9" s="1"/>
  <c r="E220" i="9"/>
  <c r="A221" i="9"/>
  <c r="B221" i="9"/>
  <c r="D221" i="9"/>
  <c r="E221" i="9"/>
  <c r="A222" i="9"/>
  <c r="B222" i="9"/>
  <c r="D222" i="9"/>
  <c r="E222" i="9"/>
  <c r="A223" i="9"/>
  <c r="B223" i="9"/>
  <c r="D223" i="9"/>
  <c r="F223" i="9" s="1"/>
  <c r="E223" i="9"/>
  <c r="A224" i="9"/>
  <c r="B224" i="9"/>
  <c r="D224" i="9"/>
  <c r="E224" i="9"/>
  <c r="F224" i="9" s="1"/>
  <c r="A225" i="9"/>
  <c r="B225" i="9"/>
  <c r="D225" i="9"/>
  <c r="E225" i="9"/>
  <c r="A226" i="9"/>
  <c r="B226" i="9"/>
  <c r="D226" i="9"/>
  <c r="E226" i="9"/>
  <c r="A227" i="9"/>
  <c r="B227" i="9"/>
  <c r="D227" i="9"/>
  <c r="E227" i="9"/>
  <c r="A228" i="9"/>
  <c r="B228" i="9"/>
  <c r="D228" i="9"/>
  <c r="E228" i="9"/>
  <c r="A229" i="9"/>
  <c r="B229" i="9"/>
  <c r="D229" i="9"/>
  <c r="F229" i="9" s="1"/>
  <c r="E229" i="9"/>
  <c r="A230" i="9"/>
  <c r="B230" i="9"/>
  <c r="D230" i="9"/>
  <c r="F230" i="9" s="1"/>
  <c r="E230" i="9"/>
  <c r="A231" i="9"/>
  <c r="B231" i="9"/>
  <c r="D231" i="9"/>
  <c r="F231" i="9" s="1"/>
  <c r="E231" i="9"/>
  <c r="A232" i="9"/>
  <c r="B232" i="9"/>
  <c r="D232" i="9"/>
  <c r="E232" i="9"/>
  <c r="A233" i="9"/>
  <c r="B233" i="9"/>
  <c r="D233" i="9"/>
  <c r="F233" i="9" s="1"/>
  <c r="E233" i="9"/>
  <c r="A234" i="9"/>
  <c r="B234" i="9"/>
  <c r="D234" i="9"/>
  <c r="F234" i="9" s="1"/>
  <c r="E234" i="9"/>
  <c r="A235" i="9"/>
  <c r="B235" i="9"/>
  <c r="D235" i="9"/>
  <c r="E235" i="9"/>
  <c r="A236" i="9"/>
  <c r="B236" i="9"/>
  <c r="D236" i="9"/>
  <c r="F236" i="9" s="1"/>
  <c r="E236" i="9"/>
  <c r="A237" i="9"/>
  <c r="B237" i="9"/>
  <c r="D237" i="9"/>
  <c r="F237" i="9" s="1"/>
  <c r="E237" i="9"/>
  <c r="A238" i="9"/>
  <c r="B238" i="9"/>
  <c r="D238" i="9"/>
  <c r="E238" i="9"/>
  <c r="A239" i="9"/>
  <c r="B239" i="9"/>
  <c r="D239" i="9"/>
  <c r="F239" i="9" s="1"/>
  <c r="E239" i="9"/>
  <c r="A240" i="9"/>
  <c r="B240" i="9"/>
  <c r="D240" i="9"/>
  <c r="F240" i="9" s="1"/>
  <c r="E240" i="9"/>
  <c r="A241" i="9"/>
  <c r="B241" i="9"/>
  <c r="D241" i="9"/>
  <c r="F241" i="9" s="1"/>
  <c r="E241" i="9"/>
  <c r="A242" i="9"/>
  <c r="B242" i="9"/>
  <c r="D242" i="9"/>
  <c r="E242" i="9"/>
  <c r="A243" i="9"/>
  <c r="B243" i="9"/>
  <c r="D243" i="9"/>
  <c r="F243" i="9" s="1"/>
  <c r="E243" i="9"/>
  <c r="A244" i="9"/>
  <c r="B244" i="9"/>
  <c r="D244" i="9"/>
  <c r="E244" i="9"/>
  <c r="A245" i="9"/>
  <c r="B245" i="9"/>
  <c r="D245" i="9"/>
  <c r="F245" i="9" s="1"/>
  <c r="E245" i="9"/>
  <c r="A246" i="9"/>
  <c r="B246" i="9"/>
  <c r="D246" i="9"/>
  <c r="F246" i="9" s="1"/>
  <c r="E246" i="9"/>
  <c r="A247" i="9"/>
  <c r="B247" i="9"/>
  <c r="D247" i="9"/>
  <c r="F247" i="9" s="1"/>
  <c r="E247" i="9"/>
  <c r="A248" i="9"/>
  <c r="B248" i="9"/>
  <c r="D248" i="9"/>
  <c r="F248" i="9" s="1"/>
  <c r="E248" i="9"/>
  <c r="A249" i="9"/>
  <c r="B249" i="9"/>
  <c r="D249" i="9"/>
  <c r="F249" i="9" s="1"/>
  <c r="E249" i="9"/>
  <c r="A250" i="9"/>
  <c r="B250" i="9"/>
  <c r="D250" i="9"/>
  <c r="E250" i="9"/>
  <c r="A251" i="9"/>
  <c r="B251" i="9"/>
  <c r="D251" i="9"/>
  <c r="F251" i="9" s="1"/>
  <c r="E251" i="9"/>
  <c r="A252" i="9"/>
  <c r="B252" i="9"/>
  <c r="D252" i="9"/>
  <c r="F252" i="9" s="1"/>
  <c r="E252" i="9"/>
  <c r="A253" i="9"/>
  <c r="B253" i="9"/>
  <c r="D253" i="9"/>
  <c r="F253" i="9" s="1"/>
  <c r="E253" i="9"/>
  <c r="A254" i="9"/>
  <c r="B254" i="9"/>
  <c r="D254" i="9"/>
  <c r="F254" i="9" s="1"/>
  <c r="E254" i="9"/>
  <c r="A255" i="9"/>
  <c r="B255" i="9"/>
  <c r="D255" i="9"/>
  <c r="F255" i="9" s="1"/>
  <c r="E255" i="9"/>
  <c r="A256" i="9"/>
  <c r="B256" i="9"/>
  <c r="D256" i="9"/>
  <c r="F256" i="9" s="1"/>
  <c r="E256" i="9"/>
  <c r="A257" i="9"/>
  <c r="B257" i="9"/>
  <c r="D257" i="9"/>
  <c r="F257" i="9" s="1"/>
  <c r="E257" i="9"/>
  <c r="A258" i="9"/>
  <c r="B258" i="9"/>
  <c r="D258" i="9"/>
  <c r="E258" i="9"/>
  <c r="A259" i="9"/>
  <c r="B259" i="9"/>
  <c r="D259" i="9"/>
  <c r="F259" i="9" s="1"/>
  <c r="E259" i="9"/>
  <c r="A260" i="9"/>
  <c r="B260" i="9"/>
  <c r="D260" i="9"/>
  <c r="F260" i="9" s="1"/>
  <c r="E260" i="9"/>
  <c r="A261" i="9"/>
  <c r="B261" i="9"/>
  <c r="D261" i="9"/>
  <c r="F261" i="9" s="1"/>
  <c r="E261" i="9"/>
  <c r="A262" i="9"/>
  <c r="B262" i="9"/>
  <c r="D262" i="9"/>
  <c r="E262" i="9"/>
  <c r="F262" i="9"/>
  <c r="A263" i="9"/>
  <c r="B263" i="9"/>
  <c r="D263" i="9"/>
  <c r="F263" i="9" s="1"/>
  <c r="E263" i="9"/>
  <c r="A264" i="9"/>
  <c r="B264" i="9"/>
  <c r="D264" i="9"/>
  <c r="F264" i="9" s="1"/>
  <c r="E264" i="9"/>
  <c r="A265" i="9"/>
  <c r="B265" i="9"/>
  <c r="D265" i="9"/>
  <c r="E265" i="9"/>
  <c r="F265" i="9"/>
  <c r="A266" i="9"/>
  <c r="B266" i="9"/>
  <c r="D266" i="9"/>
  <c r="E266" i="9"/>
  <c r="A267" i="9"/>
  <c r="B267" i="9"/>
  <c r="D267" i="9"/>
  <c r="F267" i="9" s="1"/>
  <c r="E267" i="9"/>
  <c r="A268" i="9"/>
  <c r="B268" i="9"/>
  <c r="D268" i="9"/>
  <c r="F268" i="9" s="1"/>
  <c r="E268" i="9"/>
  <c r="A269" i="9"/>
  <c r="B269" i="9"/>
  <c r="D269" i="9"/>
  <c r="F269" i="9" s="1"/>
  <c r="E269" i="9"/>
  <c r="A270" i="9"/>
  <c r="B270" i="9"/>
  <c r="D270" i="9"/>
  <c r="E270" i="9"/>
  <c r="F270" i="9"/>
  <c r="A271" i="9"/>
  <c r="B271" i="9"/>
  <c r="D271" i="9"/>
  <c r="E271" i="9"/>
  <c r="A272" i="9"/>
  <c r="B272" i="9"/>
  <c r="D272" i="9"/>
  <c r="F272" i="9" s="1"/>
  <c r="E272" i="9"/>
  <c r="A273" i="9"/>
  <c r="B273" i="9"/>
  <c r="D273" i="9"/>
  <c r="E273" i="9"/>
  <c r="F273" i="9"/>
  <c r="A274" i="9"/>
  <c r="B274" i="9"/>
  <c r="D274" i="9"/>
  <c r="E274" i="9"/>
  <c r="F274" i="9" s="1"/>
  <c r="A275" i="9"/>
  <c r="B275" i="9"/>
  <c r="D275" i="9"/>
  <c r="F275" i="9" s="1"/>
  <c r="E275" i="9"/>
  <c r="A276" i="9"/>
  <c r="B276" i="9"/>
  <c r="D276" i="9"/>
  <c r="E276" i="9"/>
  <c r="A277" i="9"/>
  <c r="B277" i="9"/>
  <c r="D277" i="9"/>
  <c r="E277" i="9"/>
  <c r="F277" i="9"/>
  <c r="A278" i="9"/>
  <c r="B278" i="9"/>
  <c r="D278" i="9"/>
  <c r="F278" i="9" s="1"/>
  <c r="E278" i="9"/>
  <c r="A279" i="9"/>
  <c r="B279" i="9"/>
  <c r="D279" i="9"/>
  <c r="E279" i="9"/>
  <c r="A280" i="9"/>
  <c r="B280" i="9"/>
  <c r="D280" i="9"/>
  <c r="E280" i="9"/>
  <c r="A281" i="9"/>
  <c r="B281" i="9"/>
  <c r="D281" i="9"/>
  <c r="F281" i="9" s="1"/>
  <c r="E281" i="9"/>
  <c r="A282" i="9"/>
  <c r="B282" i="9"/>
  <c r="D282" i="9"/>
  <c r="E282" i="9"/>
  <c r="F282" i="9" s="1"/>
  <c r="A283" i="9"/>
  <c r="B283" i="9"/>
  <c r="D283" i="9"/>
  <c r="E283" i="9"/>
  <c r="A284" i="9"/>
  <c r="B284" i="9"/>
  <c r="D284" i="9"/>
  <c r="F284" i="9" s="1"/>
  <c r="E284" i="9"/>
  <c r="A285" i="9"/>
  <c r="B285" i="9"/>
  <c r="D285" i="9"/>
  <c r="E285" i="9"/>
  <c r="F285" i="9"/>
  <c r="A286" i="9"/>
  <c r="B286" i="9"/>
  <c r="D286" i="9"/>
  <c r="E286" i="9"/>
  <c r="F286" i="9" s="1"/>
  <c r="A287" i="9"/>
  <c r="B287" i="9"/>
  <c r="D287" i="9"/>
  <c r="E287" i="9"/>
  <c r="A288" i="9"/>
  <c r="B288" i="9"/>
  <c r="D288" i="9"/>
  <c r="E288" i="9"/>
  <c r="A289" i="9"/>
  <c r="B289" i="9"/>
  <c r="D289" i="9"/>
  <c r="E289" i="9"/>
  <c r="F289" i="9" s="1"/>
  <c r="A290" i="9"/>
  <c r="B290" i="9"/>
  <c r="D290" i="9"/>
  <c r="E290" i="9"/>
  <c r="F290" i="9" s="1"/>
  <c r="A291" i="9"/>
  <c r="B291" i="9"/>
  <c r="D291" i="9"/>
  <c r="E291" i="9"/>
  <c r="A292" i="9"/>
  <c r="B292" i="9"/>
  <c r="D292" i="9"/>
  <c r="E292" i="9"/>
  <c r="A293" i="9"/>
  <c r="B293" i="9"/>
  <c r="D293" i="9"/>
  <c r="F293" i="9" s="1"/>
  <c r="E293" i="9"/>
  <c r="A294" i="9"/>
  <c r="B294" i="9"/>
  <c r="D294" i="9"/>
  <c r="F294" i="9" s="1"/>
  <c r="E294" i="9"/>
  <c r="A295" i="9"/>
  <c r="B295" i="9"/>
  <c r="D295" i="9"/>
  <c r="F295" i="9" s="1"/>
  <c r="E295" i="9"/>
  <c r="A296" i="9"/>
  <c r="B296" i="9"/>
  <c r="D296" i="9"/>
  <c r="E296" i="9"/>
  <c r="A297" i="9"/>
  <c r="B297" i="9"/>
  <c r="D297" i="9"/>
  <c r="F297" i="9" s="1"/>
  <c r="E297" i="9"/>
  <c r="A298" i="9"/>
  <c r="B298" i="9"/>
  <c r="D298" i="9"/>
  <c r="E298" i="9"/>
  <c r="A299" i="9"/>
  <c r="B299" i="9"/>
  <c r="D299" i="9"/>
  <c r="E299" i="9"/>
  <c r="A300" i="9"/>
  <c r="B300" i="9"/>
  <c r="D300" i="9"/>
  <c r="E300" i="9"/>
  <c r="A301" i="9"/>
  <c r="B301" i="9"/>
  <c r="D301" i="9"/>
  <c r="E301" i="9"/>
  <c r="F301" i="9" s="1"/>
  <c r="A302" i="9"/>
  <c r="B302" i="9"/>
  <c r="D302" i="9"/>
  <c r="F302" i="9" s="1"/>
  <c r="E302" i="9"/>
  <c r="A303" i="9"/>
  <c r="B303" i="9"/>
  <c r="D303" i="9"/>
  <c r="F303" i="9" s="1"/>
  <c r="E303" i="9"/>
  <c r="A304" i="9"/>
  <c r="B304" i="9"/>
  <c r="D304" i="9"/>
  <c r="F304" i="9" s="1"/>
  <c r="E304" i="9"/>
  <c r="A305" i="9"/>
  <c r="B305" i="9"/>
  <c r="D305" i="9"/>
  <c r="F305" i="9" s="1"/>
  <c r="E305" i="9"/>
  <c r="A306" i="9"/>
  <c r="B306" i="9"/>
  <c r="D306" i="9"/>
  <c r="E306" i="9"/>
  <c r="A307" i="9"/>
  <c r="B307" i="9"/>
  <c r="D307" i="9"/>
  <c r="F307" i="9" s="1"/>
  <c r="E307" i="9"/>
  <c r="A308" i="9"/>
  <c r="B308" i="9"/>
  <c r="D308" i="9"/>
  <c r="E308" i="9"/>
  <c r="A309" i="9"/>
  <c r="B309" i="9"/>
  <c r="D309" i="9"/>
  <c r="F309" i="9" s="1"/>
  <c r="E309" i="9"/>
  <c r="A310" i="9"/>
  <c r="B310" i="9"/>
  <c r="D310" i="9"/>
  <c r="F310" i="9" s="1"/>
  <c r="E310" i="9"/>
  <c r="A311" i="9"/>
  <c r="B311" i="9"/>
  <c r="D311" i="9"/>
  <c r="F311" i="9" s="1"/>
  <c r="E311" i="9"/>
  <c r="F292" i="9" l="1"/>
  <c r="F283" i="9"/>
  <c r="F280" i="9"/>
  <c r="F271" i="9"/>
  <c r="F250" i="9"/>
  <c r="F226" i="9"/>
  <c r="F195" i="9"/>
  <c r="F189" i="9"/>
  <c r="F186" i="9"/>
  <c r="F172" i="9"/>
  <c r="F169" i="9"/>
  <c r="F166" i="9"/>
  <c r="F163" i="9"/>
  <c r="F152" i="9"/>
  <c r="F137" i="9"/>
  <c r="F134" i="9"/>
  <c r="F123" i="9"/>
  <c r="F109" i="9"/>
  <c r="F104" i="9"/>
  <c r="F98" i="9"/>
  <c r="F84" i="9"/>
  <c r="F73" i="9"/>
  <c r="F70" i="9"/>
  <c r="F59" i="9"/>
  <c r="F45" i="9"/>
  <c r="F28" i="9"/>
  <c r="F25" i="9"/>
  <c r="F22" i="9"/>
  <c r="F13" i="9"/>
  <c r="F146" i="9"/>
  <c r="F101" i="9"/>
  <c r="F96" i="9"/>
  <c r="F93" i="9"/>
  <c r="F90" i="9"/>
  <c r="F76" i="9"/>
  <c r="F65" i="9"/>
  <c r="F62" i="9"/>
  <c r="F308" i="9"/>
  <c r="F299" i="9"/>
  <c r="F296" i="9"/>
  <c r="F287" i="9"/>
  <c r="F266" i="9"/>
  <c r="F244" i="9"/>
  <c r="F235" i="9"/>
  <c r="F221" i="9"/>
  <c r="F210" i="9"/>
  <c r="F181" i="9"/>
  <c r="F178" i="9"/>
  <c r="F161" i="9"/>
  <c r="F158" i="9"/>
  <c r="F155" i="9"/>
  <c r="F144" i="9"/>
  <c r="F132" i="9"/>
  <c r="F121" i="9"/>
  <c r="F118" i="9"/>
  <c r="F107" i="9"/>
  <c r="F306" i="9"/>
  <c r="F242" i="9"/>
  <c r="F227" i="9"/>
  <c r="F213" i="9"/>
  <c r="F208" i="9"/>
  <c r="F196" i="9"/>
  <c r="F193" i="9"/>
  <c r="F190" i="9"/>
  <c r="F187" i="9"/>
  <c r="F170" i="9"/>
  <c r="F138" i="9"/>
  <c r="F124" i="9"/>
  <c r="F113" i="9"/>
  <c r="F99" i="9"/>
  <c r="F85" i="9"/>
  <c r="F80" i="9"/>
  <c r="F77" i="9"/>
  <c r="F74" i="9"/>
  <c r="F60" i="9"/>
  <c r="F49" i="9"/>
  <c r="F46" i="9"/>
  <c r="F300" i="9"/>
  <c r="F291" i="9"/>
  <c r="F288" i="9"/>
  <c r="F279" i="9"/>
  <c r="F258" i="9"/>
  <c r="F225" i="9"/>
  <c r="F222" i="9"/>
  <c r="F211" i="9"/>
  <c r="F185" i="9"/>
  <c r="F182" i="9"/>
  <c r="F179" i="9"/>
  <c r="F162" i="9"/>
  <c r="F133" i="9"/>
  <c r="F122" i="9"/>
  <c r="F108" i="9"/>
  <c r="F97" i="9"/>
  <c r="F94" i="9"/>
  <c r="F83" i="9"/>
  <c r="F69" i="9"/>
  <c r="F58" i="9"/>
  <c r="F44" i="9"/>
  <c r="F298" i="9"/>
  <c r="F276" i="9"/>
  <c r="F228" i="9"/>
  <c r="F217" i="9"/>
  <c r="F214" i="9"/>
  <c r="F200" i="9"/>
  <c r="F197" i="9"/>
  <c r="F171" i="9"/>
  <c r="F145" i="9"/>
  <c r="F142" i="9"/>
  <c r="F139" i="9"/>
  <c r="F125" i="9"/>
  <c r="F120" i="9"/>
  <c r="F114" i="9"/>
  <c r="F100" i="9"/>
  <c r="F89" i="9"/>
  <c r="F86" i="9"/>
  <c r="F75" i="9"/>
  <c r="F61" i="9"/>
  <c r="F56" i="9"/>
  <c r="F50" i="9"/>
  <c r="F36" i="9"/>
  <c r="F33" i="9"/>
  <c r="F30" i="9"/>
  <c r="F19" i="9"/>
  <c r="F16" i="9"/>
  <c r="F238" i="9"/>
  <c r="F232" i="9"/>
  <c r="F160" i="9"/>
  <c r="Z7" i="42"/>
  <c r="Z8" i="42"/>
  <c r="Z9" i="42"/>
  <c r="Z10" i="42"/>
  <c r="Z11" i="42"/>
  <c r="Z12" i="42"/>
  <c r="Z13" i="42"/>
  <c r="Z14" i="42"/>
  <c r="Z15" i="42"/>
  <c r="Z16" i="42"/>
  <c r="Z17" i="42"/>
  <c r="Z18" i="42"/>
  <c r="Z19" i="42"/>
  <c r="Z20" i="42"/>
  <c r="Z21" i="42"/>
  <c r="Z22" i="42"/>
  <c r="Z23" i="42"/>
  <c r="Z24" i="42"/>
  <c r="Z25" i="42"/>
  <c r="Z26" i="42"/>
  <c r="Z27" i="42"/>
  <c r="Z28" i="42"/>
  <c r="Z29" i="42"/>
  <c r="Z30" i="42"/>
  <c r="Z31" i="42"/>
  <c r="Z32" i="42"/>
  <c r="Z33" i="42"/>
  <c r="Z34" i="42"/>
  <c r="Z35" i="42"/>
  <c r="Z36" i="42"/>
  <c r="Z37" i="42"/>
  <c r="Z38" i="42"/>
  <c r="Z39" i="42"/>
  <c r="Z40" i="42"/>
  <c r="Z41" i="42"/>
  <c r="Z42" i="42"/>
  <c r="Z43" i="42"/>
  <c r="Z44" i="42"/>
  <c r="Z45" i="42"/>
  <c r="Z46" i="42"/>
  <c r="Z47" i="42"/>
  <c r="Z48" i="42"/>
  <c r="Z49" i="42"/>
  <c r="Z50" i="42"/>
  <c r="Z51" i="42"/>
  <c r="Z52" i="42"/>
  <c r="Z53" i="42"/>
  <c r="Z54" i="42"/>
  <c r="Z55" i="42"/>
  <c r="Z56" i="42"/>
  <c r="Z57" i="42"/>
  <c r="Z58" i="42"/>
  <c r="Z59" i="42"/>
  <c r="Z60" i="42"/>
  <c r="Z61" i="42"/>
  <c r="Z62" i="42"/>
  <c r="Z63" i="42"/>
  <c r="Z64" i="42"/>
  <c r="Z65" i="42"/>
  <c r="Z66" i="42"/>
  <c r="Z67" i="42"/>
  <c r="Z68" i="42"/>
  <c r="Z69" i="42"/>
  <c r="Z70" i="42"/>
  <c r="Z71" i="42"/>
  <c r="Z72" i="42"/>
  <c r="Z73" i="42"/>
  <c r="Z74" i="42"/>
  <c r="Z75" i="42"/>
  <c r="Z76" i="42"/>
  <c r="Z77" i="42"/>
  <c r="Z78" i="42"/>
  <c r="Z79" i="42"/>
  <c r="Z80" i="42"/>
  <c r="Z81" i="42"/>
  <c r="Z82" i="42"/>
  <c r="Z83" i="42"/>
  <c r="Z84" i="42"/>
  <c r="Z85" i="42"/>
  <c r="Z86" i="42"/>
  <c r="Z87" i="42"/>
  <c r="Z88" i="42"/>
  <c r="Z89" i="42"/>
  <c r="Z90" i="42"/>
  <c r="Z91" i="42"/>
  <c r="Z92" i="42"/>
  <c r="Z93" i="42"/>
  <c r="Z94" i="42"/>
  <c r="Z95" i="42"/>
  <c r="Z96" i="42"/>
  <c r="Z97" i="42"/>
  <c r="Z98" i="42"/>
  <c r="Z99" i="42"/>
  <c r="Z100" i="42"/>
  <c r="Z101" i="42"/>
  <c r="Z102" i="42"/>
  <c r="Z103" i="42"/>
  <c r="Z104" i="42"/>
  <c r="Z105" i="42"/>
  <c r="Z106" i="42"/>
  <c r="Z107" i="42"/>
  <c r="Z108" i="42"/>
  <c r="Z109" i="42"/>
  <c r="Z110" i="42"/>
  <c r="Z111" i="42"/>
  <c r="Z112" i="42"/>
  <c r="Z113" i="42"/>
  <c r="Z114" i="42"/>
  <c r="Z115" i="42"/>
  <c r="Z116" i="42"/>
  <c r="Z117" i="42"/>
  <c r="Z118" i="42"/>
  <c r="Z119" i="42"/>
  <c r="Z120" i="42"/>
  <c r="Z121" i="42"/>
  <c r="Z122" i="42"/>
  <c r="Z123" i="42"/>
  <c r="Z124" i="42"/>
  <c r="Z125" i="42"/>
  <c r="Z126" i="42"/>
  <c r="Z127" i="42"/>
  <c r="Z128" i="42"/>
  <c r="Z129" i="42"/>
  <c r="Z130" i="42"/>
  <c r="Z131" i="42"/>
  <c r="Z132" i="42"/>
  <c r="Z133" i="42"/>
  <c r="Z134" i="42"/>
  <c r="Z135" i="42"/>
  <c r="Z136" i="42"/>
  <c r="Z137" i="42"/>
  <c r="Z138" i="42"/>
  <c r="Z139" i="42"/>
  <c r="Z140" i="42"/>
  <c r="Z141" i="42"/>
  <c r="Z142" i="42"/>
  <c r="Z143" i="42"/>
  <c r="Z144" i="42"/>
  <c r="Z145" i="42"/>
  <c r="Z146" i="42"/>
  <c r="Z147" i="42"/>
  <c r="Z148" i="42"/>
  <c r="Z149" i="42"/>
  <c r="Z150" i="42"/>
  <c r="Z151" i="42"/>
  <c r="Z152" i="42"/>
  <c r="Z153" i="42"/>
  <c r="Z154" i="42"/>
  <c r="Z155" i="42"/>
  <c r="Z156" i="42"/>
  <c r="Z157" i="42"/>
  <c r="Z158" i="42"/>
  <c r="Z159" i="42"/>
  <c r="Z160" i="42"/>
  <c r="Z161" i="42"/>
  <c r="Z162" i="42"/>
  <c r="Z163" i="42"/>
  <c r="Z164" i="42"/>
  <c r="Z165" i="42"/>
  <c r="Z166" i="42"/>
  <c r="Z167" i="42"/>
  <c r="Z168" i="42"/>
  <c r="Z169" i="42"/>
  <c r="Z170" i="42"/>
  <c r="Z171" i="42"/>
  <c r="Z172" i="42"/>
  <c r="Z173" i="42"/>
  <c r="Z174" i="42"/>
  <c r="Z175" i="42"/>
  <c r="Z176" i="42"/>
  <c r="Z177" i="42"/>
  <c r="Z178" i="42"/>
  <c r="Z179" i="42"/>
  <c r="Z180" i="42"/>
  <c r="Z181" i="42"/>
  <c r="Z182" i="42"/>
  <c r="Z183" i="42"/>
  <c r="Z184" i="42"/>
  <c r="Z185" i="42"/>
  <c r="Z186" i="42"/>
  <c r="Z187" i="42"/>
  <c r="Z188" i="42"/>
  <c r="Z189" i="42"/>
  <c r="Z190" i="42"/>
  <c r="Z191" i="42"/>
  <c r="Z192" i="42"/>
  <c r="Z193" i="42"/>
  <c r="Z194" i="42"/>
  <c r="Z195" i="42"/>
  <c r="Z196" i="42"/>
  <c r="Z197" i="42"/>
  <c r="Z198" i="42"/>
  <c r="Z199" i="42"/>
  <c r="Z200" i="42"/>
  <c r="Z201" i="42"/>
  <c r="Z202" i="42"/>
  <c r="Z203" i="42"/>
  <c r="Z204" i="42"/>
  <c r="Z205" i="42"/>
  <c r="Z206" i="42"/>
  <c r="Z207" i="42"/>
  <c r="Z208" i="42"/>
  <c r="Z209" i="42"/>
  <c r="Z210" i="42"/>
  <c r="Z211" i="42"/>
  <c r="Z212" i="42"/>
  <c r="Z213" i="42"/>
  <c r="Z214" i="42"/>
  <c r="Z215" i="42"/>
  <c r="Z216" i="42"/>
  <c r="Z217" i="42"/>
  <c r="Z218" i="42"/>
  <c r="Z219" i="42"/>
  <c r="Z220" i="42"/>
  <c r="Z221" i="42"/>
  <c r="Z222" i="42"/>
  <c r="Z223" i="42"/>
  <c r="Z224" i="42"/>
  <c r="Z225" i="42"/>
  <c r="Z226" i="42"/>
  <c r="Z227" i="42"/>
  <c r="Z228" i="42"/>
  <c r="Z229" i="42"/>
  <c r="Z230" i="42"/>
  <c r="Z231" i="42"/>
  <c r="Z232" i="42"/>
  <c r="Z233" i="42"/>
  <c r="Z234" i="42"/>
  <c r="Z235" i="42"/>
  <c r="Z236" i="42"/>
  <c r="Z237" i="42"/>
  <c r="Z238" i="42"/>
  <c r="Z239" i="42"/>
  <c r="Z240" i="42"/>
  <c r="Z241" i="42"/>
  <c r="Z242" i="42"/>
  <c r="Z243" i="42"/>
  <c r="Z244" i="42"/>
  <c r="Z245" i="42"/>
  <c r="Z246" i="42"/>
  <c r="Z247" i="42"/>
  <c r="Z248" i="42"/>
  <c r="Z249" i="42"/>
  <c r="Z250" i="42"/>
  <c r="Z251" i="42"/>
  <c r="Z252" i="42"/>
  <c r="Z253" i="42"/>
  <c r="Z254" i="42"/>
  <c r="Z255" i="42"/>
  <c r="Z256" i="42"/>
  <c r="Z257" i="42"/>
  <c r="Z258" i="42"/>
  <c r="Z259" i="42"/>
  <c r="Z260" i="42"/>
  <c r="Z261" i="42"/>
  <c r="Z262" i="42"/>
  <c r="Z263" i="42"/>
  <c r="Z264" i="42"/>
  <c r="Z265" i="42"/>
  <c r="Z266" i="42"/>
  <c r="Z267" i="42"/>
  <c r="Z268" i="42"/>
  <c r="Z269" i="42"/>
  <c r="Z270" i="42"/>
  <c r="Z271" i="42"/>
  <c r="Z272" i="42"/>
  <c r="Z273" i="42"/>
  <c r="Z274" i="42"/>
  <c r="Z275" i="42"/>
  <c r="Z276" i="42"/>
  <c r="Z277" i="42"/>
  <c r="Z278" i="42"/>
  <c r="Z279" i="42"/>
  <c r="Z280" i="42"/>
  <c r="Z281" i="42"/>
  <c r="Z282" i="42"/>
  <c r="Z283" i="42"/>
  <c r="Z284" i="42"/>
  <c r="Z285" i="42"/>
  <c r="Z286" i="42"/>
  <c r="Z287" i="42"/>
  <c r="Z288" i="42"/>
  <c r="Z289" i="42"/>
  <c r="Z290" i="42"/>
  <c r="Z291" i="42"/>
  <c r="Z292" i="42"/>
  <c r="Z293" i="42"/>
  <c r="Z294" i="42"/>
  <c r="Z295" i="42"/>
  <c r="Z296" i="42"/>
  <c r="Z297" i="42"/>
  <c r="Z298" i="42"/>
  <c r="Z299" i="42"/>
  <c r="Z300" i="42"/>
  <c r="Z301" i="42"/>
  <c r="Z302" i="42"/>
  <c r="Z303" i="42"/>
  <c r="Z304" i="42"/>
  <c r="Z305" i="42"/>
  <c r="Z6" i="42"/>
  <c r="AG268" i="42"/>
  <c r="E268" i="11" s="1"/>
  <c r="AL69" i="42"/>
  <c r="D297" i="25" l="1"/>
  <c r="D298" i="49"/>
  <c r="C301" i="36"/>
  <c r="C298" i="37"/>
  <c r="D304" i="34"/>
  <c r="D298" i="33"/>
  <c r="D288" i="25"/>
  <c r="D289" i="49"/>
  <c r="C289" i="37"/>
  <c r="C292" i="36"/>
  <c r="D289" i="33"/>
  <c r="D295" i="34"/>
  <c r="D300" i="25"/>
  <c r="D301" i="49"/>
  <c r="C301" i="37"/>
  <c r="C304" i="36"/>
  <c r="D301" i="33"/>
  <c r="D307" i="34"/>
  <c r="D292" i="25"/>
  <c r="D293" i="49"/>
  <c r="C293" i="37"/>
  <c r="C296" i="36"/>
  <c r="D299" i="34"/>
  <c r="D293" i="33"/>
  <c r="D284" i="25"/>
  <c r="D285" i="49"/>
  <c r="C285" i="37"/>
  <c r="C288" i="36"/>
  <c r="D285" i="33"/>
  <c r="D291" i="34"/>
  <c r="D276" i="25"/>
  <c r="D277" i="49"/>
  <c r="C277" i="37"/>
  <c r="C280" i="36"/>
  <c r="D277" i="33"/>
  <c r="D283" i="34"/>
  <c r="D268" i="25"/>
  <c r="D269" i="49"/>
  <c r="C269" i="37"/>
  <c r="C272" i="36"/>
  <c r="D275" i="34"/>
  <c r="D269" i="33"/>
  <c r="D260" i="25"/>
  <c r="D261" i="49"/>
  <c r="C261" i="37"/>
  <c r="C264" i="36"/>
  <c r="D261" i="33"/>
  <c r="D267" i="34"/>
  <c r="D252" i="25"/>
  <c r="D253" i="49"/>
  <c r="C253" i="37"/>
  <c r="C256" i="36"/>
  <c r="D259" i="34"/>
  <c r="D253" i="33"/>
  <c r="D244" i="25"/>
  <c r="D245" i="49"/>
  <c r="C245" i="37"/>
  <c r="C248" i="36"/>
  <c r="D251" i="34"/>
  <c r="D245" i="33"/>
  <c r="D236" i="25"/>
  <c r="D237" i="49"/>
  <c r="C237" i="37"/>
  <c r="D243" i="34"/>
  <c r="C240" i="36"/>
  <c r="D237" i="33"/>
  <c r="D228" i="25"/>
  <c r="D229" i="49"/>
  <c r="C229" i="37"/>
  <c r="C232" i="36"/>
  <c r="D235" i="34"/>
  <c r="D229" i="33"/>
  <c r="D220" i="25"/>
  <c r="D221" i="49"/>
  <c r="C221" i="37"/>
  <c r="C224" i="36"/>
  <c r="D227" i="34"/>
  <c r="D221" i="33"/>
  <c r="D212" i="25"/>
  <c r="D213" i="49"/>
  <c r="C213" i="37"/>
  <c r="C216" i="36"/>
  <c r="D219" i="34"/>
  <c r="D213" i="33"/>
  <c r="D204" i="25"/>
  <c r="D205" i="49"/>
  <c r="C205" i="37"/>
  <c r="C208" i="36"/>
  <c r="D211" i="34"/>
  <c r="D205" i="33"/>
  <c r="D196" i="25"/>
  <c r="D197" i="49"/>
  <c r="C197" i="37"/>
  <c r="C200" i="36"/>
  <c r="D203" i="34"/>
  <c r="D197" i="33"/>
  <c r="D188" i="25"/>
  <c r="D189" i="49"/>
  <c r="C189" i="37"/>
  <c r="C192" i="36"/>
  <c r="D195" i="34"/>
  <c r="D189" i="33"/>
  <c r="D180" i="25"/>
  <c r="D181" i="49"/>
  <c r="C181" i="37"/>
  <c r="C184" i="36"/>
  <c r="D187" i="34"/>
  <c r="D181" i="33"/>
  <c r="D172" i="25"/>
  <c r="D173" i="49"/>
  <c r="C173" i="37"/>
  <c r="C176" i="36"/>
  <c r="D179" i="34"/>
  <c r="D173" i="33"/>
  <c r="D164" i="25"/>
  <c r="D165" i="49"/>
  <c r="C165" i="37"/>
  <c r="C168" i="36"/>
  <c r="D171" i="34"/>
  <c r="D165" i="33"/>
  <c r="D156" i="25"/>
  <c r="D157" i="49"/>
  <c r="C157" i="37"/>
  <c r="C160" i="36"/>
  <c r="D157" i="33"/>
  <c r="D163" i="34"/>
  <c r="D148" i="25"/>
  <c r="D149" i="49"/>
  <c r="C149" i="37"/>
  <c r="C152" i="36"/>
  <c r="D155" i="34"/>
  <c r="D149" i="33"/>
  <c r="D140" i="25"/>
  <c r="D141" i="49"/>
  <c r="C141" i="37"/>
  <c r="C144" i="36"/>
  <c r="D147" i="34"/>
  <c r="D141" i="33"/>
  <c r="D132" i="25"/>
  <c r="D133" i="49"/>
  <c r="C133" i="37"/>
  <c r="C136" i="36"/>
  <c r="D139" i="34"/>
  <c r="D133" i="33"/>
  <c r="D124" i="25"/>
  <c r="D125" i="49"/>
  <c r="C125" i="37"/>
  <c r="C128" i="36"/>
  <c r="D131" i="34"/>
  <c r="D125" i="33"/>
  <c r="D116" i="25"/>
  <c r="D117" i="49"/>
  <c r="C117" i="37"/>
  <c r="D123" i="34"/>
  <c r="C120" i="36"/>
  <c r="D117" i="33"/>
  <c r="D108" i="25"/>
  <c r="D109" i="49"/>
  <c r="C109" i="37"/>
  <c r="C112" i="36"/>
  <c r="D115" i="34"/>
  <c r="D109" i="33"/>
  <c r="D100" i="25"/>
  <c r="D101" i="49"/>
  <c r="C101" i="37"/>
  <c r="C104" i="36"/>
  <c r="D107" i="34"/>
  <c r="D101" i="33"/>
  <c r="D92" i="25"/>
  <c r="D93" i="49"/>
  <c r="C93" i="37"/>
  <c r="C96" i="36"/>
  <c r="D99" i="34"/>
  <c r="D93" i="33"/>
  <c r="D84" i="25"/>
  <c r="D85" i="49"/>
  <c r="C85" i="37"/>
  <c r="C88" i="36"/>
  <c r="D85" i="33"/>
  <c r="D91" i="34"/>
  <c r="D76" i="25"/>
  <c r="D77" i="49"/>
  <c r="C77" i="37"/>
  <c r="C80" i="36"/>
  <c r="D83" i="34"/>
  <c r="D77" i="33"/>
  <c r="D68" i="25"/>
  <c r="D69" i="49"/>
  <c r="C69" i="37"/>
  <c r="D75" i="34"/>
  <c r="C72" i="36"/>
  <c r="D69" i="33"/>
  <c r="D60" i="25"/>
  <c r="D61" i="49"/>
  <c r="C61" i="37"/>
  <c r="D67" i="34"/>
  <c r="C64" i="36"/>
  <c r="D61" i="33"/>
  <c r="D52" i="25"/>
  <c r="D53" i="49"/>
  <c r="C56" i="36"/>
  <c r="C53" i="37"/>
  <c r="D59" i="34"/>
  <c r="D53" i="33"/>
  <c r="D44" i="25"/>
  <c r="D45" i="49"/>
  <c r="C45" i="37"/>
  <c r="D51" i="34"/>
  <c r="C48" i="36"/>
  <c r="D45" i="33"/>
  <c r="D36" i="25"/>
  <c r="D37" i="49"/>
  <c r="C37" i="37"/>
  <c r="C40" i="36"/>
  <c r="D43" i="34"/>
  <c r="D37" i="33"/>
  <c r="D28" i="25"/>
  <c r="D29" i="49"/>
  <c r="C29" i="37"/>
  <c r="C32" i="36"/>
  <c r="D35" i="34"/>
  <c r="D29" i="33"/>
  <c r="D20" i="25"/>
  <c r="D21" i="49"/>
  <c r="C21" i="37"/>
  <c r="C24" i="36"/>
  <c r="D27" i="34"/>
  <c r="D21" i="33"/>
  <c r="D12" i="25"/>
  <c r="D13" i="49"/>
  <c r="C13" i="37"/>
  <c r="C16" i="36"/>
  <c r="D19" i="34"/>
  <c r="D13" i="33"/>
  <c r="D299" i="25"/>
  <c r="D300" i="49"/>
  <c r="C300" i="37"/>
  <c r="C303" i="36"/>
  <c r="D306" i="34"/>
  <c r="D300" i="33"/>
  <c r="D291" i="25"/>
  <c r="D292" i="49"/>
  <c r="C292" i="37"/>
  <c r="C295" i="36"/>
  <c r="D298" i="34"/>
  <c r="D292" i="33"/>
  <c r="D283" i="25"/>
  <c r="D284" i="49"/>
  <c r="C284" i="37"/>
  <c r="C287" i="36"/>
  <c r="D290" i="34"/>
  <c r="D284" i="33"/>
  <c r="D275" i="25"/>
  <c r="D276" i="49"/>
  <c r="C276" i="37"/>
  <c r="C279" i="36"/>
  <c r="D282" i="34"/>
  <c r="D276" i="33"/>
  <c r="D267" i="25"/>
  <c r="D268" i="49"/>
  <c r="C268" i="37"/>
  <c r="C271" i="36"/>
  <c r="D274" i="34"/>
  <c r="D268" i="33"/>
  <c r="D260" i="49"/>
  <c r="D259" i="25"/>
  <c r="C260" i="37"/>
  <c r="C263" i="36"/>
  <c r="D260" i="33"/>
  <c r="D266" i="34"/>
  <c r="D251" i="25"/>
  <c r="D252" i="49"/>
  <c r="C252" i="37"/>
  <c r="C255" i="36"/>
  <c r="D252" i="33"/>
  <c r="D258" i="34"/>
  <c r="D243" i="25"/>
  <c r="D244" i="49"/>
  <c r="C244" i="37"/>
  <c r="C247" i="36"/>
  <c r="D244" i="33"/>
  <c r="D250" i="34"/>
  <c r="D235" i="25"/>
  <c r="D236" i="49"/>
  <c r="C239" i="36"/>
  <c r="C236" i="37"/>
  <c r="D242" i="34"/>
  <c r="D236" i="33"/>
  <c r="D228" i="49"/>
  <c r="D227" i="25"/>
  <c r="C228" i="37"/>
  <c r="C231" i="36"/>
  <c r="D228" i="33"/>
  <c r="D234" i="34"/>
  <c r="D219" i="25"/>
  <c r="D220" i="49"/>
  <c r="C220" i="37"/>
  <c r="C223" i="36"/>
  <c r="D220" i="33"/>
  <c r="D226" i="34"/>
  <c r="D211" i="25"/>
  <c r="D212" i="49"/>
  <c r="C212" i="37"/>
  <c r="D218" i="34"/>
  <c r="C215" i="36"/>
  <c r="D212" i="33"/>
  <c r="D203" i="25"/>
  <c r="D204" i="49"/>
  <c r="C207" i="36"/>
  <c r="C204" i="37"/>
  <c r="D210" i="34"/>
  <c r="D204" i="33"/>
  <c r="D195" i="25"/>
  <c r="D196" i="49"/>
  <c r="C196" i="37"/>
  <c r="C199" i="36"/>
  <c r="D202" i="34"/>
  <c r="D196" i="33"/>
  <c r="D187" i="25"/>
  <c r="D188" i="49"/>
  <c r="C188" i="37"/>
  <c r="D194" i="34"/>
  <c r="C191" i="36"/>
  <c r="D188" i="33"/>
  <c r="D179" i="25"/>
  <c r="D180" i="49"/>
  <c r="C180" i="37"/>
  <c r="C183" i="36"/>
  <c r="D186" i="34"/>
  <c r="D180" i="33"/>
  <c r="D171" i="25"/>
  <c r="D172" i="49"/>
  <c r="C172" i="37"/>
  <c r="C175" i="36"/>
  <c r="D178" i="34"/>
  <c r="D172" i="33"/>
  <c r="D163" i="25"/>
  <c r="D164" i="49"/>
  <c r="C164" i="37"/>
  <c r="C167" i="36"/>
  <c r="D170" i="34"/>
  <c r="D164" i="33"/>
  <c r="D155" i="25"/>
  <c r="D156" i="49"/>
  <c r="C156" i="37"/>
  <c r="C159" i="36"/>
  <c r="D162" i="34"/>
  <c r="D156" i="33"/>
  <c r="D147" i="25"/>
  <c r="D148" i="49"/>
  <c r="C148" i="37"/>
  <c r="C151" i="36"/>
  <c r="D154" i="34"/>
  <c r="D148" i="33"/>
  <c r="D139" i="25"/>
  <c r="D140" i="49"/>
  <c r="C140" i="37"/>
  <c r="C143" i="36"/>
  <c r="D146" i="34"/>
  <c r="D140" i="33"/>
  <c r="D131" i="25"/>
  <c r="D132" i="49"/>
  <c r="C132" i="37"/>
  <c r="D138" i="34"/>
  <c r="C135" i="36"/>
  <c r="D132" i="33"/>
  <c r="D123" i="25"/>
  <c r="D124" i="49"/>
  <c r="C124" i="37"/>
  <c r="D130" i="34"/>
  <c r="C127" i="36"/>
  <c r="D124" i="33"/>
  <c r="D115" i="25"/>
  <c r="D116" i="49"/>
  <c r="C116" i="37"/>
  <c r="C119" i="36"/>
  <c r="D122" i="34"/>
  <c r="D116" i="33"/>
  <c r="D107" i="25"/>
  <c r="D108" i="49"/>
  <c r="C108" i="37"/>
  <c r="C111" i="36"/>
  <c r="D114" i="34"/>
  <c r="D108" i="33"/>
  <c r="D99" i="25"/>
  <c r="D100" i="49"/>
  <c r="C100" i="37"/>
  <c r="C103" i="36"/>
  <c r="D106" i="34"/>
  <c r="D100" i="33"/>
  <c r="D91" i="25"/>
  <c r="D92" i="49"/>
  <c r="C92" i="37"/>
  <c r="C95" i="36"/>
  <c r="D98" i="34"/>
  <c r="D92" i="33"/>
  <c r="D83" i="25"/>
  <c r="D84" i="49"/>
  <c r="C84" i="37"/>
  <c r="D90" i="34"/>
  <c r="C87" i="36"/>
  <c r="D84" i="33"/>
  <c r="D75" i="25"/>
  <c r="D76" i="49"/>
  <c r="C76" i="37"/>
  <c r="C79" i="36"/>
  <c r="D82" i="34"/>
  <c r="D76" i="33"/>
  <c r="D67" i="25"/>
  <c r="D68" i="49"/>
  <c r="C68" i="37"/>
  <c r="C71" i="36"/>
  <c r="D74" i="34"/>
  <c r="D68" i="33"/>
  <c r="D59" i="25"/>
  <c r="D60" i="49"/>
  <c r="C60" i="37"/>
  <c r="C63" i="36"/>
  <c r="D66" i="34"/>
  <c r="D60" i="33"/>
  <c r="D51" i="25"/>
  <c r="D52" i="49"/>
  <c r="C52" i="37"/>
  <c r="C55" i="36"/>
  <c r="D58" i="34"/>
  <c r="D52" i="33"/>
  <c r="D43" i="25"/>
  <c r="D44" i="49"/>
  <c r="C44" i="37"/>
  <c r="C47" i="36"/>
  <c r="D50" i="34"/>
  <c r="D44" i="33"/>
  <c r="D35" i="25"/>
  <c r="D36" i="49"/>
  <c r="C36" i="37"/>
  <c r="C39" i="36"/>
  <c r="D42" i="34"/>
  <c r="D36" i="33"/>
  <c r="D27" i="25"/>
  <c r="D28" i="49"/>
  <c r="C28" i="37"/>
  <c r="C31" i="36"/>
  <c r="D34" i="34"/>
  <c r="D28" i="33"/>
  <c r="D19" i="25"/>
  <c r="D20" i="49"/>
  <c r="C20" i="37"/>
  <c r="C23" i="36"/>
  <c r="D26" i="34"/>
  <c r="D20" i="33"/>
  <c r="D11" i="25"/>
  <c r="D12" i="49"/>
  <c r="C12" i="37"/>
  <c r="C15" i="36"/>
  <c r="D18" i="34"/>
  <c r="D12" i="33"/>
  <c r="D298" i="25"/>
  <c r="D299" i="49"/>
  <c r="C299" i="37"/>
  <c r="C302" i="36"/>
  <c r="D305" i="34"/>
  <c r="D299" i="33"/>
  <c r="D290" i="25"/>
  <c r="D291" i="49"/>
  <c r="C291" i="37"/>
  <c r="C294" i="36"/>
  <c r="D291" i="33"/>
  <c r="D297" i="34"/>
  <c r="D282" i="25"/>
  <c r="D283" i="49"/>
  <c r="C286" i="36"/>
  <c r="C283" i="37"/>
  <c r="D289" i="34"/>
  <c r="D283" i="33"/>
  <c r="D274" i="25"/>
  <c r="D275" i="49"/>
  <c r="C275" i="37"/>
  <c r="C278" i="36"/>
  <c r="D275" i="33"/>
  <c r="D281" i="34"/>
  <c r="D267" i="49"/>
  <c r="D266" i="25"/>
  <c r="C267" i="37"/>
  <c r="C270" i="36"/>
  <c r="D273" i="34"/>
  <c r="D267" i="33"/>
  <c r="D258" i="25"/>
  <c r="D259" i="49"/>
  <c r="C259" i="37"/>
  <c r="C262" i="36"/>
  <c r="D265" i="34"/>
  <c r="D259" i="33"/>
  <c r="D251" i="49"/>
  <c r="D250" i="25"/>
  <c r="C251" i="37"/>
  <c r="C254" i="36"/>
  <c r="D257" i="34"/>
  <c r="D251" i="33"/>
  <c r="D242" i="25"/>
  <c r="D243" i="49"/>
  <c r="C243" i="37"/>
  <c r="C246" i="36"/>
  <c r="D249" i="34"/>
  <c r="D243" i="33"/>
  <c r="D235" i="49"/>
  <c r="D234" i="25"/>
  <c r="C235" i="37"/>
  <c r="C238" i="36"/>
  <c r="D241" i="34"/>
  <c r="D235" i="33"/>
  <c r="D226" i="25"/>
  <c r="D227" i="49"/>
  <c r="C227" i="37"/>
  <c r="D233" i="34"/>
  <c r="C230" i="36"/>
  <c r="D227" i="33"/>
  <c r="D218" i="25"/>
  <c r="D219" i="49"/>
  <c r="C219" i="37"/>
  <c r="D225" i="34"/>
  <c r="C222" i="36"/>
  <c r="D219" i="33"/>
  <c r="D210" i="25"/>
  <c r="D211" i="49"/>
  <c r="C211" i="37"/>
  <c r="C214" i="36"/>
  <c r="D211" i="33"/>
  <c r="D217" i="34"/>
  <c r="D202" i="25"/>
  <c r="D203" i="49"/>
  <c r="C203" i="37"/>
  <c r="C206" i="36"/>
  <c r="D209" i="34"/>
  <c r="D203" i="33"/>
  <c r="D194" i="25"/>
  <c r="D195" i="49"/>
  <c r="C195" i="37"/>
  <c r="C198" i="36"/>
  <c r="D201" i="34"/>
  <c r="D195" i="33"/>
  <c r="D186" i="25"/>
  <c r="D187" i="49"/>
  <c r="C187" i="37"/>
  <c r="C190" i="36"/>
  <c r="D193" i="34"/>
  <c r="D187" i="33"/>
  <c r="D178" i="25"/>
  <c r="D179" i="49"/>
  <c r="C179" i="37"/>
  <c r="C182" i="36"/>
  <c r="D179" i="33"/>
  <c r="D185" i="34"/>
  <c r="D170" i="25"/>
  <c r="D171" i="49"/>
  <c r="C171" i="37"/>
  <c r="C174" i="36"/>
  <c r="D177" i="34"/>
  <c r="D171" i="33"/>
  <c r="D162" i="25"/>
  <c r="D163" i="49"/>
  <c r="C163" i="37"/>
  <c r="C166" i="36"/>
  <c r="D169" i="34"/>
  <c r="D163" i="33"/>
  <c r="D154" i="25"/>
  <c r="D155" i="49"/>
  <c r="C155" i="37"/>
  <c r="C158" i="36"/>
  <c r="D161" i="34"/>
  <c r="D155" i="33"/>
  <c r="D146" i="25"/>
  <c r="D147" i="49"/>
  <c r="C147" i="37"/>
  <c r="C150" i="36"/>
  <c r="D153" i="34"/>
  <c r="D147" i="33"/>
  <c r="D138" i="25"/>
  <c r="D139" i="49"/>
  <c r="C139" i="37"/>
  <c r="C142" i="36"/>
  <c r="D145" i="34"/>
  <c r="D139" i="33"/>
  <c r="D130" i="25"/>
  <c r="D131" i="49"/>
  <c r="C131" i="37"/>
  <c r="D137" i="34"/>
  <c r="C134" i="36"/>
  <c r="D131" i="33"/>
  <c r="D122" i="25"/>
  <c r="D123" i="49"/>
  <c r="C123" i="37"/>
  <c r="C126" i="36"/>
  <c r="D129" i="34"/>
  <c r="D123" i="33"/>
  <c r="D114" i="25"/>
  <c r="D115" i="49"/>
  <c r="C115" i="37"/>
  <c r="C118" i="36"/>
  <c r="D121" i="34"/>
  <c r="D115" i="33"/>
  <c r="D106" i="25"/>
  <c r="D107" i="49"/>
  <c r="C107" i="37"/>
  <c r="C110" i="36"/>
  <c r="D113" i="34"/>
  <c r="D107" i="33"/>
  <c r="D98" i="25"/>
  <c r="D99" i="49"/>
  <c r="C99" i="37"/>
  <c r="D105" i="34"/>
  <c r="C102" i="36"/>
  <c r="D99" i="33"/>
  <c r="D90" i="25"/>
  <c r="D91" i="49"/>
  <c r="C91" i="37"/>
  <c r="D97" i="34"/>
  <c r="C94" i="36"/>
  <c r="D91" i="33"/>
  <c r="D82" i="25"/>
  <c r="D83" i="49"/>
  <c r="C83" i="37"/>
  <c r="C86" i="36"/>
  <c r="D83" i="33"/>
  <c r="D89" i="34"/>
  <c r="D74" i="25"/>
  <c r="D75" i="49"/>
  <c r="C75" i="37"/>
  <c r="D81" i="34"/>
  <c r="C78" i="36"/>
  <c r="D75" i="33"/>
  <c r="D66" i="25"/>
  <c r="D67" i="49"/>
  <c r="C67" i="37"/>
  <c r="C70" i="36"/>
  <c r="D73" i="34"/>
  <c r="D67" i="33"/>
  <c r="D58" i="25"/>
  <c r="D59" i="49"/>
  <c r="C59" i="37"/>
  <c r="C62" i="36"/>
  <c r="D65" i="34"/>
  <c r="D59" i="33"/>
  <c r="D50" i="25"/>
  <c r="D51" i="49"/>
  <c r="C51" i="37"/>
  <c r="C54" i="36"/>
  <c r="D57" i="34"/>
  <c r="D51" i="33"/>
  <c r="D42" i="25"/>
  <c r="D43" i="49"/>
  <c r="C46" i="36"/>
  <c r="C43" i="37"/>
  <c r="D49" i="34"/>
  <c r="D43" i="33"/>
  <c r="D34" i="25"/>
  <c r="D35" i="49"/>
  <c r="C35" i="37"/>
  <c r="C38" i="36"/>
  <c r="D41" i="34"/>
  <c r="D35" i="33"/>
  <c r="D26" i="25"/>
  <c r="D27" i="49"/>
  <c r="C27" i="37"/>
  <c r="C30" i="36"/>
  <c r="D33" i="34"/>
  <c r="D27" i="33"/>
  <c r="D18" i="25"/>
  <c r="D19" i="49"/>
  <c r="C19" i="37"/>
  <c r="C22" i="36"/>
  <c r="D25" i="34"/>
  <c r="D19" i="33"/>
  <c r="D10" i="25"/>
  <c r="D11" i="49"/>
  <c r="C11" i="37"/>
  <c r="C14" i="36"/>
  <c r="D17" i="34"/>
  <c r="D11" i="33"/>
  <c r="D273" i="25"/>
  <c r="D274" i="49"/>
  <c r="C274" i="37"/>
  <c r="C277" i="36"/>
  <c r="D280" i="34"/>
  <c r="D274" i="33"/>
  <c r="D265" i="25"/>
  <c r="D266" i="49"/>
  <c r="C269" i="36"/>
  <c r="C266" i="37"/>
  <c r="D272" i="34"/>
  <c r="D266" i="33"/>
  <c r="D258" i="49"/>
  <c r="D257" i="25"/>
  <c r="C258" i="37"/>
  <c r="C261" i="36"/>
  <c r="D264" i="34"/>
  <c r="D258" i="33"/>
  <c r="D249" i="25"/>
  <c r="D250" i="49"/>
  <c r="C250" i="37"/>
  <c r="C253" i="36"/>
  <c r="D250" i="33"/>
  <c r="D256" i="34"/>
  <c r="D242" i="49"/>
  <c r="D241" i="25"/>
  <c r="C242" i="37"/>
  <c r="C245" i="36"/>
  <c r="D242" i="33"/>
  <c r="D248" i="34"/>
  <c r="D233" i="25"/>
  <c r="D234" i="49"/>
  <c r="C234" i="37"/>
  <c r="C237" i="36"/>
  <c r="D240" i="34"/>
  <c r="D234" i="33"/>
  <c r="D225" i="25"/>
  <c r="D226" i="49"/>
  <c r="C226" i="37"/>
  <c r="C229" i="36"/>
  <c r="D226" i="33"/>
  <c r="D232" i="34"/>
  <c r="D217" i="25"/>
  <c r="D218" i="49"/>
  <c r="C218" i="37"/>
  <c r="C221" i="36"/>
  <c r="D224" i="34"/>
  <c r="D218" i="33"/>
  <c r="D209" i="25"/>
  <c r="D210" i="49"/>
  <c r="C210" i="37"/>
  <c r="D216" i="34"/>
  <c r="C213" i="36"/>
  <c r="D210" i="33"/>
  <c r="D201" i="25"/>
  <c r="D202" i="49"/>
  <c r="C202" i="37"/>
  <c r="C205" i="36"/>
  <c r="D208" i="34"/>
  <c r="D202" i="33"/>
  <c r="D193" i="25"/>
  <c r="D194" i="49"/>
  <c r="C194" i="37"/>
  <c r="C197" i="36"/>
  <c r="D200" i="34"/>
  <c r="D194" i="33"/>
  <c r="D185" i="25"/>
  <c r="D186" i="49"/>
  <c r="C186" i="37"/>
  <c r="C189" i="36"/>
  <c r="D192" i="34"/>
  <c r="D186" i="33"/>
  <c r="D177" i="25"/>
  <c r="D178" i="49"/>
  <c r="C178" i="37"/>
  <c r="D184" i="34"/>
  <c r="D178" i="33"/>
  <c r="C181" i="36"/>
  <c r="D169" i="25"/>
  <c r="D170" i="49"/>
  <c r="C170" i="37"/>
  <c r="C173" i="36"/>
  <c r="D176" i="34"/>
  <c r="D170" i="33"/>
  <c r="D161" i="25"/>
  <c r="D162" i="49"/>
  <c r="C162" i="37"/>
  <c r="D168" i="34"/>
  <c r="C165" i="36"/>
  <c r="D162" i="33"/>
  <c r="D153" i="25"/>
  <c r="D154" i="49"/>
  <c r="C154" i="37"/>
  <c r="C157" i="36"/>
  <c r="D160" i="34"/>
  <c r="D154" i="33"/>
  <c r="D145" i="25"/>
  <c r="D146" i="49"/>
  <c r="C146" i="37"/>
  <c r="C149" i="36"/>
  <c r="D152" i="34"/>
  <c r="D146" i="33"/>
  <c r="D137" i="25"/>
  <c r="D138" i="49"/>
  <c r="C138" i="37"/>
  <c r="D144" i="34"/>
  <c r="C141" i="36"/>
  <c r="D138" i="33"/>
  <c r="D129" i="25"/>
  <c r="D130" i="49"/>
  <c r="C130" i="37"/>
  <c r="C133" i="36"/>
  <c r="D136" i="34"/>
  <c r="D130" i="33"/>
  <c r="D121" i="25"/>
  <c r="D122" i="49"/>
  <c r="C122" i="37"/>
  <c r="C125" i="36"/>
  <c r="D128" i="34"/>
  <c r="D122" i="33"/>
  <c r="D113" i="25"/>
  <c r="D114" i="49"/>
  <c r="C114" i="37"/>
  <c r="D120" i="34"/>
  <c r="C117" i="36"/>
  <c r="D114" i="33"/>
  <c r="D105" i="25"/>
  <c r="D106" i="49"/>
  <c r="C106" i="37"/>
  <c r="C109" i="36"/>
  <c r="D112" i="34"/>
  <c r="D106" i="33"/>
  <c r="D97" i="25"/>
  <c r="D98" i="49"/>
  <c r="C98" i="37"/>
  <c r="C101" i="36"/>
  <c r="D104" i="34"/>
  <c r="D98" i="33"/>
  <c r="D89" i="25"/>
  <c r="D90" i="49"/>
  <c r="C90" i="37"/>
  <c r="C93" i="36"/>
  <c r="D96" i="34"/>
  <c r="D90" i="33"/>
  <c r="D81" i="25"/>
  <c r="D82" i="49"/>
  <c r="C82" i="37"/>
  <c r="C85" i="36"/>
  <c r="D88" i="34"/>
  <c r="D82" i="33"/>
  <c r="D73" i="25"/>
  <c r="D74" i="49"/>
  <c r="C74" i="37"/>
  <c r="D80" i="34"/>
  <c r="C77" i="36"/>
  <c r="D74" i="33"/>
  <c r="D65" i="25"/>
  <c r="D66" i="49"/>
  <c r="C66" i="37"/>
  <c r="C69" i="36"/>
  <c r="D72" i="34"/>
  <c r="D66" i="33"/>
  <c r="D57" i="25"/>
  <c r="D58" i="49"/>
  <c r="C58" i="37"/>
  <c r="C61" i="36"/>
  <c r="D64" i="34"/>
  <c r="D58" i="33"/>
  <c r="D49" i="25"/>
  <c r="D50" i="49"/>
  <c r="C50" i="37"/>
  <c r="D56" i="34"/>
  <c r="C53" i="36"/>
  <c r="D50" i="33"/>
  <c r="D41" i="25"/>
  <c r="D42" i="49"/>
  <c r="C42" i="37"/>
  <c r="C45" i="36"/>
  <c r="D48" i="34"/>
  <c r="D42" i="33"/>
  <c r="D33" i="25"/>
  <c r="D34" i="49"/>
  <c r="C34" i="37"/>
  <c r="D40" i="34"/>
  <c r="C37" i="36"/>
  <c r="D34" i="33"/>
  <c r="D25" i="25"/>
  <c r="D26" i="49"/>
  <c r="C26" i="37"/>
  <c r="D32" i="34"/>
  <c r="C29" i="36"/>
  <c r="D26" i="33"/>
  <c r="D17" i="25"/>
  <c r="D18" i="49"/>
  <c r="C18" i="37"/>
  <c r="C21" i="36"/>
  <c r="D24" i="34"/>
  <c r="D18" i="33"/>
  <c r="D9" i="25"/>
  <c r="D10" i="49"/>
  <c r="C10" i="37"/>
  <c r="C13" i="36"/>
  <c r="D16" i="34"/>
  <c r="D10" i="33"/>
  <c r="D304" i="25"/>
  <c r="D305" i="49"/>
  <c r="C305" i="37"/>
  <c r="C308" i="36"/>
  <c r="D311" i="34"/>
  <c r="D305" i="33"/>
  <c r="D280" i="25"/>
  <c r="D281" i="49"/>
  <c r="C281" i="37"/>
  <c r="C284" i="36"/>
  <c r="D287" i="34"/>
  <c r="D281" i="33"/>
  <c r="D272" i="25"/>
  <c r="D273" i="49"/>
  <c r="C273" i="37"/>
  <c r="C276" i="36"/>
  <c r="D273" i="33"/>
  <c r="D279" i="34"/>
  <c r="D264" i="25"/>
  <c r="D265" i="49"/>
  <c r="C265" i="37"/>
  <c r="C268" i="36"/>
  <c r="D265" i="33"/>
  <c r="D271" i="34"/>
  <c r="D256" i="25"/>
  <c r="D257" i="49"/>
  <c r="C257" i="37"/>
  <c r="C260" i="36"/>
  <c r="D263" i="34"/>
  <c r="D257" i="33"/>
  <c r="D248" i="25"/>
  <c r="D249" i="49"/>
  <c r="C252" i="36"/>
  <c r="C249" i="37"/>
  <c r="D255" i="34"/>
  <c r="D249" i="33"/>
  <c r="D241" i="49"/>
  <c r="D240" i="25"/>
  <c r="C241" i="37"/>
  <c r="C244" i="36"/>
  <c r="D247" i="34"/>
  <c r="D241" i="33"/>
  <c r="D232" i="25"/>
  <c r="D233" i="49"/>
  <c r="C233" i="37"/>
  <c r="D239" i="34"/>
  <c r="C236" i="36"/>
  <c r="D233" i="33"/>
  <c r="D224" i="25"/>
  <c r="D225" i="49"/>
  <c r="C225" i="37"/>
  <c r="C228" i="36"/>
  <c r="D231" i="34"/>
  <c r="D225" i="33"/>
  <c r="D216" i="25"/>
  <c r="D217" i="49"/>
  <c r="C217" i="37"/>
  <c r="C220" i="36"/>
  <c r="D223" i="34"/>
  <c r="D217" i="33"/>
  <c r="D208" i="25"/>
  <c r="D209" i="49"/>
  <c r="C209" i="37"/>
  <c r="C212" i="36"/>
  <c r="D215" i="34"/>
  <c r="D209" i="33"/>
  <c r="D200" i="25"/>
  <c r="D201" i="49"/>
  <c r="C201" i="37"/>
  <c r="D201" i="33"/>
  <c r="D207" i="34"/>
  <c r="C204" i="36"/>
  <c r="D192" i="25"/>
  <c r="D193" i="49"/>
  <c r="C193" i="37"/>
  <c r="C196" i="36"/>
  <c r="D199" i="34"/>
  <c r="D193" i="33"/>
  <c r="D184" i="25"/>
  <c r="D185" i="49"/>
  <c r="C185" i="37"/>
  <c r="C188" i="36"/>
  <c r="D191" i="34"/>
  <c r="D185" i="33"/>
  <c r="D176" i="25"/>
  <c r="D177" i="49"/>
  <c r="C177" i="37"/>
  <c r="C180" i="36"/>
  <c r="D183" i="34"/>
  <c r="D177" i="33"/>
  <c r="D168" i="25"/>
  <c r="D169" i="49"/>
  <c r="C169" i="37"/>
  <c r="C172" i="36"/>
  <c r="D175" i="34"/>
  <c r="D169" i="33"/>
  <c r="D160" i="25"/>
  <c r="D161" i="49"/>
  <c r="C161" i="37"/>
  <c r="C164" i="36"/>
  <c r="D167" i="34"/>
  <c r="D161" i="33"/>
  <c r="D152" i="25"/>
  <c r="D153" i="49"/>
  <c r="C153" i="37"/>
  <c r="C156" i="36"/>
  <c r="D159" i="34"/>
  <c r="D153" i="33"/>
  <c r="D144" i="25"/>
  <c r="D145" i="49"/>
  <c r="C145" i="37"/>
  <c r="C148" i="36"/>
  <c r="D151" i="34"/>
  <c r="D145" i="33"/>
  <c r="D136" i="25"/>
  <c r="D137" i="49"/>
  <c r="C137" i="37"/>
  <c r="C140" i="36"/>
  <c r="D143" i="34"/>
  <c r="D137" i="33"/>
  <c r="D128" i="25"/>
  <c r="D129" i="49"/>
  <c r="C129" i="37"/>
  <c r="C132" i="36"/>
  <c r="D135" i="34"/>
  <c r="D129" i="33"/>
  <c r="D120" i="25"/>
  <c r="D121" i="49"/>
  <c r="C121" i="37"/>
  <c r="C124" i="36"/>
  <c r="D127" i="34"/>
  <c r="D121" i="33"/>
  <c r="D112" i="25"/>
  <c r="D113" i="49"/>
  <c r="C113" i="37"/>
  <c r="D119" i="34"/>
  <c r="C116" i="36"/>
  <c r="D113" i="33"/>
  <c r="D104" i="25"/>
  <c r="D105" i="49"/>
  <c r="C108" i="36"/>
  <c r="C105" i="37"/>
  <c r="D111" i="34"/>
  <c r="D105" i="33"/>
  <c r="D96" i="25"/>
  <c r="D97" i="49"/>
  <c r="C97" i="37"/>
  <c r="C100" i="36"/>
  <c r="D103" i="34"/>
  <c r="D97" i="33"/>
  <c r="D88" i="25"/>
  <c r="D89" i="49"/>
  <c r="C89" i="37"/>
  <c r="C92" i="36"/>
  <c r="D95" i="34"/>
  <c r="D89" i="33"/>
  <c r="D80" i="25"/>
  <c r="D81" i="49"/>
  <c r="C81" i="37"/>
  <c r="C84" i="36"/>
  <c r="D87" i="34"/>
  <c r="D81" i="33"/>
  <c r="D72" i="25"/>
  <c r="D73" i="49"/>
  <c r="C73" i="37"/>
  <c r="C76" i="36"/>
  <c r="D79" i="34"/>
  <c r="D73" i="33"/>
  <c r="D64" i="25"/>
  <c r="D65" i="49"/>
  <c r="C65" i="37"/>
  <c r="C68" i="36"/>
  <c r="D71" i="34"/>
  <c r="D65" i="33"/>
  <c r="D56" i="25"/>
  <c r="D57" i="49"/>
  <c r="C57" i="37"/>
  <c r="C60" i="36"/>
  <c r="D63" i="34"/>
  <c r="D57" i="33"/>
  <c r="D48" i="25"/>
  <c r="D49" i="49"/>
  <c r="C49" i="37"/>
  <c r="C52" i="36"/>
  <c r="D49" i="33"/>
  <c r="D55" i="34"/>
  <c r="D40" i="25"/>
  <c r="D41" i="49"/>
  <c r="C41" i="37"/>
  <c r="C44" i="36"/>
  <c r="D47" i="34"/>
  <c r="D41" i="33"/>
  <c r="D32" i="25"/>
  <c r="D33" i="49"/>
  <c r="C33" i="37"/>
  <c r="C36" i="36"/>
  <c r="D39" i="34"/>
  <c r="D33" i="33"/>
  <c r="D24" i="25"/>
  <c r="D25" i="49"/>
  <c r="C25" i="37"/>
  <c r="D31" i="34"/>
  <c r="C28" i="36"/>
  <c r="D25" i="33"/>
  <c r="D16" i="25"/>
  <c r="D17" i="49"/>
  <c r="C17" i="37"/>
  <c r="D23" i="34"/>
  <c r="C20" i="36"/>
  <c r="D17" i="33"/>
  <c r="D8" i="25"/>
  <c r="D9" i="49"/>
  <c r="C9" i="37"/>
  <c r="C12" i="36"/>
  <c r="D15" i="34"/>
  <c r="D9" i="33"/>
  <c r="D281" i="25"/>
  <c r="D282" i="49"/>
  <c r="C282" i="37"/>
  <c r="C285" i="36"/>
  <c r="D288" i="34"/>
  <c r="D282" i="33"/>
  <c r="D295" i="25"/>
  <c r="D296" i="49"/>
  <c r="C296" i="37"/>
  <c r="C299" i="36"/>
  <c r="D302" i="34"/>
  <c r="D296" i="33"/>
  <c r="D287" i="25"/>
  <c r="D288" i="49"/>
  <c r="C288" i="37"/>
  <c r="C291" i="36"/>
  <c r="D294" i="34"/>
  <c r="D288" i="33"/>
  <c r="D279" i="25"/>
  <c r="D280" i="49"/>
  <c r="C280" i="37"/>
  <c r="C283" i="36"/>
  <c r="D286" i="34"/>
  <c r="D280" i="33"/>
  <c r="D272" i="49"/>
  <c r="D271" i="25"/>
  <c r="C272" i="37"/>
  <c r="C275" i="36"/>
  <c r="D278" i="34"/>
  <c r="D272" i="33"/>
  <c r="D263" i="25"/>
  <c r="D264" i="49"/>
  <c r="C264" i="37"/>
  <c r="C267" i="36"/>
  <c r="D270" i="34"/>
  <c r="D264" i="33"/>
  <c r="D255" i="25"/>
  <c r="D256" i="49"/>
  <c r="C256" i="37"/>
  <c r="C259" i="36"/>
  <c r="D262" i="34"/>
  <c r="D256" i="33"/>
  <c r="D248" i="49"/>
  <c r="D247" i="25"/>
  <c r="C248" i="37"/>
  <c r="C251" i="36"/>
  <c r="D248" i="33"/>
  <c r="D254" i="34"/>
  <c r="D239" i="25"/>
  <c r="D240" i="49"/>
  <c r="C243" i="36"/>
  <c r="C240" i="37"/>
  <c r="D240" i="33"/>
  <c r="D246" i="34"/>
  <c r="D231" i="25"/>
  <c r="D232" i="49"/>
  <c r="C232" i="37"/>
  <c r="C235" i="36"/>
  <c r="D232" i="33"/>
  <c r="D238" i="34"/>
  <c r="D223" i="25"/>
  <c r="D224" i="49"/>
  <c r="C224" i="37"/>
  <c r="C227" i="36"/>
  <c r="D224" i="33"/>
  <c r="D230" i="34"/>
  <c r="D215" i="25"/>
  <c r="D216" i="49"/>
  <c r="C216" i="37"/>
  <c r="C219" i="36"/>
  <c r="D222" i="34"/>
  <c r="D216" i="33"/>
  <c r="D207" i="25"/>
  <c r="D208" i="49"/>
  <c r="C208" i="37"/>
  <c r="D214" i="34"/>
  <c r="C211" i="36"/>
  <c r="D208" i="33"/>
  <c r="D199" i="25"/>
  <c r="D200" i="49"/>
  <c r="C200" i="37"/>
  <c r="C203" i="36"/>
  <c r="D206" i="34"/>
  <c r="D200" i="33"/>
  <c r="D192" i="49"/>
  <c r="D191" i="25"/>
  <c r="C192" i="37"/>
  <c r="C195" i="36"/>
  <c r="D198" i="34"/>
  <c r="D192" i="33"/>
  <c r="D184" i="49"/>
  <c r="D183" i="25"/>
  <c r="C187" i="36"/>
  <c r="C184" i="37"/>
  <c r="D190" i="34"/>
  <c r="D184" i="33"/>
  <c r="D175" i="25"/>
  <c r="D176" i="49"/>
  <c r="C176" i="37"/>
  <c r="C179" i="36"/>
  <c r="D182" i="34"/>
  <c r="D176" i="33"/>
  <c r="D167" i="25"/>
  <c r="D168" i="49"/>
  <c r="C168" i="37"/>
  <c r="C171" i="36"/>
  <c r="D174" i="34"/>
  <c r="D168" i="33"/>
  <c r="D160" i="49"/>
  <c r="D159" i="25"/>
  <c r="C160" i="37"/>
  <c r="C163" i="36"/>
  <c r="D166" i="34"/>
  <c r="D160" i="33"/>
  <c r="D151" i="25"/>
  <c r="D152" i="49"/>
  <c r="C152" i="37"/>
  <c r="D158" i="34"/>
  <c r="C155" i="36"/>
  <c r="D152" i="33"/>
  <c r="D143" i="25"/>
  <c r="D144" i="49"/>
  <c r="C144" i="37"/>
  <c r="C147" i="36"/>
  <c r="D150" i="34"/>
  <c r="D144" i="33"/>
  <c r="D135" i="25"/>
  <c r="D136" i="49"/>
  <c r="C136" i="37"/>
  <c r="C139" i="36"/>
  <c r="D142" i="34"/>
  <c r="D136" i="33"/>
  <c r="D127" i="25"/>
  <c r="D128" i="49"/>
  <c r="C128" i="37"/>
  <c r="D134" i="34"/>
  <c r="D128" i="33"/>
  <c r="C131" i="36"/>
  <c r="D120" i="49"/>
  <c r="D119" i="25"/>
  <c r="C120" i="37"/>
  <c r="C123" i="36"/>
  <c r="D126" i="34"/>
  <c r="D120" i="33"/>
  <c r="D111" i="25"/>
  <c r="D112" i="49"/>
  <c r="C115" i="36"/>
  <c r="C112" i="37"/>
  <c r="D118" i="34"/>
  <c r="D112" i="33"/>
  <c r="D104" i="49"/>
  <c r="D103" i="25"/>
  <c r="C107" i="36"/>
  <c r="C104" i="37"/>
  <c r="D104" i="33"/>
  <c r="D110" i="34"/>
  <c r="D95" i="25"/>
  <c r="D96" i="49"/>
  <c r="C96" i="37"/>
  <c r="D102" i="34"/>
  <c r="C99" i="36"/>
  <c r="D96" i="33"/>
  <c r="D87" i="25"/>
  <c r="D88" i="49"/>
  <c r="C88" i="37"/>
  <c r="C91" i="36"/>
  <c r="D94" i="34"/>
  <c r="D88" i="33"/>
  <c r="D79" i="25"/>
  <c r="D80" i="49"/>
  <c r="C80" i="37"/>
  <c r="C83" i="36"/>
  <c r="D86" i="34"/>
  <c r="D80" i="33"/>
  <c r="D71" i="25"/>
  <c r="D72" i="49"/>
  <c r="C72" i="37"/>
  <c r="C75" i="36"/>
  <c r="D72" i="33"/>
  <c r="D78" i="34"/>
  <c r="D64" i="49"/>
  <c r="D63" i="25"/>
  <c r="C64" i="37"/>
  <c r="C67" i="36"/>
  <c r="D70" i="34"/>
  <c r="D64" i="33"/>
  <c r="D56" i="49"/>
  <c r="D55" i="25"/>
  <c r="C56" i="37"/>
  <c r="C59" i="36"/>
  <c r="D62" i="34"/>
  <c r="D56" i="33"/>
  <c r="D48" i="49"/>
  <c r="D47" i="25"/>
  <c r="C51" i="36"/>
  <c r="C48" i="37"/>
  <c r="D54" i="34"/>
  <c r="D48" i="33"/>
  <c r="D39" i="25"/>
  <c r="D40" i="49"/>
  <c r="C40" i="37"/>
  <c r="C43" i="36"/>
  <c r="D46" i="34"/>
  <c r="D40" i="33"/>
  <c r="D31" i="25"/>
  <c r="D32" i="49"/>
  <c r="C32" i="37"/>
  <c r="C35" i="36"/>
  <c r="D38" i="34"/>
  <c r="D32" i="33"/>
  <c r="D24" i="49"/>
  <c r="D23" i="25"/>
  <c r="C24" i="37"/>
  <c r="D30" i="34"/>
  <c r="C27" i="36"/>
  <c r="D24" i="33"/>
  <c r="D15" i="25"/>
  <c r="D16" i="49"/>
  <c r="C16" i="37"/>
  <c r="C19" i="36"/>
  <c r="D22" i="34"/>
  <c r="D16" i="33"/>
  <c r="D7" i="25"/>
  <c r="D8" i="49"/>
  <c r="C8" i="37"/>
  <c r="C11" i="36"/>
  <c r="D14" i="34"/>
  <c r="D8" i="33"/>
  <c r="D296" i="25"/>
  <c r="D297" i="49"/>
  <c r="C297" i="37"/>
  <c r="C300" i="36"/>
  <c r="D303" i="34"/>
  <c r="D297" i="33"/>
  <c r="D302" i="25"/>
  <c r="D303" i="49"/>
  <c r="C306" i="36"/>
  <c r="C303" i="37"/>
  <c r="D309" i="34"/>
  <c r="D303" i="33"/>
  <c r="D294" i="25"/>
  <c r="D295" i="49"/>
  <c r="C295" i="37"/>
  <c r="C298" i="36"/>
  <c r="D301" i="34"/>
  <c r="D295" i="33"/>
  <c r="D286" i="25"/>
  <c r="D287" i="49"/>
  <c r="C287" i="37"/>
  <c r="C290" i="36"/>
  <c r="D287" i="33"/>
  <c r="D293" i="34"/>
  <c r="D279" i="49"/>
  <c r="D278" i="25"/>
  <c r="C279" i="37"/>
  <c r="C282" i="36"/>
  <c r="D279" i="33"/>
  <c r="D285" i="34"/>
  <c r="D270" i="25"/>
  <c r="D271" i="49"/>
  <c r="C271" i="37"/>
  <c r="C274" i="36"/>
  <c r="D277" i="34"/>
  <c r="D271" i="33"/>
  <c r="D262" i="25"/>
  <c r="D263" i="49"/>
  <c r="C263" i="37"/>
  <c r="C266" i="36"/>
  <c r="D263" i="33"/>
  <c r="D269" i="34"/>
  <c r="D255" i="49"/>
  <c r="D254" i="25"/>
  <c r="C255" i="37"/>
  <c r="C258" i="36"/>
  <c r="D261" i="34"/>
  <c r="D255" i="33"/>
  <c r="D246" i="25"/>
  <c r="D247" i="49"/>
  <c r="C247" i="37"/>
  <c r="C250" i="36"/>
  <c r="D253" i="34"/>
  <c r="D247" i="33"/>
  <c r="D239" i="49"/>
  <c r="D238" i="25"/>
  <c r="C239" i="37"/>
  <c r="D245" i="34"/>
  <c r="C242" i="36"/>
  <c r="D239" i="33"/>
  <c r="D230" i="25"/>
  <c r="D231" i="49"/>
  <c r="C231" i="37"/>
  <c r="C234" i="36"/>
  <c r="D237" i="34"/>
  <c r="D231" i="33"/>
  <c r="D222" i="25"/>
  <c r="D223" i="49"/>
  <c r="C223" i="37"/>
  <c r="D229" i="34"/>
  <c r="C226" i="36"/>
  <c r="D223" i="33"/>
  <c r="D214" i="25"/>
  <c r="D215" i="49"/>
  <c r="C215" i="37"/>
  <c r="C218" i="36"/>
  <c r="D221" i="34"/>
  <c r="D215" i="33"/>
  <c r="D206" i="25"/>
  <c r="D207" i="49"/>
  <c r="C207" i="37"/>
  <c r="C210" i="36"/>
  <c r="D213" i="34"/>
  <c r="D207" i="33"/>
  <c r="D198" i="25"/>
  <c r="D199" i="49"/>
  <c r="C199" i="37"/>
  <c r="C202" i="36"/>
  <c r="D205" i="34"/>
  <c r="D199" i="33"/>
  <c r="D190" i="25"/>
  <c r="D191" i="49"/>
  <c r="C191" i="37"/>
  <c r="C194" i="36"/>
  <c r="D197" i="34"/>
  <c r="D191" i="33"/>
  <c r="D182" i="25"/>
  <c r="D183" i="49"/>
  <c r="C183" i="37"/>
  <c r="C186" i="36"/>
  <c r="D189" i="34"/>
  <c r="D183" i="33"/>
  <c r="D174" i="25"/>
  <c r="D175" i="49"/>
  <c r="C175" i="37"/>
  <c r="D181" i="34"/>
  <c r="C178" i="36"/>
  <c r="D175" i="33"/>
  <c r="D166" i="25"/>
  <c r="D167" i="49"/>
  <c r="C167" i="37"/>
  <c r="C170" i="36"/>
  <c r="D173" i="34"/>
  <c r="D167" i="33"/>
  <c r="D158" i="25"/>
  <c r="D159" i="49"/>
  <c r="C159" i="37"/>
  <c r="C162" i="36"/>
  <c r="D165" i="34"/>
  <c r="D159" i="33"/>
  <c r="D150" i="25"/>
  <c r="D151" i="49"/>
  <c r="C151" i="37"/>
  <c r="C154" i="36"/>
  <c r="D157" i="34"/>
  <c r="D151" i="33"/>
  <c r="D142" i="25"/>
  <c r="D143" i="49"/>
  <c r="C143" i="37"/>
  <c r="C146" i="36"/>
  <c r="D149" i="34"/>
  <c r="D143" i="33"/>
  <c r="D134" i="25"/>
  <c r="D135" i="49"/>
  <c r="C135" i="37"/>
  <c r="C138" i="36"/>
  <c r="D135" i="33"/>
  <c r="D141" i="34"/>
  <c r="D126" i="25"/>
  <c r="D127" i="49"/>
  <c r="C127" i="37"/>
  <c r="C130" i="36"/>
  <c r="D133" i="34"/>
  <c r="D127" i="33"/>
  <c r="D118" i="25"/>
  <c r="D119" i="49"/>
  <c r="C119" i="37"/>
  <c r="C122" i="36"/>
  <c r="D125" i="34"/>
  <c r="D119" i="33"/>
  <c r="D110" i="25"/>
  <c r="D111" i="49"/>
  <c r="C114" i="36"/>
  <c r="C111" i="37"/>
  <c r="D117" i="34"/>
  <c r="D111" i="33"/>
  <c r="D102" i="25"/>
  <c r="D103" i="49"/>
  <c r="C103" i="37"/>
  <c r="C106" i="36"/>
  <c r="D109" i="34"/>
  <c r="D103" i="33"/>
  <c r="D94" i="25"/>
  <c r="D95" i="49"/>
  <c r="C95" i="37"/>
  <c r="C98" i="36"/>
  <c r="D101" i="34"/>
  <c r="D95" i="33"/>
  <c r="D86" i="25"/>
  <c r="D87" i="49"/>
  <c r="C87" i="37"/>
  <c r="C90" i="36"/>
  <c r="D93" i="34"/>
  <c r="D87" i="33"/>
  <c r="D78" i="25"/>
  <c r="D79" i="49"/>
  <c r="C79" i="37"/>
  <c r="C82" i="36"/>
  <c r="D85" i="34"/>
  <c r="D79" i="33"/>
  <c r="D70" i="25"/>
  <c r="D71" i="49"/>
  <c r="C71" i="37"/>
  <c r="C74" i="36"/>
  <c r="D77" i="34"/>
  <c r="D71" i="33"/>
  <c r="D62" i="25"/>
  <c r="D63" i="49"/>
  <c r="C66" i="36"/>
  <c r="C63" i="37"/>
  <c r="D69" i="34"/>
  <c r="D63" i="33"/>
  <c r="D54" i="25"/>
  <c r="D55" i="49"/>
  <c r="C55" i="37"/>
  <c r="D61" i="34"/>
  <c r="C58" i="36"/>
  <c r="D55" i="33"/>
  <c r="D46" i="25"/>
  <c r="D47" i="49"/>
  <c r="C47" i="37"/>
  <c r="D47" i="33"/>
  <c r="C50" i="36"/>
  <c r="D53" i="34"/>
  <c r="D38" i="25"/>
  <c r="D39" i="49"/>
  <c r="C39" i="37"/>
  <c r="C42" i="36"/>
  <c r="D45" i="34"/>
  <c r="D39" i="33"/>
  <c r="D30" i="25"/>
  <c r="D31" i="49"/>
  <c r="C31" i="37"/>
  <c r="C34" i="36"/>
  <c r="D37" i="34"/>
  <c r="D31" i="33"/>
  <c r="D22" i="25"/>
  <c r="D23" i="49"/>
  <c r="C23" i="37"/>
  <c r="C26" i="36"/>
  <c r="D29" i="34"/>
  <c r="D23" i="33"/>
  <c r="D14" i="25"/>
  <c r="D15" i="49"/>
  <c r="C15" i="37"/>
  <c r="C18" i="36"/>
  <c r="D15" i="33"/>
  <c r="D21" i="34"/>
  <c r="D6" i="25"/>
  <c r="D7" i="49"/>
  <c r="C7" i="37"/>
  <c r="C10" i="36"/>
  <c r="D13" i="34"/>
  <c r="D7" i="33"/>
  <c r="D289" i="25"/>
  <c r="D290" i="49"/>
  <c r="C293" i="36"/>
  <c r="C290" i="37"/>
  <c r="D296" i="34"/>
  <c r="D290" i="33"/>
  <c r="D303" i="25"/>
  <c r="D304" i="49"/>
  <c r="C307" i="36"/>
  <c r="C304" i="37"/>
  <c r="D310" i="34"/>
  <c r="D304" i="33"/>
  <c r="D301" i="25"/>
  <c r="D302" i="49"/>
  <c r="C302" i="37"/>
  <c r="C305" i="36"/>
  <c r="D308" i="34"/>
  <c r="D302" i="33"/>
  <c r="D293" i="25"/>
  <c r="D294" i="49"/>
  <c r="C294" i="37"/>
  <c r="C297" i="36"/>
  <c r="D300" i="34"/>
  <c r="D294" i="33"/>
  <c r="D286" i="49"/>
  <c r="D285" i="25"/>
  <c r="C286" i="37"/>
  <c r="C289" i="36"/>
  <c r="D292" i="34"/>
  <c r="D286" i="33"/>
  <c r="D278" i="49"/>
  <c r="D277" i="25"/>
  <c r="C278" i="37"/>
  <c r="C281" i="36"/>
  <c r="D284" i="34"/>
  <c r="D278" i="33"/>
  <c r="D270" i="49"/>
  <c r="D269" i="25"/>
  <c r="C270" i="37"/>
  <c r="C273" i="36"/>
  <c r="D276" i="34"/>
  <c r="D270" i="33"/>
  <c r="D261" i="25"/>
  <c r="D262" i="49"/>
  <c r="C262" i="37"/>
  <c r="C265" i="36"/>
  <c r="D268" i="34"/>
  <c r="D262" i="33"/>
  <c r="D253" i="25"/>
  <c r="D254" i="49"/>
  <c r="C254" i="37"/>
  <c r="C257" i="36"/>
  <c r="D260" i="34"/>
  <c r="D254" i="33"/>
  <c r="D246" i="49"/>
  <c r="D245" i="25"/>
  <c r="C246" i="37"/>
  <c r="C249" i="36"/>
  <c r="D246" i="33"/>
  <c r="D252" i="34"/>
  <c r="D238" i="49"/>
  <c r="D237" i="25"/>
  <c r="C238" i="37"/>
  <c r="C241" i="36"/>
  <c r="D238" i="33"/>
  <c r="D244" i="34"/>
  <c r="D229" i="25"/>
  <c r="D230" i="49"/>
  <c r="C230" i="37"/>
  <c r="C233" i="36"/>
  <c r="D230" i="33"/>
  <c r="D236" i="34"/>
  <c r="D221" i="25"/>
  <c r="D222" i="49"/>
  <c r="C222" i="37"/>
  <c r="C225" i="36"/>
  <c r="D222" i="33"/>
  <c r="D228" i="34"/>
  <c r="D213" i="25"/>
  <c r="D214" i="49"/>
  <c r="C214" i="37"/>
  <c r="C217" i="36"/>
  <c r="D220" i="34"/>
  <c r="D214" i="33"/>
  <c r="D206" i="49"/>
  <c r="D205" i="25"/>
  <c r="C206" i="37"/>
  <c r="C209" i="36"/>
  <c r="D212" i="34"/>
  <c r="D206" i="33"/>
  <c r="D197" i="25"/>
  <c r="D198" i="49"/>
  <c r="C201" i="36"/>
  <c r="D204" i="34"/>
  <c r="C198" i="37"/>
  <c r="D198" i="33"/>
  <c r="D190" i="49"/>
  <c r="D189" i="25"/>
  <c r="C190" i="37"/>
  <c r="C193" i="36"/>
  <c r="D196" i="34"/>
  <c r="D190" i="33"/>
  <c r="D182" i="49"/>
  <c r="D181" i="25"/>
  <c r="C182" i="37"/>
  <c r="C185" i="36"/>
  <c r="D188" i="34"/>
  <c r="D182" i="33"/>
  <c r="D174" i="49"/>
  <c r="D173" i="25"/>
  <c r="C174" i="37"/>
  <c r="D180" i="34"/>
  <c r="C177" i="36"/>
  <c r="D174" i="33"/>
  <c r="D165" i="25"/>
  <c r="D166" i="49"/>
  <c r="C166" i="37"/>
  <c r="C169" i="36"/>
  <c r="D172" i="34"/>
  <c r="D166" i="33"/>
  <c r="D158" i="49"/>
  <c r="D157" i="25"/>
  <c r="C158" i="37"/>
  <c r="C161" i="36"/>
  <c r="D164" i="34"/>
  <c r="D158" i="33"/>
  <c r="D149" i="25"/>
  <c r="D150" i="49"/>
  <c r="C150" i="37"/>
  <c r="C153" i="36"/>
  <c r="D156" i="34"/>
  <c r="D150" i="33"/>
  <c r="D142" i="49"/>
  <c r="D141" i="25"/>
  <c r="C142" i="37"/>
  <c r="C145" i="36"/>
  <c r="D148" i="34"/>
  <c r="D142" i="33"/>
  <c r="D133" i="25"/>
  <c r="D134" i="49"/>
  <c r="C134" i="37"/>
  <c r="D140" i="34"/>
  <c r="C137" i="36"/>
  <c r="D134" i="33"/>
  <c r="D125" i="25"/>
  <c r="D126" i="49"/>
  <c r="C126" i="37"/>
  <c r="C129" i="36"/>
  <c r="D132" i="34"/>
  <c r="D126" i="33"/>
  <c r="D118" i="49"/>
  <c r="D117" i="25"/>
  <c r="C118" i="37"/>
  <c r="C121" i="36"/>
  <c r="D118" i="33"/>
  <c r="D124" i="34"/>
  <c r="D110" i="49"/>
  <c r="D109" i="25"/>
  <c r="C110" i="37"/>
  <c r="C113" i="36"/>
  <c r="D116" i="34"/>
  <c r="D110" i="33"/>
  <c r="D101" i="25"/>
  <c r="D102" i="49"/>
  <c r="C102" i="37"/>
  <c r="D108" i="34"/>
  <c r="C105" i="36"/>
  <c r="D102" i="33"/>
  <c r="D93" i="25"/>
  <c r="D94" i="49"/>
  <c r="C94" i="37"/>
  <c r="C97" i="36"/>
  <c r="D100" i="34"/>
  <c r="D94" i="33"/>
  <c r="D85" i="25"/>
  <c r="D86" i="49"/>
  <c r="C89" i="36"/>
  <c r="C86" i="37"/>
  <c r="D92" i="34"/>
  <c r="D86" i="33"/>
  <c r="D77" i="25"/>
  <c r="D78" i="49"/>
  <c r="C78" i="37"/>
  <c r="C81" i="36"/>
  <c r="D84" i="34"/>
  <c r="D78" i="33"/>
  <c r="D69" i="25"/>
  <c r="D70" i="49"/>
  <c r="C70" i="37"/>
  <c r="C73" i="36"/>
  <c r="D76" i="34"/>
  <c r="D70" i="33"/>
  <c r="D61" i="25"/>
  <c r="D62" i="49"/>
  <c r="C62" i="37"/>
  <c r="C65" i="36"/>
  <c r="D68" i="34"/>
  <c r="D62" i="33"/>
  <c r="D53" i="25"/>
  <c r="D54" i="49"/>
  <c r="C54" i="37"/>
  <c r="C57" i="36"/>
  <c r="D60" i="34"/>
  <c r="D54" i="33"/>
  <c r="D45" i="25"/>
  <c r="D46" i="49"/>
  <c r="C46" i="37"/>
  <c r="C49" i="36"/>
  <c r="D52" i="34"/>
  <c r="D46" i="33"/>
  <c r="D37" i="25"/>
  <c r="D38" i="49"/>
  <c r="C38" i="37"/>
  <c r="C41" i="36"/>
  <c r="D44" i="34"/>
  <c r="D38" i="33"/>
  <c r="D29" i="25"/>
  <c r="D30" i="49"/>
  <c r="C30" i="37"/>
  <c r="C33" i="36"/>
  <c r="D36" i="34"/>
  <c r="D30" i="33"/>
  <c r="D21" i="25"/>
  <c r="D22" i="49"/>
  <c r="C22" i="37"/>
  <c r="C25" i="36"/>
  <c r="D28" i="34"/>
  <c r="D22" i="33"/>
  <c r="D13" i="25"/>
  <c r="D14" i="49"/>
  <c r="C14" i="37"/>
  <c r="C17" i="36"/>
  <c r="D20" i="34"/>
  <c r="D14" i="33"/>
  <c r="F33" i="36" l="1"/>
  <c r="I33" i="36"/>
  <c r="D33" i="36"/>
  <c r="E33" i="36"/>
  <c r="G33" i="36"/>
  <c r="H33" i="36"/>
  <c r="J33" i="36"/>
  <c r="G25" i="36"/>
  <c r="H25" i="36"/>
  <c r="J25" i="36"/>
  <c r="I25" i="36"/>
  <c r="D25" i="36"/>
  <c r="E25" i="36"/>
  <c r="F25" i="36"/>
  <c r="E153" i="36"/>
  <c r="G153" i="36"/>
  <c r="F153" i="36"/>
  <c r="H153" i="36"/>
  <c r="I153" i="36"/>
  <c r="D153" i="36"/>
  <c r="J153" i="36"/>
  <c r="D217" i="36"/>
  <c r="E217" i="36"/>
  <c r="J217" i="36"/>
  <c r="G217" i="36"/>
  <c r="F217" i="36"/>
  <c r="H217" i="36"/>
  <c r="I217" i="36"/>
  <c r="F281" i="36"/>
  <c r="D281" i="36"/>
  <c r="H281" i="36"/>
  <c r="E281" i="36"/>
  <c r="J281" i="36"/>
  <c r="G281" i="36"/>
  <c r="I281" i="36"/>
  <c r="I26" i="36"/>
  <c r="H26" i="36"/>
  <c r="F26" i="36"/>
  <c r="G26" i="36"/>
  <c r="E26" i="36"/>
  <c r="D26" i="36"/>
  <c r="J26" i="36"/>
  <c r="I90" i="36"/>
  <c r="D90" i="36"/>
  <c r="G90" i="36"/>
  <c r="J90" i="36"/>
  <c r="E90" i="36"/>
  <c r="F90" i="36"/>
  <c r="H90" i="36"/>
  <c r="E154" i="36"/>
  <c r="D154" i="36"/>
  <c r="G154" i="36"/>
  <c r="F154" i="36"/>
  <c r="H154" i="36"/>
  <c r="I154" i="36"/>
  <c r="J154" i="36"/>
  <c r="D218" i="36"/>
  <c r="H218" i="36"/>
  <c r="J218" i="36"/>
  <c r="E218" i="36"/>
  <c r="I218" i="36"/>
  <c r="F218" i="36"/>
  <c r="G218" i="36"/>
  <c r="D282" i="36"/>
  <c r="I282" i="36"/>
  <c r="E282" i="36"/>
  <c r="H282" i="36"/>
  <c r="J282" i="36"/>
  <c r="F282" i="36"/>
  <c r="G282" i="36"/>
  <c r="E27" i="36"/>
  <c r="H27" i="36"/>
  <c r="I27" i="36"/>
  <c r="J27" i="36"/>
  <c r="D27" i="36"/>
  <c r="F27" i="36"/>
  <c r="G27" i="36"/>
  <c r="D35" i="36"/>
  <c r="E35" i="36"/>
  <c r="H35" i="36"/>
  <c r="F35" i="36"/>
  <c r="G35" i="36"/>
  <c r="I35" i="36"/>
  <c r="J35" i="36"/>
  <c r="F107" i="36"/>
  <c r="G107" i="36"/>
  <c r="E107" i="36"/>
  <c r="I107" i="36"/>
  <c r="H107" i="36"/>
  <c r="J107" i="36"/>
  <c r="D107" i="36"/>
  <c r="D155" i="36"/>
  <c r="I155" i="36"/>
  <c r="H155" i="36"/>
  <c r="J155" i="36"/>
  <c r="E155" i="36"/>
  <c r="F155" i="36"/>
  <c r="G155" i="36"/>
  <c r="D163" i="36"/>
  <c r="I163" i="36"/>
  <c r="G163" i="36"/>
  <c r="J163" i="36"/>
  <c r="E163" i="36"/>
  <c r="H163" i="36"/>
  <c r="F163" i="36"/>
  <c r="J227" i="36"/>
  <c r="F227" i="36"/>
  <c r="H227" i="36"/>
  <c r="E227" i="36"/>
  <c r="G227" i="36"/>
  <c r="I227" i="36"/>
  <c r="D227" i="36"/>
  <c r="D291" i="36"/>
  <c r="F291" i="36"/>
  <c r="G291" i="36"/>
  <c r="H291" i="36"/>
  <c r="E291" i="36"/>
  <c r="I291" i="36"/>
  <c r="J291" i="36"/>
  <c r="E52" i="36"/>
  <c r="J52" i="36"/>
  <c r="H52" i="36"/>
  <c r="G52" i="36"/>
  <c r="I52" i="36"/>
  <c r="D52" i="36"/>
  <c r="F52" i="36"/>
  <c r="J180" i="36"/>
  <c r="E180" i="36"/>
  <c r="D180" i="36"/>
  <c r="F180" i="36"/>
  <c r="G180" i="36"/>
  <c r="I180" i="36"/>
  <c r="H180" i="36"/>
  <c r="E236" i="36"/>
  <c r="D236" i="36"/>
  <c r="G236" i="36"/>
  <c r="H236" i="36"/>
  <c r="J236" i="36"/>
  <c r="F236" i="36"/>
  <c r="I236" i="36"/>
  <c r="E244" i="36"/>
  <c r="D244" i="36"/>
  <c r="J244" i="36"/>
  <c r="G244" i="36"/>
  <c r="H244" i="36"/>
  <c r="I244" i="36"/>
  <c r="F244" i="36"/>
  <c r="D252" i="36"/>
  <c r="F252" i="36"/>
  <c r="J252" i="36"/>
  <c r="G252" i="36"/>
  <c r="H252" i="36"/>
  <c r="I252" i="36"/>
  <c r="E252" i="36"/>
  <c r="F77" i="36"/>
  <c r="E77" i="36"/>
  <c r="H77" i="36"/>
  <c r="J77" i="36"/>
  <c r="I77" i="36"/>
  <c r="D77" i="36"/>
  <c r="G77" i="36"/>
  <c r="F85" i="36"/>
  <c r="H85" i="36"/>
  <c r="J85" i="36"/>
  <c r="E85" i="36"/>
  <c r="G85" i="36"/>
  <c r="I85" i="36"/>
  <c r="D85" i="36"/>
  <c r="D181" i="36"/>
  <c r="E181" i="36"/>
  <c r="G181" i="36"/>
  <c r="H181" i="36"/>
  <c r="F181" i="36"/>
  <c r="I181" i="36"/>
  <c r="J181" i="36"/>
  <c r="G197" i="36"/>
  <c r="I197" i="36"/>
  <c r="F197" i="36"/>
  <c r="J197" i="36"/>
  <c r="H197" i="36"/>
  <c r="D197" i="36"/>
  <c r="E197" i="36"/>
  <c r="F253" i="36"/>
  <c r="G253" i="36"/>
  <c r="I253" i="36"/>
  <c r="E253" i="36"/>
  <c r="H253" i="36"/>
  <c r="J253" i="36"/>
  <c r="D253" i="36"/>
  <c r="I102" i="36"/>
  <c r="D102" i="36"/>
  <c r="E102" i="36"/>
  <c r="F102" i="36"/>
  <c r="G102" i="36"/>
  <c r="H102" i="36"/>
  <c r="J102" i="36"/>
  <c r="I110" i="36"/>
  <c r="D110" i="36"/>
  <c r="E110" i="36"/>
  <c r="G110" i="36"/>
  <c r="H110" i="36"/>
  <c r="J110" i="36"/>
  <c r="F110" i="36"/>
  <c r="G174" i="36"/>
  <c r="I174" i="36"/>
  <c r="J174" i="36"/>
  <c r="H174" i="36"/>
  <c r="D174" i="36"/>
  <c r="E174" i="36"/>
  <c r="F174" i="36"/>
  <c r="I230" i="36"/>
  <c r="G230" i="36"/>
  <c r="J230" i="36"/>
  <c r="F230" i="36"/>
  <c r="E230" i="36"/>
  <c r="H230" i="36"/>
  <c r="D230" i="36"/>
  <c r="I238" i="36"/>
  <c r="D238" i="36"/>
  <c r="J238" i="36"/>
  <c r="E238" i="36"/>
  <c r="F238" i="36"/>
  <c r="G238" i="36"/>
  <c r="H238" i="36"/>
  <c r="E302" i="36"/>
  <c r="F302" i="36"/>
  <c r="G302" i="36"/>
  <c r="D302" i="36"/>
  <c r="H302" i="36"/>
  <c r="I302" i="36"/>
  <c r="J302" i="36"/>
  <c r="E71" i="36"/>
  <c r="D71" i="36"/>
  <c r="J71" i="36"/>
  <c r="F71" i="36"/>
  <c r="G71" i="36"/>
  <c r="I71" i="36"/>
  <c r="H71" i="36"/>
  <c r="F127" i="36"/>
  <c r="D127" i="36"/>
  <c r="E127" i="36"/>
  <c r="J127" i="36"/>
  <c r="G127" i="36"/>
  <c r="H127" i="36"/>
  <c r="I127" i="36"/>
  <c r="E191" i="36"/>
  <c r="J191" i="36"/>
  <c r="D191" i="36"/>
  <c r="I191" i="36"/>
  <c r="F191" i="36"/>
  <c r="G191" i="36"/>
  <c r="H191" i="36"/>
  <c r="D199" i="36"/>
  <c r="E199" i="36"/>
  <c r="I199" i="36"/>
  <c r="F199" i="36"/>
  <c r="G199" i="36"/>
  <c r="H199" i="36"/>
  <c r="J199" i="36"/>
  <c r="D207" i="36"/>
  <c r="E207" i="36"/>
  <c r="J207" i="36"/>
  <c r="I207" i="36"/>
  <c r="H207" i="36"/>
  <c r="F207" i="36"/>
  <c r="G207" i="36"/>
  <c r="D263" i="36"/>
  <c r="F263" i="36"/>
  <c r="J263" i="36"/>
  <c r="H263" i="36"/>
  <c r="E263" i="36"/>
  <c r="G263" i="36"/>
  <c r="I263" i="36"/>
  <c r="H32" i="36"/>
  <c r="D32" i="36"/>
  <c r="F32" i="36"/>
  <c r="I32" i="36"/>
  <c r="G32" i="36"/>
  <c r="E32" i="36"/>
  <c r="J32" i="36"/>
  <c r="E96" i="36"/>
  <c r="D96" i="36"/>
  <c r="G96" i="36"/>
  <c r="I96" i="36"/>
  <c r="H96" i="36"/>
  <c r="F96" i="36"/>
  <c r="J96" i="36"/>
  <c r="I160" i="36"/>
  <c r="D160" i="36"/>
  <c r="E160" i="36"/>
  <c r="J160" i="36"/>
  <c r="G160" i="36"/>
  <c r="H160" i="36"/>
  <c r="F160" i="36"/>
  <c r="E224" i="36"/>
  <c r="G224" i="36"/>
  <c r="D224" i="36"/>
  <c r="F224" i="36"/>
  <c r="H224" i="36"/>
  <c r="I224" i="36"/>
  <c r="J224" i="36"/>
  <c r="H288" i="36"/>
  <c r="G288" i="36"/>
  <c r="F288" i="36"/>
  <c r="E288" i="36"/>
  <c r="J288" i="36"/>
  <c r="I288" i="36"/>
  <c r="D288" i="36"/>
  <c r="I17" i="36"/>
  <c r="D17" i="36"/>
  <c r="E17" i="36"/>
  <c r="F17" i="36"/>
  <c r="G17" i="36"/>
  <c r="H17" i="36"/>
  <c r="J17" i="36"/>
  <c r="D89" i="36"/>
  <c r="F89" i="36"/>
  <c r="E89" i="36"/>
  <c r="H89" i="36"/>
  <c r="I89" i="36"/>
  <c r="G89" i="36"/>
  <c r="J89" i="36"/>
  <c r="E145" i="36"/>
  <c r="D145" i="36"/>
  <c r="J145" i="36"/>
  <c r="H145" i="36"/>
  <c r="F145" i="36"/>
  <c r="G145" i="36"/>
  <c r="I145" i="36"/>
  <c r="D209" i="36"/>
  <c r="F209" i="36"/>
  <c r="E209" i="36"/>
  <c r="G209" i="36"/>
  <c r="J209" i="36"/>
  <c r="I209" i="36"/>
  <c r="H209" i="36"/>
  <c r="F273" i="36"/>
  <c r="D273" i="36"/>
  <c r="E273" i="36"/>
  <c r="H273" i="36"/>
  <c r="J273" i="36"/>
  <c r="G273" i="36"/>
  <c r="I273" i="36"/>
  <c r="I18" i="36"/>
  <c r="H18" i="36"/>
  <c r="F18" i="36"/>
  <c r="G18" i="36"/>
  <c r="E18" i="36"/>
  <c r="J18" i="36"/>
  <c r="D18" i="36"/>
  <c r="F82" i="36"/>
  <c r="I82" i="36"/>
  <c r="J82" i="36"/>
  <c r="E82" i="36"/>
  <c r="H82" i="36"/>
  <c r="D82" i="36"/>
  <c r="G82" i="36"/>
  <c r="J146" i="36"/>
  <c r="H146" i="36"/>
  <c r="I146" i="36"/>
  <c r="D146" i="36"/>
  <c r="F146" i="36"/>
  <c r="G146" i="36"/>
  <c r="E146" i="36"/>
  <c r="H210" i="36"/>
  <c r="J210" i="36"/>
  <c r="I210" i="36"/>
  <c r="D210" i="36"/>
  <c r="G210" i="36"/>
  <c r="E210" i="36"/>
  <c r="F210" i="36"/>
  <c r="D274" i="36"/>
  <c r="E274" i="36"/>
  <c r="H274" i="36"/>
  <c r="I274" i="36"/>
  <c r="J274" i="36"/>
  <c r="G274" i="36"/>
  <c r="F274" i="36"/>
  <c r="D91" i="36"/>
  <c r="G91" i="36"/>
  <c r="E91" i="36"/>
  <c r="F91" i="36"/>
  <c r="I91" i="36"/>
  <c r="J91" i="36"/>
  <c r="H91" i="36"/>
  <c r="J211" i="36"/>
  <c r="G211" i="36"/>
  <c r="I211" i="36"/>
  <c r="H211" i="36"/>
  <c r="E211" i="36"/>
  <c r="F211" i="36"/>
  <c r="D211" i="36"/>
  <c r="J219" i="36"/>
  <c r="E219" i="36"/>
  <c r="F219" i="36"/>
  <c r="G219" i="36"/>
  <c r="H219" i="36"/>
  <c r="I219" i="36"/>
  <c r="D219" i="36"/>
  <c r="D283" i="36"/>
  <c r="H283" i="36"/>
  <c r="J283" i="36"/>
  <c r="E283" i="36"/>
  <c r="F283" i="36"/>
  <c r="G283" i="36"/>
  <c r="I283" i="36"/>
  <c r="H44" i="36"/>
  <c r="E44" i="36"/>
  <c r="J44" i="36"/>
  <c r="I44" i="36"/>
  <c r="D44" i="36"/>
  <c r="F44" i="36"/>
  <c r="G44" i="36"/>
  <c r="J172" i="36"/>
  <c r="D172" i="36"/>
  <c r="H172" i="36"/>
  <c r="I172" i="36"/>
  <c r="E172" i="36"/>
  <c r="F172" i="36"/>
  <c r="G172" i="36"/>
  <c r="I21" i="36"/>
  <c r="J21" i="36"/>
  <c r="D21" i="36"/>
  <c r="G21" i="36"/>
  <c r="H21" i="36"/>
  <c r="E21" i="36"/>
  <c r="F21" i="36"/>
  <c r="E133" i="36"/>
  <c r="J133" i="36"/>
  <c r="F133" i="36"/>
  <c r="H133" i="36"/>
  <c r="I133" i="36"/>
  <c r="D133" i="36"/>
  <c r="G133" i="36"/>
  <c r="G189" i="36"/>
  <c r="J189" i="36"/>
  <c r="E189" i="36"/>
  <c r="H189" i="36"/>
  <c r="I189" i="36"/>
  <c r="F189" i="36"/>
  <c r="D189" i="36"/>
  <c r="H245" i="36"/>
  <c r="G245" i="36"/>
  <c r="D245" i="36"/>
  <c r="E245" i="36"/>
  <c r="F245" i="36"/>
  <c r="I245" i="36"/>
  <c r="J245" i="36"/>
  <c r="F38" i="36"/>
  <c r="H38" i="36"/>
  <c r="J38" i="36"/>
  <c r="E38" i="36"/>
  <c r="G38" i="36"/>
  <c r="I38" i="36"/>
  <c r="D38" i="36"/>
  <c r="F46" i="36"/>
  <c r="E46" i="36"/>
  <c r="D46" i="36"/>
  <c r="I46" i="36"/>
  <c r="J46" i="36"/>
  <c r="G46" i="36"/>
  <c r="H46" i="36"/>
  <c r="H94" i="36"/>
  <c r="J94" i="36"/>
  <c r="G94" i="36"/>
  <c r="D94" i="36"/>
  <c r="E94" i="36"/>
  <c r="F94" i="36"/>
  <c r="I94" i="36"/>
  <c r="G166" i="36"/>
  <c r="D166" i="36"/>
  <c r="E166" i="36"/>
  <c r="F166" i="36"/>
  <c r="I166" i="36"/>
  <c r="J166" i="36"/>
  <c r="H166" i="36"/>
  <c r="I222" i="36"/>
  <c r="D222" i="36"/>
  <c r="E222" i="36"/>
  <c r="G222" i="36"/>
  <c r="H222" i="36"/>
  <c r="J222" i="36"/>
  <c r="F222" i="36"/>
  <c r="G294" i="36"/>
  <c r="I294" i="36"/>
  <c r="J294" i="36"/>
  <c r="F294" i="36"/>
  <c r="H294" i="36"/>
  <c r="D294" i="36"/>
  <c r="E294" i="36"/>
  <c r="D63" i="36"/>
  <c r="F63" i="36"/>
  <c r="E63" i="36"/>
  <c r="G63" i="36"/>
  <c r="H63" i="36"/>
  <c r="I63" i="36"/>
  <c r="J63" i="36"/>
  <c r="D255" i="36"/>
  <c r="I255" i="36"/>
  <c r="F255" i="36"/>
  <c r="J255" i="36"/>
  <c r="G255" i="36"/>
  <c r="H255" i="36"/>
  <c r="E255" i="36"/>
  <c r="H24" i="36"/>
  <c r="F24" i="36"/>
  <c r="I24" i="36"/>
  <c r="D24" i="36"/>
  <c r="G24" i="36"/>
  <c r="J24" i="36"/>
  <c r="E24" i="36"/>
  <c r="F88" i="36"/>
  <c r="D88" i="36"/>
  <c r="G88" i="36"/>
  <c r="H88" i="36"/>
  <c r="I88" i="36"/>
  <c r="J88" i="36"/>
  <c r="E88" i="36"/>
  <c r="J152" i="36"/>
  <c r="F152" i="36"/>
  <c r="G152" i="36"/>
  <c r="H152" i="36"/>
  <c r="D152" i="36"/>
  <c r="E152" i="36"/>
  <c r="I152" i="36"/>
  <c r="D216" i="36"/>
  <c r="F216" i="36"/>
  <c r="E216" i="36"/>
  <c r="G216" i="36"/>
  <c r="J216" i="36"/>
  <c r="H216" i="36"/>
  <c r="I216" i="36"/>
  <c r="H280" i="36"/>
  <c r="G280" i="36"/>
  <c r="F280" i="36"/>
  <c r="J280" i="36"/>
  <c r="D280" i="36"/>
  <c r="E280" i="36"/>
  <c r="I280" i="36"/>
  <c r="E81" i="36"/>
  <c r="G81" i="36"/>
  <c r="J81" i="36"/>
  <c r="D81" i="36"/>
  <c r="F81" i="36"/>
  <c r="H81" i="36"/>
  <c r="I81" i="36"/>
  <c r="E137" i="36"/>
  <c r="F137" i="36"/>
  <c r="D137" i="36"/>
  <c r="G137" i="36"/>
  <c r="I137" i="36"/>
  <c r="J137" i="36"/>
  <c r="H137" i="36"/>
  <c r="F73" i="36"/>
  <c r="J73" i="36"/>
  <c r="D73" i="36"/>
  <c r="H73" i="36"/>
  <c r="I73" i="36"/>
  <c r="E73" i="36"/>
  <c r="G73" i="36"/>
  <c r="F265" i="36"/>
  <c r="D265" i="36"/>
  <c r="E265" i="36"/>
  <c r="H265" i="36"/>
  <c r="J265" i="36"/>
  <c r="G265" i="36"/>
  <c r="I265" i="36"/>
  <c r="J10" i="36"/>
  <c r="F10" i="36"/>
  <c r="I10" i="36"/>
  <c r="H10" i="36"/>
  <c r="E10" i="36"/>
  <c r="G10" i="36"/>
  <c r="D10" i="36"/>
  <c r="F74" i="36"/>
  <c r="E74" i="36"/>
  <c r="H74" i="36"/>
  <c r="I74" i="36"/>
  <c r="J74" i="36"/>
  <c r="D74" i="36"/>
  <c r="G74" i="36"/>
  <c r="H138" i="36"/>
  <c r="J138" i="36"/>
  <c r="I138" i="36"/>
  <c r="E138" i="36"/>
  <c r="D138" i="36"/>
  <c r="F138" i="36"/>
  <c r="G138" i="36"/>
  <c r="D202" i="36"/>
  <c r="J202" i="36"/>
  <c r="E202" i="36"/>
  <c r="I202" i="36"/>
  <c r="F202" i="36"/>
  <c r="G202" i="36"/>
  <c r="H202" i="36"/>
  <c r="D266" i="36"/>
  <c r="H266" i="36"/>
  <c r="E266" i="36"/>
  <c r="I266" i="36"/>
  <c r="J266" i="36"/>
  <c r="F266" i="36"/>
  <c r="G266" i="36"/>
  <c r="E19" i="36"/>
  <c r="J19" i="36"/>
  <c r="D19" i="36"/>
  <c r="F19" i="36"/>
  <c r="G19" i="36"/>
  <c r="H19" i="36"/>
  <c r="I19" i="36"/>
  <c r="I83" i="36"/>
  <c r="D83" i="36"/>
  <c r="J83" i="36"/>
  <c r="E83" i="36"/>
  <c r="F83" i="36"/>
  <c r="G83" i="36"/>
  <c r="H83" i="36"/>
  <c r="J131" i="36"/>
  <c r="H131" i="36"/>
  <c r="D131" i="36"/>
  <c r="F131" i="36"/>
  <c r="E131" i="36"/>
  <c r="G131" i="36"/>
  <c r="I131" i="36"/>
  <c r="J147" i="36"/>
  <c r="I147" i="36"/>
  <c r="E147" i="36"/>
  <c r="F147" i="36"/>
  <c r="G147" i="36"/>
  <c r="D147" i="36"/>
  <c r="H147" i="36"/>
  <c r="D275" i="36"/>
  <c r="F275" i="36"/>
  <c r="G275" i="36"/>
  <c r="H275" i="36"/>
  <c r="E275" i="36"/>
  <c r="I275" i="36"/>
  <c r="J275" i="36"/>
  <c r="D28" i="36"/>
  <c r="E28" i="36"/>
  <c r="H28" i="36"/>
  <c r="J28" i="36"/>
  <c r="I28" i="36"/>
  <c r="G28" i="36"/>
  <c r="F28" i="36"/>
  <c r="E36" i="36"/>
  <c r="J36" i="36"/>
  <c r="D36" i="36"/>
  <c r="F36" i="36"/>
  <c r="G36" i="36"/>
  <c r="I36" i="36"/>
  <c r="H36" i="36"/>
  <c r="I100" i="36"/>
  <c r="D100" i="36"/>
  <c r="F100" i="36"/>
  <c r="H100" i="36"/>
  <c r="G100" i="36"/>
  <c r="E100" i="36"/>
  <c r="J100" i="36"/>
  <c r="E108" i="36"/>
  <c r="F108" i="36"/>
  <c r="H108" i="36"/>
  <c r="G108" i="36"/>
  <c r="I108" i="36"/>
  <c r="J108" i="36"/>
  <c r="D108" i="36"/>
  <c r="J164" i="36"/>
  <c r="E164" i="36"/>
  <c r="G164" i="36"/>
  <c r="D164" i="36"/>
  <c r="F164" i="36"/>
  <c r="I164" i="36"/>
  <c r="H164" i="36"/>
  <c r="E228" i="36"/>
  <c r="J228" i="36"/>
  <c r="D228" i="36"/>
  <c r="F228" i="36"/>
  <c r="G228" i="36"/>
  <c r="H228" i="36"/>
  <c r="I228" i="36"/>
  <c r="J308" i="36"/>
  <c r="D308" i="36"/>
  <c r="G308" i="36"/>
  <c r="E308" i="36"/>
  <c r="F308" i="36"/>
  <c r="H308" i="36"/>
  <c r="I308" i="36"/>
  <c r="I13" i="36"/>
  <c r="E13" i="36"/>
  <c r="H13" i="36"/>
  <c r="G13" i="36"/>
  <c r="J13" i="36"/>
  <c r="D13" i="36"/>
  <c r="F13" i="36"/>
  <c r="I69" i="36"/>
  <c r="D69" i="36"/>
  <c r="G69" i="36"/>
  <c r="E69" i="36"/>
  <c r="H69" i="36"/>
  <c r="J69" i="36"/>
  <c r="F69" i="36"/>
  <c r="J117" i="36"/>
  <c r="E117" i="36"/>
  <c r="G117" i="36"/>
  <c r="D117" i="36"/>
  <c r="F117" i="36"/>
  <c r="H117" i="36"/>
  <c r="I117" i="36"/>
  <c r="E125" i="36"/>
  <c r="J125" i="36"/>
  <c r="H125" i="36"/>
  <c r="I125" i="36"/>
  <c r="D125" i="36"/>
  <c r="F125" i="36"/>
  <c r="G125" i="36"/>
  <c r="F30" i="36"/>
  <c r="D30" i="36"/>
  <c r="G30" i="36"/>
  <c r="J30" i="36"/>
  <c r="E30" i="36"/>
  <c r="H30" i="36"/>
  <c r="I30" i="36"/>
  <c r="H158" i="36"/>
  <c r="J158" i="36"/>
  <c r="G158" i="36"/>
  <c r="I158" i="36"/>
  <c r="D158" i="36"/>
  <c r="E158" i="36"/>
  <c r="F158" i="36"/>
  <c r="E55" i="36"/>
  <c r="G55" i="36"/>
  <c r="I55" i="36"/>
  <c r="D55" i="36"/>
  <c r="F55" i="36"/>
  <c r="J55" i="36"/>
  <c r="H55" i="36"/>
  <c r="I119" i="36"/>
  <c r="D119" i="36"/>
  <c r="E119" i="36"/>
  <c r="G119" i="36"/>
  <c r="J119" i="36"/>
  <c r="F119" i="36"/>
  <c r="H119" i="36"/>
  <c r="G183" i="36"/>
  <c r="H183" i="36"/>
  <c r="I183" i="36"/>
  <c r="J183" i="36"/>
  <c r="D183" i="36"/>
  <c r="E183" i="36"/>
  <c r="F183" i="36"/>
  <c r="D247" i="36"/>
  <c r="J247" i="36"/>
  <c r="F247" i="36"/>
  <c r="G247" i="36"/>
  <c r="E247" i="36"/>
  <c r="H247" i="36"/>
  <c r="I247" i="36"/>
  <c r="H16" i="36"/>
  <c r="D16" i="36"/>
  <c r="I16" i="36"/>
  <c r="G16" i="36"/>
  <c r="F16" i="36"/>
  <c r="E16" i="36"/>
  <c r="J16" i="36"/>
  <c r="F72" i="36"/>
  <c r="G72" i="36"/>
  <c r="I72" i="36"/>
  <c r="H72" i="36"/>
  <c r="J72" i="36"/>
  <c r="E72" i="36"/>
  <c r="D72" i="36"/>
  <c r="F80" i="36"/>
  <c r="H80" i="36"/>
  <c r="D80" i="36"/>
  <c r="I80" i="36"/>
  <c r="G80" i="36"/>
  <c r="J80" i="36"/>
  <c r="E80" i="36"/>
  <c r="G144" i="36"/>
  <c r="I144" i="36"/>
  <c r="D144" i="36"/>
  <c r="E144" i="36"/>
  <c r="H144" i="36"/>
  <c r="J144" i="36"/>
  <c r="F144" i="36"/>
  <c r="F208" i="36"/>
  <c r="H208" i="36"/>
  <c r="I208" i="36"/>
  <c r="J208" i="36"/>
  <c r="D208" i="36"/>
  <c r="E208" i="36"/>
  <c r="G208" i="36"/>
  <c r="H272" i="36"/>
  <c r="G272" i="36"/>
  <c r="F272" i="36"/>
  <c r="D272" i="36"/>
  <c r="I272" i="36"/>
  <c r="E272" i="36"/>
  <c r="J272" i="36"/>
  <c r="F65" i="36"/>
  <c r="I65" i="36"/>
  <c r="E65" i="36"/>
  <c r="G65" i="36"/>
  <c r="J65" i="36"/>
  <c r="D65" i="36"/>
  <c r="H65" i="36"/>
  <c r="D201" i="36"/>
  <c r="G201" i="36"/>
  <c r="F201" i="36"/>
  <c r="H201" i="36"/>
  <c r="I201" i="36"/>
  <c r="E201" i="36"/>
  <c r="J201" i="36"/>
  <c r="J257" i="36"/>
  <c r="F257" i="36"/>
  <c r="D257" i="36"/>
  <c r="E257" i="36"/>
  <c r="G257" i="36"/>
  <c r="I257" i="36"/>
  <c r="H257" i="36"/>
  <c r="H58" i="36"/>
  <c r="F58" i="36"/>
  <c r="E58" i="36"/>
  <c r="D58" i="36"/>
  <c r="I58" i="36"/>
  <c r="G58" i="36"/>
  <c r="J58" i="36"/>
  <c r="J130" i="36"/>
  <c r="D130" i="36"/>
  <c r="F130" i="36"/>
  <c r="G130" i="36"/>
  <c r="H130" i="36"/>
  <c r="E130" i="36"/>
  <c r="I130" i="36"/>
  <c r="D194" i="36"/>
  <c r="I194" i="36"/>
  <c r="H194" i="36"/>
  <c r="E194" i="36"/>
  <c r="J194" i="36"/>
  <c r="F194" i="36"/>
  <c r="G194" i="36"/>
  <c r="F258" i="36"/>
  <c r="E258" i="36"/>
  <c r="J258" i="36"/>
  <c r="H258" i="36"/>
  <c r="G258" i="36"/>
  <c r="I258" i="36"/>
  <c r="D258" i="36"/>
  <c r="E11" i="36"/>
  <c r="D11" i="36"/>
  <c r="F11" i="36"/>
  <c r="G11" i="36"/>
  <c r="H11" i="36"/>
  <c r="I11" i="36"/>
  <c r="J11" i="36"/>
  <c r="E75" i="36"/>
  <c r="F75" i="36"/>
  <c r="G75" i="36"/>
  <c r="H75" i="36"/>
  <c r="J75" i="36"/>
  <c r="I75" i="36"/>
  <c r="D75" i="36"/>
  <c r="J139" i="36"/>
  <c r="D139" i="36"/>
  <c r="F139" i="36"/>
  <c r="I139" i="36"/>
  <c r="E139" i="36"/>
  <c r="G139" i="36"/>
  <c r="H139" i="36"/>
  <c r="J203" i="36"/>
  <c r="F203" i="36"/>
  <c r="H203" i="36"/>
  <c r="E203" i="36"/>
  <c r="G203" i="36"/>
  <c r="I203" i="36"/>
  <c r="D203" i="36"/>
  <c r="D267" i="36"/>
  <c r="E267" i="36"/>
  <c r="G267" i="36"/>
  <c r="F267" i="36"/>
  <c r="I267" i="36"/>
  <c r="J267" i="36"/>
  <c r="H267" i="36"/>
  <c r="D20" i="36"/>
  <c r="J20" i="36"/>
  <c r="H20" i="36"/>
  <c r="E20" i="36"/>
  <c r="F20" i="36"/>
  <c r="I20" i="36"/>
  <c r="G20" i="36"/>
  <c r="I92" i="36"/>
  <c r="D92" i="36"/>
  <c r="H92" i="36"/>
  <c r="F92" i="36"/>
  <c r="G92" i="36"/>
  <c r="J92" i="36"/>
  <c r="E92" i="36"/>
  <c r="J156" i="36"/>
  <c r="E156" i="36"/>
  <c r="G156" i="36"/>
  <c r="I156" i="36"/>
  <c r="D156" i="36"/>
  <c r="F156" i="36"/>
  <c r="H156" i="36"/>
  <c r="D204" i="36"/>
  <c r="J204" i="36"/>
  <c r="F204" i="36"/>
  <c r="I204" i="36"/>
  <c r="E204" i="36"/>
  <c r="G204" i="36"/>
  <c r="H204" i="36"/>
  <c r="D220" i="36"/>
  <c r="E220" i="36"/>
  <c r="G220" i="36"/>
  <c r="H220" i="36"/>
  <c r="I220" i="36"/>
  <c r="F220" i="36"/>
  <c r="J220" i="36"/>
  <c r="D284" i="36"/>
  <c r="H284" i="36"/>
  <c r="J284" i="36"/>
  <c r="I284" i="36"/>
  <c r="G284" i="36"/>
  <c r="E284" i="36"/>
  <c r="F284" i="36"/>
  <c r="I53" i="36"/>
  <c r="G53" i="36"/>
  <c r="J53" i="36"/>
  <c r="D53" i="36"/>
  <c r="H53" i="36"/>
  <c r="E53" i="36"/>
  <c r="F53" i="36"/>
  <c r="I61" i="36"/>
  <c r="E61" i="36"/>
  <c r="H61" i="36"/>
  <c r="D61" i="36"/>
  <c r="G61" i="36"/>
  <c r="J61" i="36"/>
  <c r="F61" i="36"/>
  <c r="J237" i="36"/>
  <c r="G237" i="36"/>
  <c r="H237" i="36"/>
  <c r="D237" i="36"/>
  <c r="E237" i="36"/>
  <c r="F237" i="36"/>
  <c r="I237" i="36"/>
  <c r="F22" i="36"/>
  <c r="I22" i="36"/>
  <c r="D22" i="36"/>
  <c r="E22" i="36"/>
  <c r="G22" i="36"/>
  <c r="J22" i="36"/>
  <c r="H22" i="36"/>
  <c r="D78" i="36"/>
  <c r="F78" i="36"/>
  <c r="J78" i="36"/>
  <c r="E78" i="36"/>
  <c r="G78" i="36"/>
  <c r="H78" i="36"/>
  <c r="I78" i="36"/>
  <c r="F86" i="36"/>
  <c r="H86" i="36"/>
  <c r="D86" i="36"/>
  <c r="G86" i="36"/>
  <c r="E86" i="36"/>
  <c r="I86" i="36"/>
  <c r="J86" i="36"/>
  <c r="J150" i="36"/>
  <c r="F150" i="36"/>
  <c r="G150" i="36"/>
  <c r="H150" i="36"/>
  <c r="I150" i="36"/>
  <c r="D150" i="36"/>
  <c r="E150" i="36"/>
  <c r="I214" i="36"/>
  <c r="H214" i="36"/>
  <c r="D214" i="36"/>
  <c r="F214" i="36"/>
  <c r="G214" i="36"/>
  <c r="J214" i="36"/>
  <c r="E214" i="36"/>
  <c r="G278" i="36"/>
  <c r="I278" i="36"/>
  <c r="J278" i="36"/>
  <c r="D278" i="36"/>
  <c r="E278" i="36"/>
  <c r="F278" i="36"/>
  <c r="H278" i="36"/>
  <c r="E286" i="36"/>
  <c r="F286" i="36"/>
  <c r="G286" i="36"/>
  <c r="J286" i="36"/>
  <c r="D286" i="36"/>
  <c r="H286" i="36"/>
  <c r="I286" i="36"/>
  <c r="J47" i="36"/>
  <c r="D47" i="36"/>
  <c r="E47" i="36"/>
  <c r="I47" i="36"/>
  <c r="F47" i="36"/>
  <c r="G47" i="36"/>
  <c r="H47" i="36"/>
  <c r="D111" i="36"/>
  <c r="J111" i="36"/>
  <c r="E111" i="36"/>
  <c r="G111" i="36"/>
  <c r="I111" i="36"/>
  <c r="F111" i="36"/>
  <c r="H111" i="36"/>
  <c r="I175" i="36"/>
  <c r="E175" i="36"/>
  <c r="D175" i="36"/>
  <c r="F175" i="36"/>
  <c r="G175" i="36"/>
  <c r="H175" i="36"/>
  <c r="J175" i="36"/>
  <c r="D303" i="36"/>
  <c r="F303" i="36"/>
  <c r="J303" i="36"/>
  <c r="H303" i="36"/>
  <c r="E303" i="36"/>
  <c r="I303" i="36"/>
  <c r="G303" i="36"/>
  <c r="F64" i="36"/>
  <c r="I64" i="36"/>
  <c r="H64" i="36"/>
  <c r="J64" i="36"/>
  <c r="E64" i="36"/>
  <c r="D64" i="36"/>
  <c r="G64" i="36"/>
  <c r="G136" i="36"/>
  <c r="I136" i="36"/>
  <c r="J136" i="36"/>
  <c r="E136" i="36"/>
  <c r="F136" i="36"/>
  <c r="H136" i="36"/>
  <c r="D136" i="36"/>
  <c r="G200" i="36"/>
  <c r="I200" i="36"/>
  <c r="E200" i="36"/>
  <c r="F200" i="36"/>
  <c r="H200" i="36"/>
  <c r="D200" i="36"/>
  <c r="J200" i="36"/>
  <c r="H264" i="36"/>
  <c r="G264" i="36"/>
  <c r="E264" i="36"/>
  <c r="J264" i="36"/>
  <c r="I264" i="36"/>
  <c r="D264" i="36"/>
  <c r="F264" i="36"/>
  <c r="D129" i="36"/>
  <c r="E129" i="36"/>
  <c r="H129" i="36"/>
  <c r="F129" i="36"/>
  <c r="G129" i="36"/>
  <c r="I129" i="36"/>
  <c r="J129" i="36"/>
  <c r="F57" i="36"/>
  <c r="H57" i="36"/>
  <c r="D57" i="36"/>
  <c r="I57" i="36"/>
  <c r="E57" i="36"/>
  <c r="G57" i="36"/>
  <c r="J57" i="36"/>
  <c r="E121" i="36"/>
  <c r="G121" i="36"/>
  <c r="F121" i="36"/>
  <c r="I121" i="36"/>
  <c r="D121" i="36"/>
  <c r="H121" i="36"/>
  <c r="J121" i="36"/>
  <c r="D177" i="36"/>
  <c r="F177" i="36"/>
  <c r="J177" i="36"/>
  <c r="E177" i="36"/>
  <c r="G177" i="36"/>
  <c r="H177" i="36"/>
  <c r="I177" i="36"/>
  <c r="F185" i="36"/>
  <c r="H185" i="36"/>
  <c r="D185" i="36"/>
  <c r="E185" i="36"/>
  <c r="G185" i="36"/>
  <c r="J185" i="36"/>
  <c r="I185" i="36"/>
  <c r="D249" i="36"/>
  <c r="F249" i="36"/>
  <c r="J249" i="36"/>
  <c r="E249" i="36"/>
  <c r="G249" i="36"/>
  <c r="H249" i="36"/>
  <c r="I249" i="36"/>
  <c r="E293" i="36"/>
  <c r="I293" i="36"/>
  <c r="D293" i="36"/>
  <c r="G293" i="36"/>
  <c r="H293" i="36"/>
  <c r="J293" i="36"/>
  <c r="F293" i="36"/>
  <c r="H50" i="36"/>
  <c r="F50" i="36"/>
  <c r="I50" i="36"/>
  <c r="J50" i="36"/>
  <c r="D50" i="36"/>
  <c r="E50" i="36"/>
  <c r="G50" i="36"/>
  <c r="H66" i="36"/>
  <c r="F66" i="36"/>
  <c r="I66" i="36"/>
  <c r="J66" i="36"/>
  <c r="D66" i="36"/>
  <c r="G66" i="36"/>
  <c r="E66" i="36"/>
  <c r="D122" i="36"/>
  <c r="J122" i="36"/>
  <c r="F122" i="36"/>
  <c r="H122" i="36"/>
  <c r="I122" i="36"/>
  <c r="E122" i="36"/>
  <c r="G122" i="36"/>
  <c r="D178" i="36"/>
  <c r="E178" i="36"/>
  <c r="F178" i="36"/>
  <c r="G178" i="36"/>
  <c r="J178" i="36"/>
  <c r="H178" i="36"/>
  <c r="I178" i="36"/>
  <c r="E186" i="36"/>
  <c r="D186" i="36"/>
  <c r="G186" i="36"/>
  <c r="F186" i="36"/>
  <c r="H186" i="36"/>
  <c r="I186" i="36"/>
  <c r="J186" i="36"/>
  <c r="H242" i="36"/>
  <c r="D242" i="36"/>
  <c r="G242" i="36"/>
  <c r="E242" i="36"/>
  <c r="J242" i="36"/>
  <c r="I242" i="36"/>
  <c r="F242" i="36"/>
  <c r="D250" i="36"/>
  <c r="H250" i="36"/>
  <c r="G250" i="36"/>
  <c r="I250" i="36"/>
  <c r="J250" i="36"/>
  <c r="F250" i="36"/>
  <c r="E250" i="36"/>
  <c r="I300" i="36"/>
  <c r="F300" i="36"/>
  <c r="D300" i="36"/>
  <c r="E300" i="36"/>
  <c r="G300" i="36"/>
  <c r="H300" i="36"/>
  <c r="J300" i="36"/>
  <c r="F67" i="36"/>
  <c r="J67" i="36"/>
  <c r="I67" i="36"/>
  <c r="D67" i="36"/>
  <c r="E67" i="36"/>
  <c r="H67" i="36"/>
  <c r="G67" i="36"/>
  <c r="J195" i="36"/>
  <c r="E195" i="36"/>
  <c r="G195" i="36"/>
  <c r="F195" i="36"/>
  <c r="H195" i="36"/>
  <c r="I195" i="36"/>
  <c r="D195" i="36"/>
  <c r="J259" i="36"/>
  <c r="E259" i="36"/>
  <c r="G259" i="36"/>
  <c r="D259" i="36"/>
  <c r="H259" i="36"/>
  <c r="I259" i="36"/>
  <c r="F259" i="36"/>
  <c r="G84" i="36"/>
  <c r="J84" i="36"/>
  <c r="D84" i="36"/>
  <c r="E84" i="36"/>
  <c r="I84" i="36"/>
  <c r="H84" i="36"/>
  <c r="F84" i="36"/>
  <c r="E148" i="36"/>
  <c r="F148" i="36"/>
  <c r="H148" i="36"/>
  <c r="D148" i="36"/>
  <c r="G148" i="36"/>
  <c r="I148" i="36"/>
  <c r="J148" i="36"/>
  <c r="F212" i="36"/>
  <c r="D212" i="36"/>
  <c r="E212" i="36"/>
  <c r="J212" i="36"/>
  <c r="G212" i="36"/>
  <c r="I212" i="36"/>
  <c r="H212" i="36"/>
  <c r="D276" i="36"/>
  <c r="I276" i="36"/>
  <c r="E276" i="36"/>
  <c r="F276" i="36"/>
  <c r="J276" i="36"/>
  <c r="H276" i="36"/>
  <c r="G276" i="36"/>
  <c r="H165" i="36"/>
  <c r="J165" i="36"/>
  <c r="G165" i="36"/>
  <c r="I165" i="36"/>
  <c r="F165" i="36"/>
  <c r="E165" i="36"/>
  <c r="D165" i="36"/>
  <c r="D173" i="36"/>
  <c r="E173" i="36"/>
  <c r="F173" i="36"/>
  <c r="J173" i="36"/>
  <c r="G173" i="36"/>
  <c r="H173" i="36"/>
  <c r="I173" i="36"/>
  <c r="I229" i="36"/>
  <c r="G229" i="36"/>
  <c r="J229" i="36"/>
  <c r="H229" i="36"/>
  <c r="F229" i="36"/>
  <c r="D229" i="36"/>
  <c r="E229" i="36"/>
  <c r="F14" i="36"/>
  <c r="E14" i="36"/>
  <c r="H14" i="36"/>
  <c r="G14" i="36"/>
  <c r="J14" i="36"/>
  <c r="D14" i="36"/>
  <c r="I14" i="36"/>
  <c r="J134" i="36"/>
  <c r="H134" i="36"/>
  <c r="G134" i="36"/>
  <c r="I134" i="36"/>
  <c r="D134" i="36"/>
  <c r="E134" i="36"/>
  <c r="F134" i="36"/>
  <c r="J142" i="36"/>
  <c r="G142" i="36"/>
  <c r="H142" i="36"/>
  <c r="D142" i="36"/>
  <c r="E142" i="36"/>
  <c r="F142" i="36"/>
  <c r="I142" i="36"/>
  <c r="I206" i="36"/>
  <c r="E206" i="36"/>
  <c r="G206" i="36"/>
  <c r="F206" i="36"/>
  <c r="H206" i="36"/>
  <c r="J206" i="36"/>
  <c r="D206" i="36"/>
  <c r="E270" i="36"/>
  <c r="F270" i="36"/>
  <c r="G270" i="36"/>
  <c r="D270" i="36"/>
  <c r="H270" i="36"/>
  <c r="I270" i="36"/>
  <c r="J270" i="36"/>
  <c r="F39" i="36"/>
  <c r="H39" i="36"/>
  <c r="D39" i="36"/>
  <c r="G39" i="36"/>
  <c r="E39" i="36"/>
  <c r="I39" i="36"/>
  <c r="J39" i="36"/>
  <c r="E103" i="36"/>
  <c r="D103" i="36"/>
  <c r="F103" i="36"/>
  <c r="H103" i="36"/>
  <c r="G103" i="36"/>
  <c r="I103" i="36"/>
  <c r="J103" i="36"/>
  <c r="I167" i="36"/>
  <c r="F167" i="36"/>
  <c r="H167" i="36"/>
  <c r="D167" i="36"/>
  <c r="E167" i="36"/>
  <c r="G167" i="36"/>
  <c r="J167" i="36"/>
  <c r="D231" i="36"/>
  <c r="J231" i="36"/>
  <c r="E231" i="36"/>
  <c r="I231" i="36"/>
  <c r="F231" i="36"/>
  <c r="G231" i="36"/>
  <c r="H231" i="36"/>
  <c r="D239" i="36"/>
  <c r="I239" i="36"/>
  <c r="E239" i="36"/>
  <c r="F239" i="36"/>
  <c r="J239" i="36"/>
  <c r="G239" i="36"/>
  <c r="H239" i="36"/>
  <c r="D295" i="36"/>
  <c r="J295" i="36"/>
  <c r="F295" i="36"/>
  <c r="I295" i="36"/>
  <c r="G295" i="36"/>
  <c r="E295" i="36"/>
  <c r="H295" i="36"/>
  <c r="G120" i="36"/>
  <c r="I120" i="36"/>
  <c r="H120" i="36"/>
  <c r="D120" i="36"/>
  <c r="E120" i="36"/>
  <c r="F120" i="36"/>
  <c r="J120" i="36"/>
  <c r="I128" i="36"/>
  <c r="E128" i="36"/>
  <c r="F128" i="36"/>
  <c r="G128" i="36"/>
  <c r="H128" i="36"/>
  <c r="D128" i="36"/>
  <c r="J128" i="36"/>
  <c r="F192" i="36"/>
  <c r="H192" i="36"/>
  <c r="D192" i="36"/>
  <c r="E192" i="36"/>
  <c r="I192" i="36"/>
  <c r="J192" i="36"/>
  <c r="G192" i="36"/>
  <c r="J256" i="36"/>
  <c r="D256" i="36"/>
  <c r="G256" i="36"/>
  <c r="I256" i="36"/>
  <c r="E256" i="36"/>
  <c r="F256" i="36"/>
  <c r="H256" i="36"/>
  <c r="D193" i="36"/>
  <c r="F193" i="36"/>
  <c r="I193" i="36"/>
  <c r="E193" i="36"/>
  <c r="J193" i="36"/>
  <c r="G193" i="36"/>
  <c r="H193" i="36"/>
  <c r="D49" i="36"/>
  <c r="F49" i="36"/>
  <c r="J49" i="36"/>
  <c r="I49" i="36"/>
  <c r="E49" i="36"/>
  <c r="G49" i="36"/>
  <c r="H49" i="36"/>
  <c r="D105" i="36"/>
  <c r="E105" i="36"/>
  <c r="I105" i="36"/>
  <c r="F105" i="36"/>
  <c r="G105" i="36"/>
  <c r="H105" i="36"/>
  <c r="J105" i="36"/>
  <c r="E113" i="36"/>
  <c r="D113" i="36"/>
  <c r="I113" i="36"/>
  <c r="F113" i="36"/>
  <c r="G113" i="36"/>
  <c r="H113" i="36"/>
  <c r="J113" i="36"/>
  <c r="E241" i="36"/>
  <c r="D241" i="36"/>
  <c r="G241" i="36"/>
  <c r="F241" i="36"/>
  <c r="H241" i="36"/>
  <c r="I241" i="36"/>
  <c r="J241" i="36"/>
  <c r="F305" i="36"/>
  <c r="D305" i="36"/>
  <c r="E305" i="36"/>
  <c r="H305" i="36"/>
  <c r="J305" i="36"/>
  <c r="I305" i="36"/>
  <c r="G305" i="36"/>
  <c r="D307" i="36"/>
  <c r="F307" i="36"/>
  <c r="G307" i="36"/>
  <c r="H307" i="36"/>
  <c r="E307" i="36"/>
  <c r="I307" i="36"/>
  <c r="J307" i="36"/>
  <c r="F59" i="36"/>
  <c r="H59" i="36"/>
  <c r="E59" i="36"/>
  <c r="G59" i="36"/>
  <c r="I59" i="36"/>
  <c r="D59" i="36"/>
  <c r="J59" i="36"/>
  <c r="G123" i="36"/>
  <c r="F123" i="36"/>
  <c r="E123" i="36"/>
  <c r="J123" i="36"/>
  <c r="D123" i="36"/>
  <c r="H123" i="36"/>
  <c r="I123" i="36"/>
  <c r="J251" i="36"/>
  <c r="D251" i="36"/>
  <c r="F251" i="36"/>
  <c r="G251" i="36"/>
  <c r="H251" i="36"/>
  <c r="I251" i="36"/>
  <c r="E251" i="36"/>
  <c r="D12" i="36"/>
  <c r="H12" i="36"/>
  <c r="J12" i="36"/>
  <c r="G12" i="36"/>
  <c r="I12" i="36"/>
  <c r="F12" i="36"/>
  <c r="E12" i="36"/>
  <c r="H76" i="36"/>
  <c r="F76" i="36"/>
  <c r="I76" i="36"/>
  <c r="J76" i="36"/>
  <c r="D76" i="36"/>
  <c r="E76" i="36"/>
  <c r="G76" i="36"/>
  <c r="E140" i="36"/>
  <c r="D140" i="36"/>
  <c r="H140" i="36"/>
  <c r="F140" i="36"/>
  <c r="G140" i="36"/>
  <c r="I140" i="36"/>
  <c r="J140" i="36"/>
  <c r="D268" i="36"/>
  <c r="J268" i="36"/>
  <c r="H268" i="36"/>
  <c r="E268" i="36"/>
  <c r="I268" i="36"/>
  <c r="G268" i="36"/>
  <c r="F268" i="36"/>
  <c r="E109" i="36"/>
  <c r="G109" i="36"/>
  <c r="H109" i="36"/>
  <c r="I109" i="36"/>
  <c r="J109" i="36"/>
  <c r="D109" i="36"/>
  <c r="F109" i="36"/>
  <c r="J213" i="36"/>
  <c r="G213" i="36"/>
  <c r="H213" i="36"/>
  <c r="I213" i="36"/>
  <c r="D213" i="36"/>
  <c r="E213" i="36"/>
  <c r="F213" i="36"/>
  <c r="G221" i="36"/>
  <c r="H221" i="36"/>
  <c r="I221" i="36"/>
  <c r="D221" i="36"/>
  <c r="J221" i="36"/>
  <c r="E221" i="36"/>
  <c r="F221" i="36"/>
  <c r="E277" i="36"/>
  <c r="I277" i="36"/>
  <c r="D277" i="36"/>
  <c r="G277" i="36"/>
  <c r="H277" i="36"/>
  <c r="J277" i="36"/>
  <c r="F277" i="36"/>
  <c r="D70" i="36"/>
  <c r="F70" i="36"/>
  <c r="H70" i="36"/>
  <c r="I70" i="36"/>
  <c r="J70" i="36"/>
  <c r="E70" i="36"/>
  <c r="G70" i="36"/>
  <c r="I198" i="36"/>
  <c r="D198" i="36"/>
  <c r="F198" i="36"/>
  <c r="J198" i="36"/>
  <c r="E198" i="36"/>
  <c r="G198" i="36"/>
  <c r="H198" i="36"/>
  <c r="J262" i="36"/>
  <c r="E262" i="36"/>
  <c r="G262" i="36"/>
  <c r="I262" i="36"/>
  <c r="D262" i="36"/>
  <c r="F262" i="36"/>
  <c r="H262" i="36"/>
  <c r="E31" i="36"/>
  <c r="J31" i="36"/>
  <c r="D31" i="36"/>
  <c r="G31" i="36"/>
  <c r="H31" i="36"/>
  <c r="I31" i="36"/>
  <c r="F31" i="36"/>
  <c r="D87" i="36"/>
  <c r="G87" i="36"/>
  <c r="F87" i="36"/>
  <c r="J87" i="36"/>
  <c r="I87" i="36"/>
  <c r="E87" i="36"/>
  <c r="H87" i="36"/>
  <c r="H95" i="36"/>
  <c r="F95" i="36"/>
  <c r="E95" i="36"/>
  <c r="I95" i="36"/>
  <c r="D95" i="36"/>
  <c r="J95" i="36"/>
  <c r="G95" i="36"/>
  <c r="I159" i="36"/>
  <c r="F159" i="36"/>
  <c r="H159" i="36"/>
  <c r="G159" i="36"/>
  <c r="D159" i="36"/>
  <c r="E159" i="36"/>
  <c r="J159" i="36"/>
  <c r="G215" i="36"/>
  <c r="F215" i="36"/>
  <c r="H215" i="36"/>
  <c r="E215" i="36"/>
  <c r="J215" i="36"/>
  <c r="I215" i="36"/>
  <c r="D215" i="36"/>
  <c r="E223" i="36"/>
  <c r="D223" i="36"/>
  <c r="F223" i="36"/>
  <c r="J223" i="36"/>
  <c r="G223" i="36"/>
  <c r="H223" i="36"/>
  <c r="I223" i="36"/>
  <c r="D287" i="36"/>
  <c r="F287" i="36"/>
  <c r="J287" i="36"/>
  <c r="I287" i="36"/>
  <c r="H287" i="36"/>
  <c r="E287" i="36"/>
  <c r="G287" i="36"/>
  <c r="H48" i="36"/>
  <c r="D48" i="36"/>
  <c r="F48" i="36"/>
  <c r="G48" i="36"/>
  <c r="I48" i="36"/>
  <c r="J48" i="36"/>
  <c r="E48" i="36"/>
  <c r="H184" i="36"/>
  <c r="J184" i="36"/>
  <c r="D184" i="36"/>
  <c r="I184" i="36"/>
  <c r="E184" i="36"/>
  <c r="F184" i="36"/>
  <c r="G184" i="36"/>
  <c r="E240" i="36"/>
  <c r="G240" i="36"/>
  <c r="F240" i="36"/>
  <c r="I240" i="36"/>
  <c r="J240" i="36"/>
  <c r="D240" i="36"/>
  <c r="H240" i="36"/>
  <c r="F248" i="36"/>
  <c r="H248" i="36"/>
  <c r="I248" i="36"/>
  <c r="D248" i="36"/>
  <c r="E248" i="36"/>
  <c r="G248" i="36"/>
  <c r="J248" i="36"/>
  <c r="D292" i="36"/>
  <c r="F292" i="36"/>
  <c r="H292" i="36"/>
  <c r="I292" i="36"/>
  <c r="E292" i="36"/>
  <c r="G292" i="36"/>
  <c r="J292" i="36"/>
  <c r="E301" i="36"/>
  <c r="G301" i="36"/>
  <c r="H301" i="36"/>
  <c r="I301" i="36"/>
  <c r="D301" i="36"/>
  <c r="J301" i="36"/>
  <c r="F301" i="36"/>
  <c r="F41" i="36"/>
  <c r="E41" i="36"/>
  <c r="G41" i="36"/>
  <c r="H41" i="36"/>
  <c r="J41" i="36"/>
  <c r="D41" i="36"/>
  <c r="I41" i="36"/>
  <c r="J169" i="36"/>
  <c r="D169" i="36"/>
  <c r="F169" i="36"/>
  <c r="G169" i="36"/>
  <c r="H169" i="36"/>
  <c r="E169" i="36"/>
  <c r="I169" i="36"/>
  <c r="F233" i="36"/>
  <c r="G233" i="36"/>
  <c r="D233" i="36"/>
  <c r="H233" i="36"/>
  <c r="E233" i="36"/>
  <c r="I233" i="36"/>
  <c r="J233" i="36"/>
  <c r="F297" i="36"/>
  <c r="D297" i="36"/>
  <c r="H297" i="36"/>
  <c r="E297" i="36"/>
  <c r="J297" i="36"/>
  <c r="I297" i="36"/>
  <c r="G297" i="36"/>
  <c r="F42" i="36"/>
  <c r="I42" i="36"/>
  <c r="J42" i="36"/>
  <c r="D42" i="36"/>
  <c r="E42" i="36"/>
  <c r="H42" i="36"/>
  <c r="G42" i="36"/>
  <c r="F106" i="36"/>
  <c r="D106" i="36"/>
  <c r="H106" i="36"/>
  <c r="I106" i="36"/>
  <c r="J106" i="36"/>
  <c r="E106" i="36"/>
  <c r="G106" i="36"/>
  <c r="F114" i="36"/>
  <c r="D114" i="36"/>
  <c r="I114" i="36"/>
  <c r="J114" i="36"/>
  <c r="H114" i="36"/>
  <c r="E114" i="36"/>
  <c r="G114" i="36"/>
  <c r="G170" i="36"/>
  <c r="I170" i="36"/>
  <c r="J170" i="36"/>
  <c r="D170" i="36"/>
  <c r="E170" i="36"/>
  <c r="F170" i="36"/>
  <c r="H170" i="36"/>
  <c r="D226" i="36"/>
  <c r="I226" i="36"/>
  <c r="H226" i="36"/>
  <c r="J226" i="36"/>
  <c r="E226" i="36"/>
  <c r="F226" i="36"/>
  <c r="G226" i="36"/>
  <c r="G234" i="36"/>
  <c r="E234" i="36"/>
  <c r="F234" i="36"/>
  <c r="D234" i="36"/>
  <c r="H234" i="36"/>
  <c r="J234" i="36"/>
  <c r="I234" i="36"/>
  <c r="D298" i="36"/>
  <c r="I298" i="36"/>
  <c r="H298" i="36"/>
  <c r="J298" i="36"/>
  <c r="E298" i="36"/>
  <c r="F298" i="36"/>
  <c r="G298" i="36"/>
  <c r="D306" i="36"/>
  <c r="E306" i="36"/>
  <c r="H306" i="36"/>
  <c r="I306" i="36"/>
  <c r="J306" i="36"/>
  <c r="G306" i="36"/>
  <c r="F306" i="36"/>
  <c r="D179" i="36"/>
  <c r="H179" i="36"/>
  <c r="I179" i="36"/>
  <c r="G179" i="36"/>
  <c r="E179" i="36"/>
  <c r="F179" i="36"/>
  <c r="J179" i="36"/>
  <c r="D187" i="36"/>
  <c r="F187" i="36"/>
  <c r="G187" i="36"/>
  <c r="H187" i="36"/>
  <c r="I187" i="36"/>
  <c r="J187" i="36"/>
  <c r="E187" i="36"/>
  <c r="E285" i="36"/>
  <c r="G285" i="36"/>
  <c r="H285" i="36"/>
  <c r="I285" i="36"/>
  <c r="D285" i="36"/>
  <c r="J285" i="36"/>
  <c r="F285" i="36"/>
  <c r="G68" i="36"/>
  <c r="J68" i="36"/>
  <c r="I68" i="36"/>
  <c r="E68" i="36"/>
  <c r="H68" i="36"/>
  <c r="D68" i="36"/>
  <c r="F68" i="36"/>
  <c r="E132" i="36"/>
  <c r="D132" i="36"/>
  <c r="G132" i="36"/>
  <c r="H132" i="36"/>
  <c r="I132" i="36"/>
  <c r="F132" i="36"/>
  <c r="J132" i="36"/>
  <c r="D196" i="36"/>
  <c r="F196" i="36"/>
  <c r="G196" i="36"/>
  <c r="H196" i="36"/>
  <c r="I196" i="36"/>
  <c r="J196" i="36"/>
  <c r="E196" i="36"/>
  <c r="G260" i="36"/>
  <c r="E260" i="36"/>
  <c r="J260" i="36"/>
  <c r="I260" i="36"/>
  <c r="F260" i="36"/>
  <c r="D260" i="36"/>
  <c r="H260" i="36"/>
  <c r="I37" i="36"/>
  <c r="H37" i="36"/>
  <c r="D37" i="36"/>
  <c r="J37" i="36"/>
  <c r="E37" i="36"/>
  <c r="G37" i="36"/>
  <c r="F37" i="36"/>
  <c r="I45" i="36"/>
  <c r="E45" i="36"/>
  <c r="D45" i="36"/>
  <c r="G45" i="36"/>
  <c r="H45" i="36"/>
  <c r="J45" i="36"/>
  <c r="F45" i="36"/>
  <c r="F101" i="36"/>
  <c r="E101" i="36"/>
  <c r="D101" i="36"/>
  <c r="G101" i="36"/>
  <c r="H101" i="36"/>
  <c r="J101" i="36"/>
  <c r="I101" i="36"/>
  <c r="D157" i="36"/>
  <c r="F157" i="36"/>
  <c r="E157" i="36"/>
  <c r="J157" i="36"/>
  <c r="G157" i="36"/>
  <c r="H157" i="36"/>
  <c r="I157" i="36"/>
  <c r="F62" i="36"/>
  <c r="E62" i="36"/>
  <c r="H62" i="36"/>
  <c r="D62" i="36"/>
  <c r="G62" i="36"/>
  <c r="J62" i="36"/>
  <c r="I62" i="36"/>
  <c r="I126" i="36"/>
  <c r="D126" i="36"/>
  <c r="F126" i="36"/>
  <c r="E126" i="36"/>
  <c r="J126" i="36"/>
  <c r="G126" i="36"/>
  <c r="H126" i="36"/>
  <c r="D190" i="36"/>
  <c r="I190" i="36"/>
  <c r="G190" i="36"/>
  <c r="E190" i="36"/>
  <c r="J190" i="36"/>
  <c r="F190" i="36"/>
  <c r="H190" i="36"/>
  <c r="E254" i="36"/>
  <c r="H254" i="36"/>
  <c r="D254" i="36"/>
  <c r="G254" i="36"/>
  <c r="I254" i="36"/>
  <c r="J254" i="36"/>
  <c r="F254" i="36"/>
  <c r="G23" i="36"/>
  <c r="I23" i="36"/>
  <c r="E23" i="36"/>
  <c r="F23" i="36"/>
  <c r="H23" i="36"/>
  <c r="D23" i="36"/>
  <c r="J23" i="36"/>
  <c r="I151" i="36"/>
  <c r="H151" i="36"/>
  <c r="D151" i="36"/>
  <c r="E151" i="36"/>
  <c r="G151" i="36"/>
  <c r="F151" i="36"/>
  <c r="J151" i="36"/>
  <c r="D279" i="36"/>
  <c r="J279" i="36"/>
  <c r="F279" i="36"/>
  <c r="E279" i="36"/>
  <c r="I279" i="36"/>
  <c r="G279" i="36"/>
  <c r="H279" i="36"/>
  <c r="F56" i="36"/>
  <c r="G56" i="36"/>
  <c r="D56" i="36"/>
  <c r="I56" i="36"/>
  <c r="H56" i="36"/>
  <c r="J56" i="36"/>
  <c r="E56" i="36"/>
  <c r="E112" i="36"/>
  <c r="G112" i="36"/>
  <c r="F112" i="36"/>
  <c r="H112" i="36"/>
  <c r="I112" i="36"/>
  <c r="J112" i="36"/>
  <c r="D112" i="36"/>
  <c r="E176" i="36"/>
  <c r="J176" i="36"/>
  <c r="D176" i="36"/>
  <c r="I176" i="36"/>
  <c r="G176" i="36"/>
  <c r="H176" i="36"/>
  <c r="F176" i="36"/>
  <c r="H304" i="36"/>
  <c r="G304" i="36"/>
  <c r="E304" i="36"/>
  <c r="I304" i="36"/>
  <c r="F304" i="36"/>
  <c r="D304" i="36"/>
  <c r="J304" i="36"/>
  <c r="J97" i="36"/>
  <c r="I97" i="36"/>
  <c r="D97" i="36"/>
  <c r="F97" i="36"/>
  <c r="E97" i="36"/>
  <c r="G97" i="36"/>
  <c r="H97" i="36"/>
  <c r="G161" i="36"/>
  <c r="I161" i="36"/>
  <c r="D161" i="36"/>
  <c r="F161" i="36"/>
  <c r="H161" i="36"/>
  <c r="J161" i="36"/>
  <c r="E161" i="36"/>
  <c r="E225" i="36"/>
  <c r="D225" i="36"/>
  <c r="F225" i="36"/>
  <c r="G225" i="36"/>
  <c r="I225" i="36"/>
  <c r="J225" i="36"/>
  <c r="H225" i="36"/>
  <c r="F289" i="36"/>
  <c r="D289" i="36"/>
  <c r="E289" i="36"/>
  <c r="H289" i="36"/>
  <c r="J289" i="36"/>
  <c r="G289" i="36"/>
  <c r="I289" i="36"/>
  <c r="H34" i="36"/>
  <c r="I34" i="36"/>
  <c r="F34" i="36"/>
  <c r="D34" i="36"/>
  <c r="E34" i="36"/>
  <c r="G34" i="36"/>
  <c r="J34" i="36"/>
  <c r="G98" i="36"/>
  <c r="I98" i="36"/>
  <c r="D98" i="36"/>
  <c r="F98" i="36"/>
  <c r="H98" i="36"/>
  <c r="E98" i="36"/>
  <c r="J98" i="36"/>
  <c r="E162" i="36"/>
  <c r="D162" i="36"/>
  <c r="H162" i="36"/>
  <c r="F162" i="36"/>
  <c r="I162" i="36"/>
  <c r="J162" i="36"/>
  <c r="G162" i="36"/>
  <c r="D290" i="36"/>
  <c r="E290" i="36"/>
  <c r="H290" i="36"/>
  <c r="I290" i="36"/>
  <c r="J290" i="36"/>
  <c r="G290" i="36"/>
  <c r="F290" i="36"/>
  <c r="E43" i="36"/>
  <c r="F43" i="36"/>
  <c r="G43" i="36"/>
  <c r="I43" i="36"/>
  <c r="J43" i="36"/>
  <c r="H43" i="36"/>
  <c r="D43" i="36"/>
  <c r="D51" i="36"/>
  <c r="E51" i="36"/>
  <c r="F51" i="36"/>
  <c r="H51" i="36"/>
  <c r="G51" i="36"/>
  <c r="I51" i="36"/>
  <c r="J51" i="36"/>
  <c r="D99" i="36"/>
  <c r="F99" i="36"/>
  <c r="I99" i="36"/>
  <c r="E99" i="36"/>
  <c r="G99" i="36"/>
  <c r="J99" i="36"/>
  <c r="H99" i="36"/>
  <c r="F115" i="36"/>
  <c r="H115" i="36"/>
  <c r="G115" i="36"/>
  <c r="E115" i="36"/>
  <c r="J115" i="36"/>
  <c r="D115" i="36"/>
  <c r="I115" i="36"/>
  <c r="J171" i="36"/>
  <c r="I171" i="36"/>
  <c r="E171" i="36"/>
  <c r="F171" i="36"/>
  <c r="G171" i="36"/>
  <c r="D171" i="36"/>
  <c r="H171" i="36"/>
  <c r="J235" i="36"/>
  <c r="I235" i="36"/>
  <c r="F235" i="36"/>
  <c r="H235" i="36"/>
  <c r="E235" i="36"/>
  <c r="G235" i="36"/>
  <c r="D235" i="36"/>
  <c r="J243" i="36"/>
  <c r="F243" i="36"/>
  <c r="I243" i="36"/>
  <c r="H243" i="36"/>
  <c r="E243" i="36"/>
  <c r="G243" i="36"/>
  <c r="D243" i="36"/>
  <c r="D299" i="36"/>
  <c r="H299" i="36"/>
  <c r="J299" i="36"/>
  <c r="E299" i="36"/>
  <c r="F299" i="36"/>
  <c r="G299" i="36"/>
  <c r="I299" i="36"/>
  <c r="G60" i="36"/>
  <c r="E60" i="36"/>
  <c r="H60" i="36"/>
  <c r="D60" i="36"/>
  <c r="F60" i="36"/>
  <c r="I60" i="36"/>
  <c r="J60" i="36"/>
  <c r="D116" i="36"/>
  <c r="E116" i="36"/>
  <c r="F116" i="36"/>
  <c r="G116" i="36"/>
  <c r="I116" i="36"/>
  <c r="H116" i="36"/>
  <c r="J116" i="36"/>
  <c r="H124" i="36"/>
  <c r="J124" i="36"/>
  <c r="D124" i="36"/>
  <c r="E124" i="36"/>
  <c r="G124" i="36"/>
  <c r="I124" i="36"/>
  <c r="F124" i="36"/>
  <c r="G188" i="36"/>
  <c r="I188" i="36"/>
  <c r="H188" i="36"/>
  <c r="J188" i="36"/>
  <c r="D188" i="36"/>
  <c r="E188" i="36"/>
  <c r="F188" i="36"/>
  <c r="I29" i="36"/>
  <c r="D29" i="36"/>
  <c r="G29" i="36"/>
  <c r="H29" i="36"/>
  <c r="E29" i="36"/>
  <c r="J29" i="36"/>
  <c r="F29" i="36"/>
  <c r="F93" i="36"/>
  <c r="J93" i="36"/>
  <c r="H93" i="36"/>
  <c r="I93" i="36"/>
  <c r="D93" i="36"/>
  <c r="E93" i="36"/>
  <c r="G93" i="36"/>
  <c r="E141" i="36"/>
  <c r="J141" i="36"/>
  <c r="F141" i="36"/>
  <c r="D141" i="36"/>
  <c r="G141" i="36"/>
  <c r="H141" i="36"/>
  <c r="I141" i="36"/>
  <c r="E149" i="36"/>
  <c r="F149" i="36"/>
  <c r="J149" i="36"/>
  <c r="D149" i="36"/>
  <c r="G149" i="36"/>
  <c r="H149" i="36"/>
  <c r="I149" i="36"/>
  <c r="G205" i="36"/>
  <c r="J205" i="36"/>
  <c r="I205" i="36"/>
  <c r="H205" i="36"/>
  <c r="D205" i="36"/>
  <c r="E205" i="36"/>
  <c r="F205" i="36"/>
  <c r="D261" i="36"/>
  <c r="H261" i="36"/>
  <c r="G261" i="36"/>
  <c r="F261" i="36"/>
  <c r="J261" i="36"/>
  <c r="I261" i="36"/>
  <c r="E261" i="36"/>
  <c r="E269" i="36"/>
  <c r="G269" i="36"/>
  <c r="H269" i="36"/>
  <c r="I269" i="36"/>
  <c r="D269" i="36"/>
  <c r="J269" i="36"/>
  <c r="F269" i="36"/>
  <c r="F54" i="36"/>
  <c r="G54" i="36"/>
  <c r="I54" i="36"/>
  <c r="H54" i="36"/>
  <c r="E54" i="36"/>
  <c r="J54" i="36"/>
  <c r="D54" i="36"/>
  <c r="I118" i="36"/>
  <c r="D118" i="36"/>
  <c r="F118" i="36"/>
  <c r="E118" i="36"/>
  <c r="H118" i="36"/>
  <c r="J118" i="36"/>
  <c r="G118" i="36"/>
  <c r="F182" i="36"/>
  <c r="J182" i="36"/>
  <c r="D182" i="36"/>
  <c r="E182" i="36"/>
  <c r="G182" i="36"/>
  <c r="H182" i="36"/>
  <c r="I182" i="36"/>
  <c r="I246" i="36"/>
  <c r="E246" i="36"/>
  <c r="D246" i="36"/>
  <c r="F246" i="36"/>
  <c r="G246" i="36"/>
  <c r="H246" i="36"/>
  <c r="J246" i="36"/>
  <c r="D15" i="36"/>
  <c r="F15" i="36"/>
  <c r="H15" i="36"/>
  <c r="J15" i="36"/>
  <c r="E15" i="36"/>
  <c r="G15" i="36"/>
  <c r="I15" i="36"/>
  <c r="F79" i="36"/>
  <c r="I79" i="36"/>
  <c r="E79" i="36"/>
  <c r="H79" i="36"/>
  <c r="D79" i="36"/>
  <c r="G79" i="36"/>
  <c r="J79" i="36"/>
  <c r="F135" i="36"/>
  <c r="I135" i="36"/>
  <c r="J135" i="36"/>
  <c r="D135" i="36"/>
  <c r="E135" i="36"/>
  <c r="G135" i="36"/>
  <c r="H135" i="36"/>
  <c r="F143" i="36"/>
  <c r="I143" i="36"/>
  <c r="D143" i="36"/>
  <c r="E143" i="36"/>
  <c r="H143" i="36"/>
  <c r="J143" i="36"/>
  <c r="G143" i="36"/>
  <c r="D271" i="36"/>
  <c r="F271" i="36"/>
  <c r="J271" i="36"/>
  <c r="G271" i="36"/>
  <c r="H271" i="36"/>
  <c r="I271" i="36"/>
  <c r="E271" i="36"/>
  <c r="H40" i="36"/>
  <c r="D40" i="36"/>
  <c r="G40" i="36"/>
  <c r="F40" i="36"/>
  <c r="I40" i="36"/>
  <c r="J40" i="36"/>
  <c r="E40" i="36"/>
  <c r="D104" i="36"/>
  <c r="F104" i="36"/>
  <c r="H104" i="36"/>
  <c r="J104" i="36"/>
  <c r="E104" i="36"/>
  <c r="I104" i="36"/>
  <c r="G104" i="36"/>
  <c r="D168" i="36"/>
  <c r="E168" i="36"/>
  <c r="F168" i="36"/>
  <c r="G168" i="36"/>
  <c r="H168" i="36"/>
  <c r="I168" i="36"/>
  <c r="J168" i="36"/>
  <c r="H232" i="36"/>
  <c r="J232" i="36"/>
  <c r="D232" i="36"/>
  <c r="E232" i="36"/>
  <c r="F232" i="36"/>
  <c r="G232" i="36"/>
  <c r="I232" i="36"/>
  <c r="H296" i="36"/>
  <c r="G296" i="36"/>
  <c r="F296" i="36"/>
  <c r="D296" i="36"/>
  <c r="J296" i="36"/>
  <c r="I296" i="36"/>
  <c r="E296" i="36"/>
  <c r="AL9" i="42"/>
  <c r="AG14" i="42"/>
  <c r="E14" i="11" s="1"/>
  <c r="M21" i="42"/>
  <c r="T21" i="42" s="1"/>
  <c r="AL282" i="42"/>
  <c r="AD282" i="42"/>
  <c r="AL107" i="42"/>
  <c r="AD107" i="42"/>
  <c r="M77" i="42"/>
  <c r="T77" i="42" s="1"/>
  <c r="AN307" i="42"/>
  <c r="AL262" i="42"/>
  <c r="AL263" i="42"/>
  <c r="P104" i="42"/>
  <c r="E110" i="9" s="1"/>
  <c r="F110" i="9" s="1"/>
  <c r="B46" i="57"/>
  <c r="B7" i="57"/>
  <c r="M7" i="42"/>
  <c r="T7" i="42" s="1"/>
  <c r="M8" i="42"/>
  <c r="T8" i="42"/>
  <c r="M9" i="42"/>
  <c r="T9" i="42" s="1"/>
  <c r="M10" i="42"/>
  <c r="T10" i="42" s="1"/>
  <c r="M11" i="42"/>
  <c r="T11" i="42" s="1"/>
  <c r="M12" i="42"/>
  <c r="T12" i="42" s="1"/>
  <c r="M13" i="42"/>
  <c r="T13" i="42" s="1"/>
  <c r="M14" i="42"/>
  <c r="T14" i="42" s="1"/>
  <c r="M15" i="42"/>
  <c r="T15" i="42" s="1"/>
  <c r="M16" i="42"/>
  <c r="T16" i="42" s="1"/>
  <c r="M17" i="42"/>
  <c r="T17" i="42" s="1"/>
  <c r="M18" i="42"/>
  <c r="T18" i="42" s="1"/>
  <c r="M19" i="42"/>
  <c r="T19" i="42" s="1"/>
  <c r="M20" i="42"/>
  <c r="T20" i="42" s="1"/>
  <c r="M22" i="42"/>
  <c r="T22" i="42" s="1"/>
  <c r="M23" i="42"/>
  <c r="T23" i="42" s="1"/>
  <c r="M24" i="42"/>
  <c r="T24" i="42" s="1"/>
  <c r="M25" i="42"/>
  <c r="T25" i="42"/>
  <c r="M26" i="42"/>
  <c r="T26" i="42" s="1"/>
  <c r="M27" i="42"/>
  <c r="T27" i="42" s="1"/>
  <c r="M28" i="42"/>
  <c r="T28" i="42" s="1"/>
  <c r="M29" i="42"/>
  <c r="T29" i="42" s="1"/>
  <c r="M30" i="42"/>
  <c r="T30" i="42" s="1"/>
  <c r="M31" i="42"/>
  <c r="T31" i="42" s="1"/>
  <c r="M32" i="42"/>
  <c r="T32" i="42" s="1"/>
  <c r="M33" i="42"/>
  <c r="T33" i="42"/>
  <c r="M34" i="42"/>
  <c r="T34" i="42" s="1"/>
  <c r="M35" i="42"/>
  <c r="T35" i="42" s="1"/>
  <c r="M36" i="42"/>
  <c r="T36" i="42" s="1"/>
  <c r="M37" i="42"/>
  <c r="T37" i="42" s="1"/>
  <c r="M38" i="42"/>
  <c r="T38" i="42" s="1"/>
  <c r="M39" i="42"/>
  <c r="T39" i="42" s="1"/>
  <c r="M40" i="42"/>
  <c r="T40" i="42" s="1"/>
  <c r="M41" i="42"/>
  <c r="T41" i="42"/>
  <c r="M42" i="42"/>
  <c r="T42" i="42" s="1"/>
  <c r="M43" i="42"/>
  <c r="T43" i="42" s="1"/>
  <c r="M44" i="42"/>
  <c r="T44" i="42" s="1"/>
  <c r="M45" i="42"/>
  <c r="T45" i="42" s="1"/>
  <c r="M46" i="42"/>
  <c r="T46" i="42" s="1"/>
  <c r="M47" i="42"/>
  <c r="T47" i="42" s="1"/>
  <c r="M48" i="42"/>
  <c r="T48" i="42" s="1"/>
  <c r="M49" i="42"/>
  <c r="T49" i="42" s="1"/>
  <c r="M50" i="42"/>
  <c r="T50" i="42" s="1"/>
  <c r="M51" i="42"/>
  <c r="T51" i="42" s="1"/>
  <c r="M52" i="42"/>
  <c r="T52" i="42" s="1"/>
  <c r="M53" i="42"/>
  <c r="T53" i="42" s="1"/>
  <c r="M54" i="42"/>
  <c r="T54" i="42" s="1"/>
  <c r="M55" i="42"/>
  <c r="T55" i="42" s="1"/>
  <c r="M56" i="42"/>
  <c r="T56" i="42" s="1"/>
  <c r="M57" i="42"/>
  <c r="T57" i="42"/>
  <c r="M58" i="42"/>
  <c r="T58" i="42" s="1"/>
  <c r="M59" i="42"/>
  <c r="T59" i="42" s="1"/>
  <c r="M60" i="42"/>
  <c r="T60" i="42" s="1"/>
  <c r="M61" i="42"/>
  <c r="T61" i="42" s="1"/>
  <c r="M62" i="42"/>
  <c r="T62" i="42" s="1"/>
  <c r="M63" i="42"/>
  <c r="T63" i="42" s="1"/>
  <c r="M64" i="42"/>
  <c r="T64" i="42" s="1"/>
  <c r="M65" i="42"/>
  <c r="T65" i="42"/>
  <c r="M66" i="42"/>
  <c r="T66" i="42" s="1"/>
  <c r="M67" i="42"/>
  <c r="T67" i="42" s="1"/>
  <c r="M68" i="42"/>
  <c r="T68" i="42" s="1"/>
  <c r="M69" i="42"/>
  <c r="T69" i="42" s="1"/>
  <c r="M70" i="42"/>
  <c r="T70" i="42" s="1"/>
  <c r="M71" i="42"/>
  <c r="T71" i="42" s="1"/>
  <c r="M72" i="42"/>
  <c r="T72" i="42" s="1"/>
  <c r="M73" i="42"/>
  <c r="T73" i="42"/>
  <c r="M74" i="42"/>
  <c r="T74" i="42" s="1"/>
  <c r="M75" i="42"/>
  <c r="T75" i="42" s="1"/>
  <c r="M76" i="42"/>
  <c r="T76" i="42" s="1"/>
  <c r="M78" i="42"/>
  <c r="T78" i="42" s="1"/>
  <c r="M79" i="42"/>
  <c r="T79" i="42"/>
  <c r="M80" i="42"/>
  <c r="T80" i="42" s="1"/>
  <c r="M81" i="42"/>
  <c r="T81" i="42" s="1"/>
  <c r="M82" i="42"/>
  <c r="T82" i="42" s="1"/>
  <c r="M83" i="42"/>
  <c r="T83" i="42"/>
  <c r="M84" i="42"/>
  <c r="T84" i="42" s="1"/>
  <c r="M85" i="42"/>
  <c r="T85" i="42" s="1"/>
  <c r="M86" i="42"/>
  <c r="T86" i="42" s="1"/>
  <c r="M87" i="42"/>
  <c r="T87" i="42" s="1"/>
  <c r="M88" i="42"/>
  <c r="T88" i="42" s="1"/>
  <c r="M89" i="42"/>
  <c r="T89" i="42" s="1"/>
  <c r="M90" i="42"/>
  <c r="T90" i="42" s="1"/>
  <c r="M91" i="42"/>
  <c r="T91" i="42"/>
  <c r="M92" i="42"/>
  <c r="T92" i="42" s="1"/>
  <c r="M93" i="42"/>
  <c r="T93" i="42" s="1"/>
  <c r="M94" i="42"/>
  <c r="T94" i="42" s="1"/>
  <c r="M95" i="42"/>
  <c r="T95" i="42"/>
  <c r="M96" i="42"/>
  <c r="T96" i="42" s="1"/>
  <c r="M97" i="42"/>
  <c r="T97" i="42" s="1"/>
  <c r="M98" i="42"/>
  <c r="T98" i="42" s="1"/>
  <c r="M99" i="42"/>
  <c r="T99" i="42"/>
  <c r="M100" i="42"/>
  <c r="T100" i="42" s="1"/>
  <c r="M101" i="42"/>
  <c r="T101" i="42" s="1"/>
  <c r="M102" i="42"/>
  <c r="T102" i="42" s="1"/>
  <c r="M103" i="42"/>
  <c r="T103" i="42" s="1"/>
  <c r="M104" i="42"/>
  <c r="T104" i="42" s="1"/>
  <c r="M105" i="42"/>
  <c r="T105" i="42" s="1"/>
  <c r="M106" i="42"/>
  <c r="T106" i="42" s="1"/>
  <c r="M107" i="42"/>
  <c r="T107" i="42"/>
  <c r="M108" i="42"/>
  <c r="T108" i="42" s="1"/>
  <c r="M109" i="42"/>
  <c r="T109" i="42" s="1"/>
  <c r="M110" i="42"/>
  <c r="T110" i="42" s="1"/>
  <c r="M111" i="42"/>
  <c r="T111" i="42"/>
  <c r="M112" i="42"/>
  <c r="T112" i="42" s="1"/>
  <c r="M113" i="42"/>
  <c r="T113" i="42" s="1"/>
  <c r="M114" i="42"/>
  <c r="T114" i="42" s="1"/>
  <c r="M115" i="42"/>
  <c r="T115" i="42"/>
  <c r="M116" i="42"/>
  <c r="T116" i="42" s="1"/>
  <c r="M117" i="42"/>
  <c r="T117" i="42" s="1"/>
  <c r="M118" i="42"/>
  <c r="T118" i="42" s="1"/>
  <c r="M119" i="42"/>
  <c r="T119" i="42" s="1"/>
  <c r="M120" i="42"/>
  <c r="T120" i="42" s="1"/>
  <c r="M121" i="42"/>
  <c r="T121" i="42" s="1"/>
  <c r="M122" i="42"/>
  <c r="T122" i="42" s="1"/>
  <c r="M123" i="42"/>
  <c r="T123" i="42"/>
  <c r="M124" i="42"/>
  <c r="T124" i="42" s="1"/>
  <c r="M125" i="42"/>
  <c r="T125" i="42" s="1"/>
  <c r="M126" i="42"/>
  <c r="T126" i="42" s="1"/>
  <c r="M127" i="42"/>
  <c r="T127" i="42"/>
  <c r="M128" i="42"/>
  <c r="T128" i="42" s="1"/>
  <c r="M129" i="42"/>
  <c r="T129" i="42" s="1"/>
  <c r="M130" i="42"/>
  <c r="T130" i="42" s="1"/>
  <c r="M131" i="42"/>
  <c r="T131" i="42"/>
  <c r="M132" i="42"/>
  <c r="T132" i="42" s="1"/>
  <c r="M133" i="42"/>
  <c r="T133" i="42" s="1"/>
  <c r="M134" i="42"/>
  <c r="T134" i="42" s="1"/>
  <c r="M135" i="42"/>
  <c r="T135" i="42" s="1"/>
  <c r="M136" i="42"/>
  <c r="T136" i="42" s="1"/>
  <c r="M137" i="42"/>
  <c r="T137" i="42" s="1"/>
  <c r="M138" i="42"/>
  <c r="T138" i="42" s="1"/>
  <c r="M139" i="42"/>
  <c r="T139" i="42"/>
  <c r="M140" i="42"/>
  <c r="T140" i="42" s="1"/>
  <c r="M141" i="42"/>
  <c r="T141" i="42" s="1"/>
  <c r="M142" i="42"/>
  <c r="T142" i="42" s="1"/>
  <c r="M143" i="42"/>
  <c r="T143" i="42"/>
  <c r="M144" i="42"/>
  <c r="T144" i="42" s="1"/>
  <c r="M145" i="42"/>
  <c r="T145" i="42" s="1"/>
  <c r="M146" i="42"/>
  <c r="T146" i="42" s="1"/>
  <c r="M147" i="42"/>
  <c r="T147" i="42"/>
  <c r="M148" i="42"/>
  <c r="T148" i="42" s="1"/>
  <c r="M149" i="42"/>
  <c r="T149" i="42" s="1"/>
  <c r="M150" i="42"/>
  <c r="T150" i="42" s="1"/>
  <c r="M151" i="42"/>
  <c r="T151" i="42" s="1"/>
  <c r="M152" i="42"/>
  <c r="T152" i="42" s="1"/>
  <c r="M153" i="42"/>
  <c r="T153" i="42" s="1"/>
  <c r="M154" i="42"/>
  <c r="T154" i="42" s="1"/>
  <c r="M155" i="42"/>
  <c r="T155" i="42"/>
  <c r="M156" i="42"/>
  <c r="T156" i="42" s="1"/>
  <c r="M157" i="42"/>
  <c r="T157" i="42" s="1"/>
  <c r="M158" i="42"/>
  <c r="T158" i="42" s="1"/>
  <c r="M159" i="42"/>
  <c r="T159" i="42"/>
  <c r="M160" i="42"/>
  <c r="T160" i="42" s="1"/>
  <c r="M161" i="42"/>
  <c r="T161" i="42" s="1"/>
  <c r="M162" i="42"/>
  <c r="T162" i="42" s="1"/>
  <c r="M163" i="42"/>
  <c r="T163" i="42"/>
  <c r="M164" i="42"/>
  <c r="T164" i="42" s="1"/>
  <c r="M165" i="42"/>
  <c r="T165" i="42" s="1"/>
  <c r="M166" i="42"/>
  <c r="T166" i="42" s="1"/>
  <c r="M167" i="42"/>
  <c r="T167" i="42" s="1"/>
  <c r="M168" i="42"/>
  <c r="T168" i="42" s="1"/>
  <c r="M169" i="42"/>
  <c r="T169" i="42" s="1"/>
  <c r="M170" i="42"/>
  <c r="T170" i="42" s="1"/>
  <c r="M171" i="42"/>
  <c r="T171" i="42"/>
  <c r="M172" i="42"/>
  <c r="T172" i="42" s="1"/>
  <c r="M173" i="42"/>
  <c r="T173" i="42" s="1"/>
  <c r="M174" i="42"/>
  <c r="T174" i="42" s="1"/>
  <c r="M175" i="42"/>
  <c r="T175" i="42"/>
  <c r="M176" i="42"/>
  <c r="T176" i="42" s="1"/>
  <c r="M177" i="42"/>
  <c r="T177" i="42" s="1"/>
  <c r="M178" i="42"/>
  <c r="T178" i="42" s="1"/>
  <c r="M179" i="42"/>
  <c r="T179" i="42"/>
  <c r="M180" i="42"/>
  <c r="T180" i="42" s="1"/>
  <c r="M181" i="42"/>
  <c r="T181" i="42" s="1"/>
  <c r="M182" i="42"/>
  <c r="T182" i="42" s="1"/>
  <c r="M183" i="42"/>
  <c r="T183" i="42" s="1"/>
  <c r="M184" i="42"/>
  <c r="T184" i="42" s="1"/>
  <c r="M185" i="42"/>
  <c r="T185" i="42" s="1"/>
  <c r="M186" i="42"/>
  <c r="T186" i="42" s="1"/>
  <c r="M187" i="42"/>
  <c r="T187" i="42"/>
  <c r="M188" i="42"/>
  <c r="T188" i="42" s="1"/>
  <c r="M189" i="42"/>
  <c r="T189" i="42" s="1"/>
  <c r="M190" i="42"/>
  <c r="T190" i="42" s="1"/>
  <c r="M191" i="42"/>
  <c r="T191" i="42"/>
  <c r="M192" i="42"/>
  <c r="T192" i="42" s="1"/>
  <c r="M193" i="42"/>
  <c r="T193" i="42" s="1"/>
  <c r="M194" i="42"/>
  <c r="T194" i="42" s="1"/>
  <c r="M195" i="42"/>
  <c r="T195" i="42"/>
  <c r="M196" i="42"/>
  <c r="T196" i="42" s="1"/>
  <c r="M197" i="42"/>
  <c r="T197" i="42" s="1"/>
  <c r="M198" i="42"/>
  <c r="T198" i="42" s="1"/>
  <c r="M199" i="42"/>
  <c r="T199" i="42" s="1"/>
  <c r="M200" i="42"/>
  <c r="T200" i="42" s="1"/>
  <c r="M201" i="42"/>
  <c r="T201" i="42" s="1"/>
  <c r="M202" i="42"/>
  <c r="T202" i="42" s="1"/>
  <c r="M203" i="42"/>
  <c r="T203" i="42"/>
  <c r="M204" i="42"/>
  <c r="T204" i="42" s="1"/>
  <c r="M205" i="42"/>
  <c r="T205" i="42" s="1"/>
  <c r="M206" i="42"/>
  <c r="T206" i="42" s="1"/>
  <c r="M207" i="42"/>
  <c r="T207" i="42"/>
  <c r="M208" i="42"/>
  <c r="T208" i="42" s="1"/>
  <c r="M209" i="42"/>
  <c r="T209" i="42" s="1"/>
  <c r="M210" i="42"/>
  <c r="T210" i="42" s="1"/>
  <c r="M211" i="42"/>
  <c r="T211" i="42"/>
  <c r="M212" i="42"/>
  <c r="T212" i="42" s="1"/>
  <c r="M213" i="42"/>
  <c r="T213" i="42" s="1"/>
  <c r="M214" i="42"/>
  <c r="T214" i="42" s="1"/>
  <c r="M215" i="42"/>
  <c r="T215" i="42" s="1"/>
  <c r="M216" i="42"/>
  <c r="T216" i="42" s="1"/>
  <c r="M217" i="42"/>
  <c r="T217" i="42" s="1"/>
  <c r="M218" i="42"/>
  <c r="T218" i="42" s="1"/>
  <c r="M219" i="42"/>
  <c r="T219" i="42"/>
  <c r="M220" i="42"/>
  <c r="T220" i="42" s="1"/>
  <c r="M221" i="42"/>
  <c r="T221" i="42" s="1"/>
  <c r="M222" i="42"/>
  <c r="T222" i="42" s="1"/>
  <c r="M223" i="42"/>
  <c r="T223" i="42"/>
  <c r="M224" i="42"/>
  <c r="T224" i="42" s="1"/>
  <c r="M225" i="42"/>
  <c r="T225" i="42" s="1"/>
  <c r="M226" i="42"/>
  <c r="T226" i="42" s="1"/>
  <c r="M227" i="42"/>
  <c r="T227" i="42"/>
  <c r="M228" i="42"/>
  <c r="T228" i="42" s="1"/>
  <c r="M229" i="42"/>
  <c r="T229" i="42" s="1"/>
  <c r="M230" i="42"/>
  <c r="T230" i="42" s="1"/>
  <c r="M231" i="42"/>
  <c r="T231" i="42" s="1"/>
  <c r="M232" i="42"/>
  <c r="T232" i="42" s="1"/>
  <c r="M233" i="42"/>
  <c r="T233" i="42" s="1"/>
  <c r="M234" i="42"/>
  <c r="T234" i="42" s="1"/>
  <c r="M235" i="42"/>
  <c r="T235" i="42"/>
  <c r="M236" i="42"/>
  <c r="T236" i="42" s="1"/>
  <c r="M237" i="42"/>
  <c r="T237" i="42" s="1"/>
  <c r="M238" i="42"/>
  <c r="T238" i="42" s="1"/>
  <c r="M239" i="42"/>
  <c r="T239" i="42"/>
  <c r="M240" i="42"/>
  <c r="T240" i="42" s="1"/>
  <c r="M241" i="42"/>
  <c r="T241" i="42"/>
  <c r="M242" i="42"/>
  <c r="T242" i="42" s="1"/>
  <c r="M243" i="42"/>
  <c r="T243" i="42"/>
  <c r="M244" i="42"/>
  <c r="T244" i="42" s="1"/>
  <c r="M245" i="42"/>
  <c r="T245" i="42" s="1"/>
  <c r="M246" i="42"/>
  <c r="T246" i="42" s="1"/>
  <c r="M247" i="42"/>
  <c r="T247" i="42" s="1"/>
  <c r="M248" i="42"/>
  <c r="T248" i="42" s="1"/>
  <c r="M249" i="42"/>
  <c r="T249" i="42" s="1"/>
  <c r="M250" i="42"/>
  <c r="T250" i="42" s="1"/>
  <c r="M251" i="42"/>
  <c r="T251" i="42"/>
  <c r="M252" i="42"/>
  <c r="T252" i="42" s="1"/>
  <c r="M253" i="42"/>
  <c r="T253" i="42" s="1"/>
  <c r="M254" i="42"/>
  <c r="T254" i="42" s="1"/>
  <c r="M255" i="42"/>
  <c r="T255" i="42"/>
  <c r="M256" i="42"/>
  <c r="T256" i="42" s="1"/>
  <c r="M257" i="42"/>
  <c r="T257" i="42"/>
  <c r="M258" i="42"/>
  <c r="T258" i="42" s="1"/>
  <c r="M259" i="42"/>
  <c r="T259" i="42"/>
  <c r="M260" i="42"/>
  <c r="T260" i="42" s="1"/>
  <c r="M261" i="42"/>
  <c r="T261" i="42" s="1"/>
  <c r="M262" i="42"/>
  <c r="T262" i="42" s="1"/>
  <c r="M263" i="42"/>
  <c r="T263" i="42" s="1"/>
  <c r="M264" i="42"/>
  <c r="T264" i="42" s="1"/>
  <c r="M265" i="42"/>
  <c r="T265" i="42" s="1"/>
  <c r="M266" i="42"/>
  <c r="T266" i="42" s="1"/>
  <c r="M267" i="42"/>
  <c r="T267" i="42"/>
  <c r="M268" i="42"/>
  <c r="T268" i="42" s="1"/>
  <c r="M269" i="42"/>
  <c r="T269" i="42" s="1"/>
  <c r="M270" i="42"/>
  <c r="T270" i="42" s="1"/>
  <c r="M271" i="42"/>
  <c r="T271" i="42"/>
  <c r="M272" i="42"/>
  <c r="T272" i="42" s="1"/>
  <c r="M273" i="42"/>
  <c r="T273" i="42"/>
  <c r="M274" i="42"/>
  <c r="T274" i="42" s="1"/>
  <c r="M275" i="42"/>
  <c r="T275" i="42"/>
  <c r="M276" i="42"/>
  <c r="T276" i="42" s="1"/>
  <c r="M277" i="42"/>
  <c r="T277" i="42" s="1"/>
  <c r="M278" i="42"/>
  <c r="T278" i="42" s="1"/>
  <c r="M279" i="42"/>
  <c r="T279" i="42" s="1"/>
  <c r="M280" i="42"/>
  <c r="T280" i="42" s="1"/>
  <c r="M281" i="42"/>
  <c r="T281" i="42" s="1"/>
  <c r="M282" i="42"/>
  <c r="T282" i="42" s="1"/>
  <c r="M283" i="42"/>
  <c r="T283" i="42"/>
  <c r="M284" i="42"/>
  <c r="T284" i="42" s="1"/>
  <c r="M285" i="42"/>
  <c r="T285" i="42" s="1"/>
  <c r="M286" i="42"/>
  <c r="T286" i="42" s="1"/>
  <c r="M287" i="42"/>
  <c r="T287" i="42"/>
  <c r="M288" i="42"/>
  <c r="T288" i="42" s="1"/>
  <c r="M289" i="42"/>
  <c r="T289" i="42"/>
  <c r="M290" i="42"/>
  <c r="T290" i="42" s="1"/>
  <c r="M291" i="42"/>
  <c r="T291" i="42"/>
  <c r="M292" i="42"/>
  <c r="T292" i="42" s="1"/>
  <c r="M293" i="42"/>
  <c r="T293" i="42" s="1"/>
  <c r="M294" i="42"/>
  <c r="T294" i="42" s="1"/>
  <c r="M295" i="42"/>
  <c r="T295" i="42" s="1"/>
  <c r="M296" i="42"/>
  <c r="T296" i="42" s="1"/>
  <c r="M297" i="42"/>
  <c r="T297" i="42" s="1"/>
  <c r="M298" i="42"/>
  <c r="T298" i="42" s="1"/>
  <c r="M299" i="42"/>
  <c r="T299" i="42"/>
  <c r="M300" i="42"/>
  <c r="T300" i="42" s="1"/>
  <c r="M301" i="42"/>
  <c r="T301" i="42" s="1"/>
  <c r="M302" i="42"/>
  <c r="T302" i="42" s="1"/>
  <c r="M303" i="42"/>
  <c r="T303" i="42"/>
  <c r="M304" i="42"/>
  <c r="T304" i="42" s="1"/>
  <c r="M305" i="42"/>
  <c r="T305" i="42"/>
  <c r="M6" i="42"/>
  <c r="T6" i="42" s="1"/>
  <c r="AP5" i="42"/>
  <c r="D5" i="13"/>
  <c r="G5" i="13"/>
  <c r="C14" i="40"/>
  <c r="K45" i="40"/>
  <c r="C5" i="9"/>
  <c r="B16" i="40"/>
  <c r="A301" i="13"/>
  <c r="B301" i="13"/>
  <c r="D301" i="13"/>
  <c r="A7" i="19"/>
  <c r="B7" i="19"/>
  <c r="C7" i="19"/>
  <c r="D7" i="19"/>
  <c r="E7" i="19"/>
  <c r="F7" i="19"/>
  <c r="G7" i="19"/>
  <c r="H7" i="19"/>
  <c r="I7" i="19"/>
  <c r="J7" i="19"/>
  <c r="K7" i="19"/>
  <c r="M7" i="19"/>
  <c r="N7" i="19"/>
  <c r="O7" i="19"/>
  <c r="Q7" i="19"/>
  <c r="A8" i="19"/>
  <c r="B8" i="19"/>
  <c r="C8" i="19"/>
  <c r="D8" i="19"/>
  <c r="E8" i="19"/>
  <c r="F8" i="19"/>
  <c r="G8" i="19"/>
  <c r="H8" i="19"/>
  <c r="I8" i="19"/>
  <c r="J8" i="19"/>
  <c r="K8" i="19"/>
  <c r="M8" i="19"/>
  <c r="N8" i="19"/>
  <c r="O8" i="19"/>
  <c r="Q8" i="19"/>
  <c r="A9" i="19"/>
  <c r="B9" i="19"/>
  <c r="C9" i="19"/>
  <c r="D9" i="19"/>
  <c r="E9" i="19"/>
  <c r="F9" i="19"/>
  <c r="G9" i="19"/>
  <c r="H9" i="19"/>
  <c r="I9" i="19"/>
  <c r="J9" i="19"/>
  <c r="K9" i="19"/>
  <c r="M9" i="19"/>
  <c r="N9" i="19"/>
  <c r="O9" i="19"/>
  <c r="Q9" i="19"/>
  <c r="A10" i="19"/>
  <c r="B10" i="19"/>
  <c r="C10" i="19"/>
  <c r="D10" i="19"/>
  <c r="E10" i="19"/>
  <c r="F10" i="19"/>
  <c r="G10" i="19"/>
  <c r="H10" i="19"/>
  <c r="I10" i="19"/>
  <c r="J10" i="19"/>
  <c r="K10" i="19"/>
  <c r="M10" i="19"/>
  <c r="N10" i="19"/>
  <c r="O10" i="19"/>
  <c r="Q10" i="19"/>
  <c r="A11" i="19"/>
  <c r="B11" i="19"/>
  <c r="C11" i="19"/>
  <c r="D11" i="19"/>
  <c r="E11" i="19"/>
  <c r="F11" i="19"/>
  <c r="G11" i="19"/>
  <c r="H11" i="19"/>
  <c r="I11" i="19"/>
  <c r="J11" i="19"/>
  <c r="K11" i="19"/>
  <c r="M11" i="19"/>
  <c r="N11" i="19"/>
  <c r="O11" i="19"/>
  <c r="Q11" i="19"/>
  <c r="A12" i="19"/>
  <c r="B12" i="19"/>
  <c r="C12" i="19"/>
  <c r="D12" i="19"/>
  <c r="E12" i="19"/>
  <c r="F12" i="19"/>
  <c r="G12" i="19"/>
  <c r="H12" i="19"/>
  <c r="I12" i="19"/>
  <c r="J12" i="19"/>
  <c r="K12" i="19"/>
  <c r="M12" i="19"/>
  <c r="N12" i="19"/>
  <c r="O12" i="19"/>
  <c r="Q12" i="19"/>
  <c r="A13" i="19"/>
  <c r="B13" i="19"/>
  <c r="C13" i="19"/>
  <c r="D13" i="19"/>
  <c r="E13" i="19"/>
  <c r="F13" i="19"/>
  <c r="G13" i="19"/>
  <c r="H13" i="19"/>
  <c r="I13" i="19"/>
  <c r="J13" i="19"/>
  <c r="K13" i="19"/>
  <c r="M13" i="19"/>
  <c r="N13" i="19"/>
  <c r="O13" i="19"/>
  <c r="Q13" i="19"/>
  <c r="A14" i="19"/>
  <c r="B14" i="19"/>
  <c r="C14" i="19"/>
  <c r="D14" i="19"/>
  <c r="E14" i="19"/>
  <c r="F14" i="19"/>
  <c r="G14" i="19"/>
  <c r="H14" i="19"/>
  <c r="I14" i="19"/>
  <c r="J14" i="19"/>
  <c r="K14" i="19"/>
  <c r="M14" i="19"/>
  <c r="N14" i="19"/>
  <c r="O14" i="19"/>
  <c r="Q14" i="19"/>
  <c r="A15" i="19"/>
  <c r="B15" i="19"/>
  <c r="C15" i="19"/>
  <c r="D15" i="19"/>
  <c r="E15" i="19"/>
  <c r="F15" i="19"/>
  <c r="G15" i="19"/>
  <c r="H15" i="19"/>
  <c r="I15" i="19"/>
  <c r="J15" i="19"/>
  <c r="K15" i="19"/>
  <c r="M15" i="19"/>
  <c r="N15" i="19"/>
  <c r="O15" i="19"/>
  <c r="Q15" i="19"/>
  <c r="A16" i="19"/>
  <c r="B16" i="19"/>
  <c r="C16" i="19"/>
  <c r="D16" i="19"/>
  <c r="E16" i="19"/>
  <c r="F16" i="19"/>
  <c r="G16" i="19"/>
  <c r="H16" i="19"/>
  <c r="I16" i="19"/>
  <c r="J16" i="19"/>
  <c r="K16" i="19"/>
  <c r="M16" i="19"/>
  <c r="N16" i="19"/>
  <c r="O16" i="19"/>
  <c r="Q16" i="19"/>
  <c r="A17" i="19"/>
  <c r="B17" i="19"/>
  <c r="C17" i="19"/>
  <c r="D17" i="19"/>
  <c r="E17" i="19"/>
  <c r="F17" i="19"/>
  <c r="G17" i="19"/>
  <c r="H17" i="19"/>
  <c r="I17" i="19"/>
  <c r="J17" i="19"/>
  <c r="K17" i="19"/>
  <c r="M17" i="19"/>
  <c r="N17" i="19"/>
  <c r="O17" i="19"/>
  <c r="Q17" i="19"/>
  <c r="A18" i="19"/>
  <c r="B18" i="19"/>
  <c r="C18" i="19"/>
  <c r="D18" i="19"/>
  <c r="E18" i="19"/>
  <c r="F18" i="19"/>
  <c r="G18" i="19"/>
  <c r="H18" i="19"/>
  <c r="I18" i="19"/>
  <c r="J18" i="19"/>
  <c r="K18" i="19"/>
  <c r="M18" i="19"/>
  <c r="N18" i="19"/>
  <c r="O18" i="19"/>
  <c r="Q18" i="19"/>
  <c r="A19" i="19"/>
  <c r="B19" i="19"/>
  <c r="C19" i="19"/>
  <c r="D19" i="19"/>
  <c r="E19" i="19"/>
  <c r="F19" i="19"/>
  <c r="G19" i="19"/>
  <c r="H19" i="19"/>
  <c r="I19" i="19"/>
  <c r="J19" i="19"/>
  <c r="K19" i="19"/>
  <c r="M19" i="19"/>
  <c r="N19" i="19"/>
  <c r="O19" i="19"/>
  <c r="Q19" i="19"/>
  <c r="A20" i="19"/>
  <c r="B20" i="19"/>
  <c r="C20" i="19"/>
  <c r="D20" i="19"/>
  <c r="E20" i="19"/>
  <c r="F20" i="19"/>
  <c r="G20" i="19"/>
  <c r="H20" i="19"/>
  <c r="I20" i="19"/>
  <c r="J20" i="19"/>
  <c r="K20" i="19"/>
  <c r="M20" i="19"/>
  <c r="N20" i="19"/>
  <c r="O20" i="19"/>
  <c r="Q20" i="19"/>
  <c r="A21" i="19"/>
  <c r="B21" i="19"/>
  <c r="C21" i="19"/>
  <c r="E21" i="19"/>
  <c r="F21" i="19"/>
  <c r="G21" i="19"/>
  <c r="H21" i="19"/>
  <c r="I21" i="19"/>
  <c r="J21" i="19"/>
  <c r="K21" i="19"/>
  <c r="M21" i="19"/>
  <c r="N21" i="19"/>
  <c r="O21" i="19"/>
  <c r="Q21" i="19"/>
  <c r="A22" i="19"/>
  <c r="B22" i="19"/>
  <c r="C22" i="19"/>
  <c r="D22" i="19"/>
  <c r="E22" i="19"/>
  <c r="F22" i="19"/>
  <c r="G22" i="19"/>
  <c r="H22" i="19"/>
  <c r="I22" i="19"/>
  <c r="J22" i="19"/>
  <c r="K22" i="19"/>
  <c r="M22" i="19"/>
  <c r="N22" i="19"/>
  <c r="O22" i="19"/>
  <c r="Q22" i="19"/>
  <c r="A23" i="19"/>
  <c r="B23" i="19"/>
  <c r="C23" i="19"/>
  <c r="D23" i="19"/>
  <c r="E23" i="19"/>
  <c r="G23" i="19"/>
  <c r="H23" i="19"/>
  <c r="I23" i="19"/>
  <c r="J23" i="19"/>
  <c r="K23" i="19"/>
  <c r="M23" i="19"/>
  <c r="N23" i="19"/>
  <c r="O23" i="19"/>
  <c r="Q23" i="19"/>
  <c r="A24" i="19"/>
  <c r="B24" i="19"/>
  <c r="C24" i="19"/>
  <c r="D24" i="19"/>
  <c r="E24" i="19"/>
  <c r="F24" i="19"/>
  <c r="G24" i="19"/>
  <c r="H24" i="19"/>
  <c r="I24" i="19"/>
  <c r="J24" i="19"/>
  <c r="K24" i="19"/>
  <c r="M24" i="19"/>
  <c r="N24" i="19"/>
  <c r="O24" i="19"/>
  <c r="Q24" i="19"/>
  <c r="A25" i="19"/>
  <c r="B25" i="19"/>
  <c r="C25" i="19"/>
  <c r="D25" i="19"/>
  <c r="E25" i="19"/>
  <c r="F25" i="19"/>
  <c r="G25" i="19"/>
  <c r="H25" i="19"/>
  <c r="I25" i="19"/>
  <c r="J25" i="19"/>
  <c r="K25" i="19"/>
  <c r="M25" i="19"/>
  <c r="N25" i="19"/>
  <c r="O25" i="19"/>
  <c r="Q25" i="19"/>
  <c r="A26" i="19"/>
  <c r="B26" i="19"/>
  <c r="C26" i="19"/>
  <c r="D26" i="19"/>
  <c r="E26" i="19"/>
  <c r="F26" i="19"/>
  <c r="G26" i="19"/>
  <c r="H26" i="19"/>
  <c r="I26" i="19"/>
  <c r="J26" i="19"/>
  <c r="K26" i="19"/>
  <c r="M26" i="19"/>
  <c r="N26" i="19"/>
  <c r="O26" i="19"/>
  <c r="Q26" i="19"/>
  <c r="A27" i="19"/>
  <c r="B27" i="19"/>
  <c r="C27" i="19"/>
  <c r="D27" i="19"/>
  <c r="E27" i="19"/>
  <c r="F27" i="19"/>
  <c r="G27" i="19"/>
  <c r="H27" i="19"/>
  <c r="I27" i="19"/>
  <c r="J27" i="19"/>
  <c r="K27" i="19"/>
  <c r="M27" i="19"/>
  <c r="N27" i="19"/>
  <c r="O27" i="19"/>
  <c r="Q27" i="19"/>
  <c r="A28" i="19"/>
  <c r="B28" i="19"/>
  <c r="C28" i="19"/>
  <c r="D28" i="19"/>
  <c r="E28" i="19"/>
  <c r="F28" i="19"/>
  <c r="G28" i="19"/>
  <c r="H28" i="19"/>
  <c r="I28" i="19"/>
  <c r="J28" i="19"/>
  <c r="K28" i="19"/>
  <c r="M28" i="19"/>
  <c r="N28" i="19"/>
  <c r="O28" i="19"/>
  <c r="Q28" i="19"/>
  <c r="A29" i="19"/>
  <c r="B29" i="19"/>
  <c r="C29" i="19"/>
  <c r="D29" i="19"/>
  <c r="E29" i="19"/>
  <c r="F29" i="19"/>
  <c r="G29" i="19"/>
  <c r="H29" i="19"/>
  <c r="I29" i="19"/>
  <c r="J29" i="19"/>
  <c r="K29" i="19"/>
  <c r="M29" i="19"/>
  <c r="N29" i="19"/>
  <c r="O29" i="19"/>
  <c r="Q29" i="19"/>
  <c r="A30" i="19"/>
  <c r="B30" i="19"/>
  <c r="C30" i="19"/>
  <c r="D30" i="19"/>
  <c r="E30" i="19"/>
  <c r="F30" i="19"/>
  <c r="G30" i="19"/>
  <c r="H30" i="19"/>
  <c r="I30" i="19"/>
  <c r="J30" i="19"/>
  <c r="K30" i="19"/>
  <c r="M30" i="19"/>
  <c r="N30" i="19"/>
  <c r="O30" i="19"/>
  <c r="Q30" i="19"/>
  <c r="A31" i="19"/>
  <c r="B31" i="19"/>
  <c r="C31" i="19"/>
  <c r="D31" i="19"/>
  <c r="E31" i="19"/>
  <c r="F31" i="19"/>
  <c r="G31" i="19"/>
  <c r="H31" i="19"/>
  <c r="I31" i="19"/>
  <c r="J31" i="19"/>
  <c r="K31" i="19"/>
  <c r="M31" i="19"/>
  <c r="N31" i="19"/>
  <c r="O31" i="19"/>
  <c r="Q31" i="19"/>
  <c r="A32" i="19"/>
  <c r="B32" i="19"/>
  <c r="C32" i="19"/>
  <c r="D32" i="19"/>
  <c r="E32" i="19"/>
  <c r="F32" i="19"/>
  <c r="G32" i="19"/>
  <c r="H32" i="19"/>
  <c r="I32" i="19"/>
  <c r="J32" i="19"/>
  <c r="K32" i="19"/>
  <c r="M32" i="19"/>
  <c r="N32" i="19"/>
  <c r="O32" i="19"/>
  <c r="Q32" i="19"/>
  <c r="A33" i="19"/>
  <c r="B33" i="19"/>
  <c r="C33" i="19"/>
  <c r="D33" i="19"/>
  <c r="E33" i="19"/>
  <c r="F33" i="19"/>
  <c r="G33" i="19"/>
  <c r="H33" i="19"/>
  <c r="I33" i="19"/>
  <c r="J33" i="19"/>
  <c r="K33" i="19"/>
  <c r="M33" i="19"/>
  <c r="N33" i="19"/>
  <c r="O33" i="19"/>
  <c r="Q33" i="19"/>
  <c r="A34" i="19"/>
  <c r="B34" i="19"/>
  <c r="C34" i="19"/>
  <c r="D34" i="19"/>
  <c r="E34" i="19"/>
  <c r="F34" i="19"/>
  <c r="G34" i="19"/>
  <c r="H34" i="19"/>
  <c r="I34" i="19"/>
  <c r="J34" i="19"/>
  <c r="K34" i="19"/>
  <c r="M34" i="19"/>
  <c r="N34" i="19"/>
  <c r="O34" i="19"/>
  <c r="Q34" i="19"/>
  <c r="A35" i="19"/>
  <c r="B35" i="19"/>
  <c r="C35" i="19"/>
  <c r="D35" i="19"/>
  <c r="E35" i="19"/>
  <c r="F35" i="19"/>
  <c r="G35" i="19"/>
  <c r="H35" i="19"/>
  <c r="I35" i="19"/>
  <c r="J35" i="19"/>
  <c r="K35" i="19"/>
  <c r="M35" i="19"/>
  <c r="N35" i="19"/>
  <c r="O35" i="19"/>
  <c r="Q35" i="19"/>
  <c r="A36" i="19"/>
  <c r="B36" i="19"/>
  <c r="C36" i="19"/>
  <c r="D36" i="19"/>
  <c r="E36" i="19"/>
  <c r="F36" i="19"/>
  <c r="G36" i="19"/>
  <c r="H36" i="19"/>
  <c r="I36" i="19"/>
  <c r="J36" i="19"/>
  <c r="K36" i="19"/>
  <c r="M36" i="19"/>
  <c r="N36" i="19"/>
  <c r="O36" i="19"/>
  <c r="Q36" i="19"/>
  <c r="A37" i="19"/>
  <c r="B37" i="19"/>
  <c r="C37" i="19"/>
  <c r="D37" i="19"/>
  <c r="E37" i="19"/>
  <c r="F37" i="19"/>
  <c r="G37" i="19"/>
  <c r="H37" i="19"/>
  <c r="I37" i="19"/>
  <c r="J37" i="19"/>
  <c r="K37" i="19"/>
  <c r="M37" i="19"/>
  <c r="N37" i="19"/>
  <c r="O37" i="19"/>
  <c r="Q37" i="19"/>
  <c r="A38" i="19"/>
  <c r="B38" i="19"/>
  <c r="C38" i="19"/>
  <c r="D38" i="19"/>
  <c r="E38" i="19"/>
  <c r="F38" i="19"/>
  <c r="G38" i="19"/>
  <c r="H38" i="19"/>
  <c r="I38" i="19"/>
  <c r="J38" i="19"/>
  <c r="K38" i="19"/>
  <c r="M38" i="19"/>
  <c r="N38" i="19"/>
  <c r="O38" i="19"/>
  <c r="Q38" i="19"/>
  <c r="A39" i="19"/>
  <c r="B39" i="19"/>
  <c r="C39" i="19"/>
  <c r="D39" i="19"/>
  <c r="E39" i="19"/>
  <c r="F39" i="19"/>
  <c r="G39" i="19"/>
  <c r="H39" i="19"/>
  <c r="I39" i="19"/>
  <c r="J39" i="19"/>
  <c r="K39" i="19"/>
  <c r="M39" i="19"/>
  <c r="N39" i="19"/>
  <c r="O39" i="19"/>
  <c r="Q39" i="19"/>
  <c r="A40" i="19"/>
  <c r="B40" i="19"/>
  <c r="C40" i="19"/>
  <c r="D40" i="19"/>
  <c r="E40" i="19"/>
  <c r="F40" i="19"/>
  <c r="G40" i="19"/>
  <c r="H40" i="19"/>
  <c r="I40" i="19"/>
  <c r="J40" i="19"/>
  <c r="K40" i="19"/>
  <c r="M40" i="19"/>
  <c r="N40" i="19"/>
  <c r="O40" i="19"/>
  <c r="Q40" i="19"/>
  <c r="A41" i="19"/>
  <c r="B41" i="19"/>
  <c r="C41" i="19"/>
  <c r="D41" i="19"/>
  <c r="E41" i="19"/>
  <c r="F41" i="19"/>
  <c r="G41" i="19"/>
  <c r="H41" i="19"/>
  <c r="I41" i="19"/>
  <c r="J41" i="19"/>
  <c r="K41" i="19"/>
  <c r="M41" i="19"/>
  <c r="N41" i="19"/>
  <c r="O41" i="19"/>
  <c r="Q41" i="19"/>
  <c r="A42" i="19"/>
  <c r="B42" i="19"/>
  <c r="C42" i="19"/>
  <c r="D42" i="19"/>
  <c r="E42" i="19"/>
  <c r="F42" i="19"/>
  <c r="G42" i="19"/>
  <c r="H42" i="19"/>
  <c r="I42" i="19"/>
  <c r="J42" i="19"/>
  <c r="K42" i="19"/>
  <c r="M42" i="19"/>
  <c r="N42" i="19"/>
  <c r="O42" i="19"/>
  <c r="Q42" i="19"/>
  <c r="A43" i="19"/>
  <c r="B43" i="19"/>
  <c r="C43" i="19"/>
  <c r="D43" i="19"/>
  <c r="E43" i="19"/>
  <c r="F43" i="19"/>
  <c r="G43" i="19"/>
  <c r="H43" i="19"/>
  <c r="I43" i="19"/>
  <c r="J43" i="19"/>
  <c r="K43" i="19"/>
  <c r="M43" i="19"/>
  <c r="N43" i="19"/>
  <c r="O43" i="19"/>
  <c r="Q43" i="19"/>
  <c r="A44" i="19"/>
  <c r="B44" i="19"/>
  <c r="C44" i="19"/>
  <c r="D44" i="19"/>
  <c r="E44" i="19"/>
  <c r="F44" i="19"/>
  <c r="G44" i="19"/>
  <c r="H44" i="19"/>
  <c r="I44" i="19"/>
  <c r="J44" i="19"/>
  <c r="K44" i="19"/>
  <c r="M44" i="19"/>
  <c r="N44" i="19"/>
  <c r="O44" i="19"/>
  <c r="Q44" i="19"/>
  <c r="A45" i="19"/>
  <c r="B45" i="19"/>
  <c r="C45" i="19"/>
  <c r="D45" i="19"/>
  <c r="E45" i="19"/>
  <c r="F45" i="19"/>
  <c r="G45" i="19"/>
  <c r="H45" i="19"/>
  <c r="I45" i="19"/>
  <c r="J45" i="19"/>
  <c r="K45" i="19"/>
  <c r="M45" i="19"/>
  <c r="N45" i="19"/>
  <c r="O45" i="19"/>
  <c r="Q45" i="19"/>
  <c r="A46" i="19"/>
  <c r="B46" i="19"/>
  <c r="C46" i="19"/>
  <c r="D46" i="19"/>
  <c r="E46" i="19"/>
  <c r="F46" i="19"/>
  <c r="G46" i="19"/>
  <c r="H46" i="19"/>
  <c r="I46" i="19"/>
  <c r="J46" i="19"/>
  <c r="K46" i="19"/>
  <c r="M46" i="19"/>
  <c r="N46" i="19"/>
  <c r="O46" i="19"/>
  <c r="Q46" i="19"/>
  <c r="A47" i="19"/>
  <c r="B47" i="19"/>
  <c r="C47" i="19"/>
  <c r="D47" i="19"/>
  <c r="E47" i="19"/>
  <c r="F47" i="19"/>
  <c r="G47" i="19"/>
  <c r="H47" i="19"/>
  <c r="I47" i="19"/>
  <c r="J47" i="19"/>
  <c r="K47" i="19"/>
  <c r="M47" i="19"/>
  <c r="N47" i="19"/>
  <c r="O47" i="19"/>
  <c r="Q47" i="19"/>
  <c r="A48" i="19"/>
  <c r="B48" i="19"/>
  <c r="C48" i="19"/>
  <c r="D48" i="19"/>
  <c r="E48" i="19"/>
  <c r="F48" i="19"/>
  <c r="G48" i="19"/>
  <c r="H48" i="19"/>
  <c r="I48" i="19"/>
  <c r="J48" i="19"/>
  <c r="K48" i="19"/>
  <c r="M48" i="19"/>
  <c r="N48" i="19"/>
  <c r="O48" i="19"/>
  <c r="Q48" i="19"/>
  <c r="A49" i="19"/>
  <c r="B49" i="19"/>
  <c r="C49" i="19"/>
  <c r="D49" i="19"/>
  <c r="E49" i="19"/>
  <c r="F49" i="19"/>
  <c r="G49" i="19"/>
  <c r="H49" i="19"/>
  <c r="I49" i="19"/>
  <c r="J49" i="19"/>
  <c r="K49" i="19"/>
  <c r="M49" i="19"/>
  <c r="N49" i="19"/>
  <c r="O49" i="19"/>
  <c r="Q49" i="19"/>
  <c r="A50" i="19"/>
  <c r="B50" i="19"/>
  <c r="C50" i="19"/>
  <c r="D50" i="19"/>
  <c r="E50" i="19"/>
  <c r="F50" i="19"/>
  <c r="G50" i="19"/>
  <c r="H50" i="19"/>
  <c r="I50" i="19"/>
  <c r="J50" i="19"/>
  <c r="K50" i="19"/>
  <c r="M50" i="19"/>
  <c r="N50" i="19"/>
  <c r="O50" i="19"/>
  <c r="Q50" i="19"/>
  <c r="A51" i="19"/>
  <c r="B51" i="19"/>
  <c r="C51" i="19"/>
  <c r="D51" i="19"/>
  <c r="E51" i="19"/>
  <c r="F51" i="19"/>
  <c r="G51" i="19"/>
  <c r="H51" i="19"/>
  <c r="I51" i="19"/>
  <c r="J51" i="19"/>
  <c r="K51" i="19"/>
  <c r="M51" i="19"/>
  <c r="N51" i="19"/>
  <c r="O51" i="19"/>
  <c r="Q51" i="19"/>
  <c r="A52" i="19"/>
  <c r="B52" i="19"/>
  <c r="C52" i="19"/>
  <c r="D52" i="19"/>
  <c r="E52" i="19"/>
  <c r="F52" i="19"/>
  <c r="G52" i="19"/>
  <c r="H52" i="19"/>
  <c r="I52" i="19"/>
  <c r="J52" i="19"/>
  <c r="K52" i="19"/>
  <c r="M52" i="19"/>
  <c r="N52" i="19"/>
  <c r="O52" i="19"/>
  <c r="Q52" i="19"/>
  <c r="A53" i="19"/>
  <c r="B53" i="19"/>
  <c r="C53" i="19"/>
  <c r="D53" i="19"/>
  <c r="E53" i="19"/>
  <c r="F53" i="19"/>
  <c r="G53" i="19"/>
  <c r="H53" i="19"/>
  <c r="I53" i="19"/>
  <c r="J53" i="19"/>
  <c r="K53" i="19"/>
  <c r="M53" i="19"/>
  <c r="N53" i="19"/>
  <c r="O53" i="19"/>
  <c r="Q53" i="19"/>
  <c r="A54" i="19"/>
  <c r="B54" i="19"/>
  <c r="C54" i="19"/>
  <c r="D54" i="19"/>
  <c r="E54" i="19"/>
  <c r="F54" i="19"/>
  <c r="G54" i="19"/>
  <c r="H54" i="19"/>
  <c r="I54" i="19"/>
  <c r="J54" i="19"/>
  <c r="K54" i="19"/>
  <c r="M54" i="19"/>
  <c r="N54" i="19"/>
  <c r="O54" i="19"/>
  <c r="Q54" i="19"/>
  <c r="A55" i="19"/>
  <c r="B55" i="19"/>
  <c r="C55" i="19"/>
  <c r="D55" i="19"/>
  <c r="E55" i="19"/>
  <c r="F55" i="19"/>
  <c r="G55" i="19"/>
  <c r="H55" i="19"/>
  <c r="I55" i="19"/>
  <c r="J55" i="19"/>
  <c r="K55" i="19"/>
  <c r="M55" i="19"/>
  <c r="N55" i="19"/>
  <c r="O55" i="19"/>
  <c r="Q55" i="19"/>
  <c r="A56" i="19"/>
  <c r="B56" i="19"/>
  <c r="C56" i="19"/>
  <c r="D56" i="19"/>
  <c r="E56" i="19"/>
  <c r="F56" i="19"/>
  <c r="G56" i="19"/>
  <c r="H56" i="19"/>
  <c r="I56" i="19"/>
  <c r="J56" i="19"/>
  <c r="K56" i="19"/>
  <c r="M56" i="19"/>
  <c r="N56" i="19"/>
  <c r="O56" i="19"/>
  <c r="Q56" i="19"/>
  <c r="A57" i="19"/>
  <c r="B57" i="19"/>
  <c r="C57" i="19"/>
  <c r="D57" i="19"/>
  <c r="E57" i="19"/>
  <c r="F57" i="19"/>
  <c r="G57" i="19"/>
  <c r="H57" i="19"/>
  <c r="I57" i="19"/>
  <c r="J57" i="19"/>
  <c r="K57" i="19"/>
  <c r="M57" i="19"/>
  <c r="N57" i="19"/>
  <c r="O57" i="19"/>
  <c r="Q57" i="19"/>
  <c r="A58" i="19"/>
  <c r="B58" i="19"/>
  <c r="C58" i="19"/>
  <c r="D58" i="19"/>
  <c r="E58" i="19"/>
  <c r="F58" i="19"/>
  <c r="G58" i="19"/>
  <c r="H58" i="19"/>
  <c r="I58" i="19"/>
  <c r="J58" i="19"/>
  <c r="K58" i="19"/>
  <c r="M58" i="19"/>
  <c r="N58" i="19"/>
  <c r="O58" i="19"/>
  <c r="Q58" i="19"/>
  <c r="A59" i="19"/>
  <c r="B59" i="19"/>
  <c r="C59" i="19"/>
  <c r="D59" i="19"/>
  <c r="E59" i="19"/>
  <c r="F59" i="19"/>
  <c r="G59" i="19"/>
  <c r="H59" i="19"/>
  <c r="I59" i="19"/>
  <c r="J59" i="19"/>
  <c r="K59" i="19"/>
  <c r="M59" i="19"/>
  <c r="N59" i="19"/>
  <c r="O59" i="19"/>
  <c r="Q59" i="19"/>
  <c r="A60" i="19"/>
  <c r="B60" i="19"/>
  <c r="C60" i="19"/>
  <c r="D60" i="19"/>
  <c r="E60" i="19"/>
  <c r="F60" i="19"/>
  <c r="G60" i="19"/>
  <c r="H60" i="19"/>
  <c r="I60" i="19"/>
  <c r="J60" i="19"/>
  <c r="K60" i="19"/>
  <c r="M60" i="19"/>
  <c r="N60" i="19"/>
  <c r="O60" i="19"/>
  <c r="Q60" i="19"/>
  <c r="A61" i="19"/>
  <c r="B61" i="19"/>
  <c r="C61" i="19"/>
  <c r="D61" i="19"/>
  <c r="E61" i="19"/>
  <c r="F61" i="19"/>
  <c r="G61" i="19"/>
  <c r="H61" i="19"/>
  <c r="I61" i="19"/>
  <c r="J61" i="19"/>
  <c r="K61" i="19"/>
  <c r="M61" i="19"/>
  <c r="N61" i="19"/>
  <c r="O61" i="19"/>
  <c r="Q61" i="19"/>
  <c r="A62" i="19"/>
  <c r="B62" i="19"/>
  <c r="C62" i="19"/>
  <c r="D62" i="19"/>
  <c r="E62" i="19"/>
  <c r="F62" i="19"/>
  <c r="G62" i="19"/>
  <c r="H62" i="19"/>
  <c r="I62" i="19"/>
  <c r="J62" i="19"/>
  <c r="K62" i="19"/>
  <c r="M62" i="19"/>
  <c r="N62" i="19"/>
  <c r="O62" i="19"/>
  <c r="Q62" i="19"/>
  <c r="A63" i="19"/>
  <c r="B63" i="19"/>
  <c r="C63" i="19"/>
  <c r="D63" i="19"/>
  <c r="E63" i="19"/>
  <c r="F63" i="19"/>
  <c r="G63" i="19"/>
  <c r="H63" i="19"/>
  <c r="I63" i="19"/>
  <c r="J63" i="19"/>
  <c r="K63" i="19"/>
  <c r="M63" i="19"/>
  <c r="N63" i="19"/>
  <c r="O63" i="19"/>
  <c r="Q63" i="19"/>
  <c r="A64" i="19"/>
  <c r="B64" i="19"/>
  <c r="C64" i="19"/>
  <c r="D64" i="19"/>
  <c r="E64" i="19"/>
  <c r="F64" i="19"/>
  <c r="G64" i="19"/>
  <c r="H64" i="19"/>
  <c r="I64" i="19"/>
  <c r="J64" i="19"/>
  <c r="K64" i="19"/>
  <c r="M64" i="19"/>
  <c r="N64" i="19"/>
  <c r="O64" i="19"/>
  <c r="Q64" i="19"/>
  <c r="A65" i="19"/>
  <c r="B65" i="19"/>
  <c r="C65" i="19"/>
  <c r="D65" i="19"/>
  <c r="E65" i="19"/>
  <c r="F65" i="19"/>
  <c r="G65" i="19"/>
  <c r="H65" i="19"/>
  <c r="I65" i="19"/>
  <c r="J65" i="19"/>
  <c r="K65" i="19"/>
  <c r="M65" i="19"/>
  <c r="N65" i="19"/>
  <c r="O65" i="19"/>
  <c r="Q65" i="19"/>
  <c r="A66" i="19"/>
  <c r="B66" i="19"/>
  <c r="C66" i="19"/>
  <c r="D66" i="19"/>
  <c r="E66" i="19"/>
  <c r="F66" i="19"/>
  <c r="G66" i="19"/>
  <c r="H66" i="19"/>
  <c r="I66" i="19"/>
  <c r="J66" i="19"/>
  <c r="K66" i="19"/>
  <c r="M66" i="19"/>
  <c r="N66" i="19"/>
  <c r="O66" i="19"/>
  <c r="Q66" i="19"/>
  <c r="A67" i="19"/>
  <c r="B67" i="19"/>
  <c r="C67" i="19"/>
  <c r="D67" i="19"/>
  <c r="E67" i="19"/>
  <c r="F67" i="19"/>
  <c r="G67" i="19"/>
  <c r="H67" i="19"/>
  <c r="I67" i="19"/>
  <c r="J67" i="19"/>
  <c r="K67" i="19"/>
  <c r="M67" i="19"/>
  <c r="N67" i="19"/>
  <c r="O67" i="19"/>
  <c r="Q67" i="19"/>
  <c r="A68" i="19"/>
  <c r="B68" i="19"/>
  <c r="C68" i="19"/>
  <c r="D68" i="19"/>
  <c r="E68" i="19"/>
  <c r="F68" i="19"/>
  <c r="G68" i="19"/>
  <c r="H68" i="19"/>
  <c r="I68" i="19"/>
  <c r="J68" i="19"/>
  <c r="K68" i="19"/>
  <c r="M68" i="19"/>
  <c r="N68" i="19"/>
  <c r="O68" i="19"/>
  <c r="Q68" i="19"/>
  <c r="A69" i="19"/>
  <c r="B69" i="19"/>
  <c r="C69" i="19"/>
  <c r="D69" i="19"/>
  <c r="E69" i="19"/>
  <c r="F69" i="19"/>
  <c r="G69" i="19"/>
  <c r="H69" i="19"/>
  <c r="I69" i="19"/>
  <c r="J69" i="19"/>
  <c r="K69" i="19"/>
  <c r="M69" i="19"/>
  <c r="N69" i="19"/>
  <c r="O69" i="19"/>
  <c r="Q69" i="19"/>
  <c r="A70" i="19"/>
  <c r="B70" i="19"/>
  <c r="C70" i="19"/>
  <c r="D70" i="19"/>
  <c r="E70" i="19"/>
  <c r="F70" i="19"/>
  <c r="G70" i="19"/>
  <c r="H70" i="19"/>
  <c r="I70" i="19"/>
  <c r="J70" i="19"/>
  <c r="K70" i="19"/>
  <c r="M70" i="19"/>
  <c r="N70" i="19"/>
  <c r="O70" i="19"/>
  <c r="Q70" i="19"/>
  <c r="A71" i="19"/>
  <c r="B71" i="19"/>
  <c r="C71" i="19"/>
  <c r="D71" i="19"/>
  <c r="E71" i="19"/>
  <c r="F71" i="19"/>
  <c r="G71" i="19"/>
  <c r="H71" i="19"/>
  <c r="I71" i="19"/>
  <c r="J71" i="19"/>
  <c r="K71" i="19"/>
  <c r="M71" i="19"/>
  <c r="N71" i="19"/>
  <c r="O71" i="19"/>
  <c r="Q71" i="19"/>
  <c r="A72" i="19"/>
  <c r="B72" i="19"/>
  <c r="C72" i="19"/>
  <c r="D72" i="19"/>
  <c r="E72" i="19"/>
  <c r="F72" i="19"/>
  <c r="G72" i="19"/>
  <c r="H72" i="19"/>
  <c r="I72" i="19"/>
  <c r="J72" i="19"/>
  <c r="K72" i="19"/>
  <c r="M72" i="19"/>
  <c r="N72" i="19"/>
  <c r="O72" i="19"/>
  <c r="Q72" i="19"/>
  <c r="A73" i="19"/>
  <c r="B73" i="19"/>
  <c r="C73" i="19"/>
  <c r="D73" i="19"/>
  <c r="E73" i="19"/>
  <c r="F73" i="19"/>
  <c r="G73" i="19"/>
  <c r="H73" i="19"/>
  <c r="I73" i="19"/>
  <c r="J73" i="19"/>
  <c r="K73" i="19"/>
  <c r="M73" i="19"/>
  <c r="N73" i="19"/>
  <c r="O73" i="19"/>
  <c r="Q73" i="19"/>
  <c r="A74" i="19"/>
  <c r="B74" i="19"/>
  <c r="C74" i="19"/>
  <c r="D74" i="19"/>
  <c r="E74" i="19"/>
  <c r="F74" i="19"/>
  <c r="G74" i="19"/>
  <c r="H74" i="19"/>
  <c r="I74" i="19"/>
  <c r="J74" i="19"/>
  <c r="K74" i="19"/>
  <c r="M74" i="19"/>
  <c r="N74" i="19"/>
  <c r="O74" i="19"/>
  <c r="Q74" i="19"/>
  <c r="A75" i="19"/>
  <c r="B75" i="19"/>
  <c r="C75" i="19"/>
  <c r="D75" i="19"/>
  <c r="E75" i="19"/>
  <c r="F75" i="19"/>
  <c r="G75" i="19"/>
  <c r="H75" i="19"/>
  <c r="I75" i="19"/>
  <c r="J75" i="19"/>
  <c r="K75" i="19"/>
  <c r="M75" i="19"/>
  <c r="N75" i="19"/>
  <c r="O75" i="19"/>
  <c r="Q75" i="19"/>
  <c r="A76" i="19"/>
  <c r="B76" i="19"/>
  <c r="C76" i="19"/>
  <c r="D76" i="19"/>
  <c r="E76" i="19"/>
  <c r="F76" i="19"/>
  <c r="G76" i="19"/>
  <c r="H76" i="19"/>
  <c r="I76" i="19"/>
  <c r="J76" i="19"/>
  <c r="K76" i="19"/>
  <c r="M76" i="19"/>
  <c r="N76" i="19"/>
  <c r="O76" i="19"/>
  <c r="Q76" i="19"/>
  <c r="A77" i="19"/>
  <c r="B77" i="19"/>
  <c r="C77" i="19"/>
  <c r="D77" i="19"/>
  <c r="E77" i="19"/>
  <c r="F77" i="19"/>
  <c r="G77" i="19"/>
  <c r="H77" i="19"/>
  <c r="I77" i="19"/>
  <c r="J77" i="19"/>
  <c r="K77" i="19"/>
  <c r="M77" i="19"/>
  <c r="N77" i="19"/>
  <c r="O77" i="19"/>
  <c r="Q77" i="19"/>
  <c r="A78" i="19"/>
  <c r="B78" i="19"/>
  <c r="C78" i="19"/>
  <c r="D78" i="19"/>
  <c r="E78" i="19"/>
  <c r="F78" i="19"/>
  <c r="G78" i="19"/>
  <c r="H78" i="19"/>
  <c r="I78" i="19"/>
  <c r="J78" i="19"/>
  <c r="K78" i="19"/>
  <c r="M78" i="19"/>
  <c r="N78" i="19"/>
  <c r="O78" i="19"/>
  <c r="Q78" i="19"/>
  <c r="A79" i="19"/>
  <c r="B79" i="19"/>
  <c r="C79" i="19"/>
  <c r="D79" i="19"/>
  <c r="E79" i="19"/>
  <c r="F79" i="19"/>
  <c r="G79" i="19"/>
  <c r="H79" i="19"/>
  <c r="I79" i="19"/>
  <c r="J79" i="19"/>
  <c r="K79" i="19"/>
  <c r="M79" i="19"/>
  <c r="N79" i="19"/>
  <c r="O79" i="19"/>
  <c r="Q79" i="19"/>
  <c r="A80" i="19"/>
  <c r="B80" i="19"/>
  <c r="C80" i="19"/>
  <c r="D80" i="19"/>
  <c r="E80" i="19"/>
  <c r="F80" i="19"/>
  <c r="G80" i="19"/>
  <c r="H80" i="19"/>
  <c r="I80" i="19"/>
  <c r="J80" i="19"/>
  <c r="K80" i="19"/>
  <c r="M80" i="19"/>
  <c r="N80" i="19"/>
  <c r="O80" i="19"/>
  <c r="Q80" i="19"/>
  <c r="A81" i="19"/>
  <c r="B81" i="19"/>
  <c r="C81" i="19"/>
  <c r="D81" i="19"/>
  <c r="E81" i="19"/>
  <c r="F81" i="19"/>
  <c r="G81" i="19"/>
  <c r="H81" i="19"/>
  <c r="I81" i="19"/>
  <c r="J81" i="19"/>
  <c r="K81" i="19"/>
  <c r="M81" i="19"/>
  <c r="N81" i="19"/>
  <c r="O81" i="19"/>
  <c r="Q81" i="19"/>
  <c r="A82" i="19"/>
  <c r="B82" i="19"/>
  <c r="C82" i="19"/>
  <c r="D82" i="19"/>
  <c r="E82" i="19"/>
  <c r="F82" i="19"/>
  <c r="G82" i="19"/>
  <c r="H82" i="19"/>
  <c r="I82" i="19"/>
  <c r="J82" i="19"/>
  <c r="K82" i="19"/>
  <c r="M82" i="19"/>
  <c r="N82" i="19"/>
  <c r="O82" i="19"/>
  <c r="Q82" i="19"/>
  <c r="A83" i="19"/>
  <c r="B83" i="19"/>
  <c r="C83" i="19"/>
  <c r="D83" i="19"/>
  <c r="E83" i="19"/>
  <c r="F83" i="19"/>
  <c r="G83" i="19"/>
  <c r="H83" i="19"/>
  <c r="I83" i="19"/>
  <c r="J83" i="19"/>
  <c r="K83" i="19"/>
  <c r="M83" i="19"/>
  <c r="N83" i="19"/>
  <c r="O83" i="19"/>
  <c r="Q83" i="19"/>
  <c r="A84" i="19"/>
  <c r="B84" i="19"/>
  <c r="C84" i="19"/>
  <c r="D84" i="19"/>
  <c r="E84" i="19"/>
  <c r="F84" i="19"/>
  <c r="G84" i="19"/>
  <c r="H84" i="19"/>
  <c r="I84" i="19"/>
  <c r="J84" i="19"/>
  <c r="K84" i="19"/>
  <c r="M84" i="19"/>
  <c r="N84" i="19"/>
  <c r="O84" i="19"/>
  <c r="Q84" i="19"/>
  <c r="A85" i="19"/>
  <c r="B85" i="19"/>
  <c r="C85" i="19"/>
  <c r="D85" i="19"/>
  <c r="E85" i="19"/>
  <c r="F85" i="19"/>
  <c r="G85" i="19"/>
  <c r="H85" i="19"/>
  <c r="I85" i="19"/>
  <c r="J85" i="19"/>
  <c r="K85" i="19"/>
  <c r="M85" i="19"/>
  <c r="N85" i="19"/>
  <c r="O85" i="19"/>
  <c r="Q85" i="19"/>
  <c r="A86" i="19"/>
  <c r="B86" i="19"/>
  <c r="C86" i="19"/>
  <c r="D86" i="19"/>
  <c r="E86" i="19"/>
  <c r="F86" i="19"/>
  <c r="G86" i="19"/>
  <c r="H86" i="19"/>
  <c r="I86" i="19"/>
  <c r="J86" i="19"/>
  <c r="K86" i="19"/>
  <c r="M86" i="19"/>
  <c r="N86" i="19"/>
  <c r="O86" i="19"/>
  <c r="Q86" i="19"/>
  <c r="A87" i="19"/>
  <c r="B87" i="19"/>
  <c r="C87" i="19"/>
  <c r="D87" i="19"/>
  <c r="E87" i="19"/>
  <c r="F87" i="19"/>
  <c r="G87" i="19"/>
  <c r="H87" i="19"/>
  <c r="I87" i="19"/>
  <c r="J87" i="19"/>
  <c r="K87" i="19"/>
  <c r="M87" i="19"/>
  <c r="N87" i="19"/>
  <c r="O87" i="19"/>
  <c r="Q87" i="19"/>
  <c r="A88" i="19"/>
  <c r="B88" i="19"/>
  <c r="C88" i="19"/>
  <c r="D88" i="19"/>
  <c r="E88" i="19"/>
  <c r="F88" i="19"/>
  <c r="G88" i="19"/>
  <c r="H88" i="19"/>
  <c r="I88" i="19"/>
  <c r="J88" i="19"/>
  <c r="K88" i="19"/>
  <c r="M88" i="19"/>
  <c r="N88" i="19"/>
  <c r="O88" i="19"/>
  <c r="Q88" i="19"/>
  <c r="A89" i="19"/>
  <c r="B89" i="19"/>
  <c r="C89" i="19"/>
  <c r="D89" i="19"/>
  <c r="E89" i="19"/>
  <c r="F89" i="19"/>
  <c r="G89" i="19"/>
  <c r="H89" i="19"/>
  <c r="I89" i="19"/>
  <c r="J89" i="19"/>
  <c r="K89" i="19"/>
  <c r="M89" i="19"/>
  <c r="N89" i="19"/>
  <c r="O89" i="19"/>
  <c r="Q89" i="19"/>
  <c r="A90" i="19"/>
  <c r="B90" i="19"/>
  <c r="C90" i="19"/>
  <c r="D90" i="19"/>
  <c r="E90" i="19"/>
  <c r="F90" i="19"/>
  <c r="G90" i="19"/>
  <c r="H90" i="19"/>
  <c r="I90" i="19"/>
  <c r="J90" i="19"/>
  <c r="K90" i="19"/>
  <c r="M90" i="19"/>
  <c r="N90" i="19"/>
  <c r="O90" i="19"/>
  <c r="Q90" i="19"/>
  <c r="A91" i="19"/>
  <c r="B91" i="19"/>
  <c r="C91" i="19"/>
  <c r="D91" i="19"/>
  <c r="E91" i="19"/>
  <c r="F91" i="19"/>
  <c r="G91" i="19"/>
  <c r="H91" i="19"/>
  <c r="I91" i="19"/>
  <c r="J91" i="19"/>
  <c r="K91" i="19"/>
  <c r="M91" i="19"/>
  <c r="N91" i="19"/>
  <c r="O91" i="19"/>
  <c r="Q91" i="19"/>
  <c r="A92" i="19"/>
  <c r="B92" i="19"/>
  <c r="C92" i="19"/>
  <c r="D92" i="19"/>
  <c r="E92" i="19"/>
  <c r="F92" i="19"/>
  <c r="G92" i="19"/>
  <c r="H92" i="19"/>
  <c r="I92" i="19"/>
  <c r="J92" i="19"/>
  <c r="K92" i="19"/>
  <c r="M92" i="19"/>
  <c r="N92" i="19"/>
  <c r="O92" i="19"/>
  <c r="Q92" i="19"/>
  <c r="A93" i="19"/>
  <c r="B93" i="19"/>
  <c r="C93" i="19"/>
  <c r="D93" i="19"/>
  <c r="E93" i="19"/>
  <c r="F93" i="19"/>
  <c r="G93" i="19"/>
  <c r="H93" i="19"/>
  <c r="I93" i="19"/>
  <c r="J93" i="19"/>
  <c r="K93" i="19"/>
  <c r="M93" i="19"/>
  <c r="N93" i="19"/>
  <c r="O93" i="19"/>
  <c r="Q93" i="19"/>
  <c r="A94" i="19"/>
  <c r="B94" i="19"/>
  <c r="C94" i="19"/>
  <c r="D94" i="19"/>
  <c r="E94" i="19"/>
  <c r="F94" i="19"/>
  <c r="G94" i="19"/>
  <c r="H94" i="19"/>
  <c r="I94" i="19"/>
  <c r="J94" i="19"/>
  <c r="K94" i="19"/>
  <c r="M94" i="19"/>
  <c r="N94" i="19"/>
  <c r="O94" i="19"/>
  <c r="Q94" i="19"/>
  <c r="A95" i="19"/>
  <c r="B95" i="19"/>
  <c r="C95" i="19"/>
  <c r="D95" i="19"/>
  <c r="E95" i="19"/>
  <c r="F95" i="19"/>
  <c r="G95" i="19"/>
  <c r="H95" i="19"/>
  <c r="I95" i="19"/>
  <c r="J95" i="19"/>
  <c r="K95" i="19"/>
  <c r="M95" i="19"/>
  <c r="N95" i="19"/>
  <c r="O95" i="19"/>
  <c r="Q95" i="19"/>
  <c r="A96" i="19"/>
  <c r="B96" i="19"/>
  <c r="C96" i="19"/>
  <c r="D96" i="19"/>
  <c r="E96" i="19"/>
  <c r="F96" i="19"/>
  <c r="G96" i="19"/>
  <c r="H96" i="19"/>
  <c r="I96" i="19"/>
  <c r="J96" i="19"/>
  <c r="K96" i="19"/>
  <c r="M96" i="19"/>
  <c r="N96" i="19"/>
  <c r="O96" i="19"/>
  <c r="Q96" i="19"/>
  <c r="A97" i="19"/>
  <c r="B97" i="19"/>
  <c r="C97" i="19"/>
  <c r="D97" i="19"/>
  <c r="E97" i="19"/>
  <c r="F97" i="19"/>
  <c r="G97" i="19"/>
  <c r="H97" i="19"/>
  <c r="I97" i="19"/>
  <c r="J97" i="19"/>
  <c r="K97" i="19"/>
  <c r="M97" i="19"/>
  <c r="N97" i="19"/>
  <c r="O97" i="19"/>
  <c r="Q97" i="19"/>
  <c r="A98" i="19"/>
  <c r="B98" i="19"/>
  <c r="C98" i="19"/>
  <c r="D98" i="19"/>
  <c r="E98" i="19"/>
  <c r="F98" i="19"/>
  <c r="G98" i="19"/>
  <c r="H98" i="19"/>
  <c r="I98" i="19"/>
  <c r="J98" i="19"/>
  <c r="K98" i="19"/>
  <c r="M98" i="19"/>
  <c r="N98" i="19"/>
  <c r="O98" i="19"/>
  <c r="Q98" i="19"/>
  <c r="A99" i="19"/>
  <c r="B99" i="19"/>
  <c r="C99" i="19"/>
  <c r="D99" i="19"/>
  <c r="E99" i="19"/>
  <c r="F99" i="19"/>
  <c r="G99" i="19"/>
  <c r="H99" i="19"/>
  <c r="I99" i="19"/>
  <c r="J99" i="19"/>
  <c r="K99" i="19"/>
  <c r="M99" i="19"/>
  <c r="N99" i="19"/>
  <c r="O99" i="19"/>
  <c r="Q99" i="19"/>
  <c r="A100" i="19"/>
  <c r="B100" i="19"/>
  <c r="C100" i="19"/>
  <c r="D100" i="19"/>
  <c r="E100" i="19"/>
  <c r="F100" i="19"/>
  <c r="G100" i="19"/>
  <c r="H100" i="19"/>
  <c r="I100" i="19"/>
  <c r="J100" i="19"/>
  <c r="K100" i="19"/>
  <c r="M100" i="19"/>
  <c r="N100" i="19"/>
  <c r="O100" i="19"/>
  <c r="Q100" i="19"/>
  <c r="A101" i="19"/>
  <c r="B101" i="19"/>
  <c r="C101" i="19"/>
  <c r="D101" i="19"/>
  <c r="E101" i="19"/>
  <c r="F101" i="19"/>
  <c r="G101" i="19"/>
  <c r="H101" i="19"/>
  <c r="I101" i="19"/>
  <c r="J101" i="19"/>
  <c r="K101" i="19"/>
  <c r="M101" i="19"/>
  <c r="N101" i="19"/>
  <c r="O101" i="19"/>
  <c r="Q101" i="19"/>
  <c r="A102" i="19"/>
  <c r="B102" i="19"/>
  <c r="C102" i="19"/>
  <c r="D102" i="19"/>
  <c r="E102" i="19"/>
  <c r="F102" i="19"/>
  <c r="G102" i="19"/>
  <c r="H102" i="19"/>
  <c r="I102" i="19"/>
  <c r="J102" i="19"/>
  <c r="K102" i="19"/>
  <c r="M102" i="19"/>
  <c r="N102" i="19"/>
  <c r="O102" i="19"/>
  <c r="Q102" i="19"/>
  <c r="A103" i="19"/>
  <c r="B103" i="19"/>
  <c r="C103" i="19"/>
  <c r="D103" i="19"/>
  <c r="E103" i="19"/>
  <c r="F103" i="19"/>
  <c r="G103" i="19"/>
  <c r="H103" i="19"/>
  <c r="I103" i="19"/>
  <c r="J103" i="19"/>
  <c r="K103" i="19"/>
  <c r="M103" i="19"/>
  <c r="N103" i="19"/>
  <c r="O103" i="19"/>
  <c r="Q103" i="19"/>
  <c r="A104" i="19"/>
  <c r="B104" i="19"/>
  <c r="C104" i="19"/>
  <c r="D104" i="19"/>
  <c r="E104" i="19"/>
  <c r="F104" i="19"/>
  <c r="G104" i="19"/>
  <c r="H104" i="19"/>
  <c r="I104" i="19"/>
  <c r="J104" i="19"/>
  <c r="K104" i="19"/>
  <c r="M104" i="19"/>
  <c r="N104" i="19"/>
  <c r="O104" i="19"/>
  <c r="Q104" i="19"/>
  <c r="A105" i="19"/>
  <c r="B105" i="19"/>
  <c r="C105" i="19"/>
  <c r="D105" i="19"/>
  <c r="E105" i="19"/>
  <c r="F105" i="19"/>
  <c r="G105" i="19"/>
  <c r="H105" i="19"/>
  <c r="I105" i="19"/>
  <c r="J105" i="19"/>
  <c r="K105" i="19"/>
  <c r="M105" i="19"/>
  <c r="N105" i="19"/>
  <c r="O105" i="19"/>
  <c r="Q105" i="19"/>
  <c r="A106" i="19"/>
  <c r="B106" i="19"/>
  <c r="C106" i="19"/>
  <c r="D106" i="19"/>
  <c r="E106" i="19"/>
  <c r="F106" i="19"/>
  <c r="G106" i="19"/>
  <c r="H106" i="19"/>
  <c r="I106" i="19"/>
  <c r="J106" i="19"/>
  <c r="K106" i="19"/>
  <c r="M106" i="19"/>
  <c r="N106" i="19"/>
  <c r="O106" i="19"/>
  <c r="Q106" i="19"/>
  <c r="A107" i="19"/>
  <c r="B107" i="19"/>
  <c r="C107" i="19"/>
  <c r="D107" i="19"/>
  <c r="E107" i="19"/>
  <c r="F107" i="19"/>
  <c r="G107" i="19"/>
  <c r="H107" i="19"/>
  <c r="I107" i="19"/>
  <c r="J107" i="19"/>
  <c r="K107" i="19"/>
  <c r="M107" i="19"/>
  <c r="N107" i="19"/>
  <c r="O107" i="19"/>
  <c r="Q107" i="19"/>
  <c r="A108" i="19"/>
  <c r="B108" i="19"/>
  <c r="C108" i="19"/>
  <c r="D108" i="19"/>
  <c r="E108" i="19"/>
  <c r="F108" i="19"/>
  <c r="G108" i="19"/>
  <c r="H108" i="19"/>
  <c r="I108" i="19"/>
  <c r="J108" i="19"/>
  <c r="K108" i="19"/>
  <c r="M108" i="19"/>
  <c r="N108" i="19"/>
  <c r="O108" i="19"/>
  <c r="Q108" i="19"/>
  <c r="A109" i="19"/>
  <c r="B109" i="19"/>
  <c r="C109" i="19"/>
  <c r="D109" i="19"/>
  <c r="E109" i="19"/>
  <c r="F109" i="19"/>
  <c r="G109" i="19"/>
  <c r="H109" i="19"/>
  <c r="I109" i="19"/>
  <c r="J109" i="19"/>
  <c r="K109" i="19"/>
  <c r="M109" i="19"/>
  <c r="N109" i="19"/>
  <c r="O109" i="19"/>
  <c r="Q109" i="19"/>
  <c r="A110" i="19"/>
  <c r="B110" i="19"/>
  <c r="C110" i="19"/>
  <c r="D110" i="19"/>
  <c r="E110" i="19"/>
  <c r="F110" i="19"/>
  <c r="G110" i="19"/>
  <c r="H110" i="19"/>
  <c r="I110" i="19"/>
  <c r="J110" i="19"/>
  <c r="K110" i="19"/>
  <c r="M110" i="19"/>
  <c r="N110" i="19"/>
  <c r="O110" i="19"/>
  <c r="Q110" i="19"/>
  <c r="A111" i="19"/>
  <c r="B111" i="19"/>
  <c r="C111" i="19"/>
  <c r="D111" i="19"/>
  <c r="E111" i="19"/>
  <c r="F111" i="19"/>
  <c r="G111" i="19"/>
  <c r="H111" i="19"/>
  <c r="I111" i="19"/>
  <c r="J111" i="19"/>
  <c r="K111" i="19"/>
  <c r="M111" i="19"/>
  <c r="N111" i="19"/>
  <c r="O111" i="19"/>
  <c r="Q111" i="19"/>
  <c r="A112" i="19"/>
  <c r="B112" i="19"/>
  <c r="C112" i="19"/>
  <c r="D112" i="19"/>
  <c r="E112" i="19"/>
  <c r="F112" i="19"/>
  <c r="G112" i="19"/>
  <c r="H112" i="19"/>
  <c r="I112" i="19"/>
  <c r="J112" i="19"/>
  <c r="K112" i="19"/>
  <c r="M112" i="19"/>
  <c r="N112" i="19"/>
  <c r="O112" i="19"/>
  <c r="Q112" i="19"/>
  <c r="A113" i="19"/>
  <c r="B113" i="19"/>
  <c r="D113" i="19"/>
  <c r="E113" i="19"/>
  <c r="F113" i="19"/>
  <c r="G113" i="19"/>
  <c r="H113" i="19"/>
  <c r="I113" i="19"/>
  <c r="J113" i="19"/>
  <c r="K113" i="19"/>
  <c r="M113" i="19"/>
  <c r="N113" i="19"/>
  <c r="O113" i="19"/>
  <c r="Q113" i="19"/>
  <c r="A114" i="19"/>
  <c r="B114" i="19"/>
  <c r="C114" i="19"/>
  <c r="D114" i="19"/>
  <c r="E114" i="19"/>
  <c r="F114" i="19"/>
  <c r="G114" i="19"/>
  <c r="H114" i="19"/>
  <c r="I114" i="19"/>
  <c r="J114" i="19"/>
  <c r="K114" i="19"/>
  <c r="M114" i="19"/>
  <c r="N114" i="19"/>
  <c r="O114" i="19"/>
  <c r="Q114" i="19"/>
  <c r="A115" i="19"/>
  <c r="B115" i="19"/>
  <c r="C115" i="19"/>
  <c r="D115" i="19"/>
  <c r="E115" i="19"/>
  <c r="F115" i="19"/>
  <c r="G115" i="19"/>
  <c r="H115" i="19"/>
  <c r="I115" i="19"/>
  <c r="J115" i="19"/>
  <c r="K115" i="19"/>
  <c r="M115" i="19"/>
  <c r="N115" i="19"/>
  <c r="O115" i="19"/>
  <c r="Q115" i="19"/>
  <c r="A116" i="19"/>
  <c r="B116" i="19"/>
  <c r="C116" i="19"/>
  <c r="D116" i="19"/>
  <c r="E116" i="19"/>
  <c r="F116" i="19"/>
  <c r="G116" i="19"/>
  <c r="H116" i="19"/>
  <c r="I116" i="19"/>
  <c r="J116" i="19"/>
  <c r="K116" i="19"/>
  <c r="M116" i="19"/>
  <c r="N116" i="19"/>
  <c r="O116" i="19"/>
  <c r="Q116" i="19"/>
  <c r="A117" i="19"/>
  <c r="B117" i="19"/>
  <c r="C117" i="19"/>
  <c r="D117" i="19"/>
  <c r="E117" i="19"/>
  <c r="F117" i="19"/>
  <c r="G117" i="19"/>
  <c r="H117" i="19"/>
  <c r="I117" i="19"/>
  <c r="J117" i="19"/>
  <c r="K117" i="19"/>
  <c r="M117" i="19"/>
  <c r="N117" i="19"/>
  <c r="O117" i="19"/>
  <c r="Q117" i="19"/>
  <c r="A118" i="19"/>
  <c r="B118" i="19"/>
  <c r="C118" i="19"/>
  <c r="D118" i="19"/>
  <c r="E118" i="19"/>
  <c r="F118" i="19"/>
  <c r="G118" i="19"/>
  <c r="H118" i="19"/>
  <c r="I118" i="19"/>
  <c r="J118" i="19"/>
  <c r="K118" i="19"/>
  <c r="M118" i="19"/>
  <c r="N118" i="19"/>
  <c r="O118" i="19"/>
  <c r="Q118" i="19"/>
  <c r="A119" i="19"/>
  <c r="B119" i="19"/>
  <c r="C119" i="19"/>
  <c r="D119" i="19"/>
  <c r="E119" i="19"/>
  <c r="F119" i="19"/>
  <c r="G119" i="19"/>
  <c r="H119" i="19"/>
  <c r="I119" i="19"/>
  <c r="J119" i="19"/>
  <c r="K119" i="19"/>
  <c r="M119" i="19"/>
  <c r="N119" i="19"/>
  <c r="O119" i="19"/>
  <c r="Q119" i="19"/>
  <c r="A120" i="19"/>
  <c r="B120" i="19"/>
  <c r="C120" i="19"/>
  <c r="E120" i="19"/>
  <c r="F120" i="19"/>
  <c r="G120" i="19"/>
  <c r="H120" i="19"/>
  <c r="I120" i="19"/>
  <c r="J120" i="19"/>
  <c r="K120" i="19"/>
  <c r="M120" i="19"/>
  <c r="N120" i="19"/>
  <c r="O120" i="19"/>
  <c r="Q120" i="19"/>
  <c r="A121" i="19"/>
  <c r="B121" i="19"/>
  <c r="C121" i="19"/>
  <c r="D121" i="19"/>
  <c r="E121" i="19"/>
  <c r="F121" i="19"/>
  <c r="G121" i="19"/>
  <c r="H121" i="19"/>
  <c r="I121" i="19"/>
  <c r="J121" i="19"/>
  <c r="K121" i="19"/>
  <c r="M121" i="19"/>
  <c r="N121" i="19"/>
  <c r="O121" i="19"/>
  <c r="Q121" i="19"/>
  <c r="A122" i="19"/>
  <c r="B122" i="19"/>
  <c r="C122" i="19"/>
  <c r="D122" i="19"/>
  <c r="E122" i="19"/>
  <c r="F122" i="19"/>
  <c r="G122" i="19"/>
  <c r="H122" i="19"/>
  <c r="I122" i="19"/>
  <c r="J122" i="19"/>
  <c r="K122" i="19"/>
  <c r="M122" i="19"/>
  <c r="N122" i="19"/>
  <c r="O122" i="19"/>
  <c r="Q122" i="19"/>
  <c r="A123" i="19"/>
  <c r="B123" i="19"/>
  <c r="C123" i="19"/>
  <c r="D123" i="19"/>
  <c r="E123" i="19"/>
  <c r="F123" i="19"/>
  <c r="G123" i="19"/>
  <c r="H123" i="19"/>
  <c r="I123" i="19"/>
  <c r="J123" i="19"/>
  <c r="K123" i="19"/>
  <c r="M123" i="19"/>
  <c r="N123" i="19"/>
  <c r="O123" i="19"/>
  <c r="Q123" i="19"/>
  <c r="A124" i="19"/>
  <c r="B124" i="19"/>
  <c r="C124" i="19"/>
  <c r="D124" i="19"/>
  <c r="E124" i="19"/>
  <c r="F124" i="19"/>
  <c r="G124" i="19"/>
  <c r="H124" i="19"/>
  <c r="I124" i="19"/>
  <c r="J124" i="19"/>
  <c r="K124" i="19"/>
  <c r="M124" i="19"/>
  <c r="N124" i="19"/>
  <c r="O124" i="19"/>
  <c r="Q124" i="19"/>
  <c r="A125" i="19"/>
  <c r="B125" i="19"/>
  <c r="C125" i="19"/>
  <c r="D125" i="19"/>
  <c r="E125" i="19"/>
  <c r="F125" i="19"/>
  <c r="G125" i="19"/>
  <c r="H125" i="19"/>
  <c r="I125" i="19"/>
  <c r="J125" i="19"/>
  <c r="K125" i="19"/>
  <c r="M125" i="19"/>
  <c r="N125" i="19"/>
  <c r="O125" i="19"/>
  <c r="Q125" i="19"/>
  <c r="A126" i="19"/>
  <c r="B126" i="19"/>
  <c r="C126" i="19"/>
  <c r="D126" i="19"/>
  <c r="E126" i="19"/>
  <c r="F126" i="19"/>
  <c r="G126" i="19"/>
  <c r="H126" i="19"/>
  <c r="I126" i="19"/>
  <c r="J126" i="19"/>
  <c r="K126" i="19"/>
  <c r="M126" i="19"/>
  <c r="N126" i="19"/>
  <c r="O126" i="19"/>
  <c r="Q126" i="19"/>
  <c r="A127" i="19"/>
  <c r="B127" i="19"/>
  <c r="C127" i="19"/>
  <c r="D127" i="19"/>
  <c r="E127" i="19"/>
  <c r="F127" i="19"/>
  <c r="G127" i="19"/>
  <c r="H127" i="19"/>
  <c r="I127" i="19"/>
  <c r="J127" i="19"/>
  <c r="K127" i="19"/>
  <c r="M127" i="19"/>
  <c r="N127" i="19"/>
  <c r="O127" i="19"/>
  <c r="Q127" i="19"/>
  <c r="A128" i="19"/>
  <c r="B128" i="19"/>
  <c r="C128" i="19"/>
  <c r="D128" i="19"/>
  <c r="E128" i="19"/>
  <c r="F128" i="19"/>
  <c r="G128" i="19"/>
  <c r="H128" i="19"/>
  <c r="I128" i="19"/>
  <c r="J128" i="19"/>
  <c r="K128" i="19"/>
  <c r="M128" i="19"/>
  <c r="N128" i="19"/>
  <c r="O128" i="19"/>
  <c r="Q128" i="19"/>
  <c r="A129" i="19"/>
  <c r="B129" i="19"/>
  <c r="C129" i="19"/>
  <c r="D129" i="19"/>
  <c r="E129" i="19"/>
  <c r="F129" i="19"/>
  <c r="G129" i="19"/>
  <c r="H129" i="19"/>
  <c r="I129" i="19"/>
  <c r="J129" i="19"/>
  <c r="K129" i="19"/>
  <c r="M129" i="19"/>
  <c r="N129" i="19"/>
  <c r="O129" i="19"/>
  <c r="Q129" i="19"/>
  <c r="A130" i="19"/>
  <c r="B130" i="19"/>
  <c r="C130" i="19"/>
  <c r="D130" i="19"/>
  <c r="E130" i="19"/>
  <c r="F130" i="19"/>
  <c r="G130" i="19"/>
  <c r="H130" i="19"/>
  <c r="I130" i="19"/>
  <c r="J130" i="19"/>
  <c r="K130" i="19"/>
  <c r="M130" i="19"/>
  <c r="N130" i="19"/>
  <c r="O130" i="19"/>
  <c r="Q130" i="19"/>
  <c r="A131" i="19"/>
  <c r="B131" i="19"/>
  <c r="C131" i="19"/>
  <c r="D131" i="19"/>
  <c r="E131" i="19"/>
  <c r="F131" i="19"/>
  <c r="G131" i="19"/>
  <c r="H131" i="19"/>
  <c r="I131" i="19"/>
  <c r="J131" i="19"/>
  <c r="K131" i="19"/>
  <c r="M131" i="19"/>
  <c r="N131" i="19"/>
  <c r="O131" i="19"/>
  <c r="Q131" i="19"/>
  <c r="A132" i="19"/>
  <c r="B132" i="19"/>
  <c r="C132" i="19"/>
  <c r="D132" i="19"/>
  <c r="E132" i="19"/>
  <c r="F132" i="19"/>
  <c r="G132" i="19"/>
  <c r="H132" i="19"/>
  <c r="I132" i="19"/>
  <c r="J132" i="19"/>
  <c r="K132" i="19"/>
  <c r="M132" i="19"/>
  <c r="N132" i="19"/>
  <c r="O132" i="19"/>
  <c r="Q132" i="19"/>
  <c r="A133" i="19"/>
  <c r="B133" i="19"/>
  <c r="C133" i="19"/>
  <c r="D133" i="19"/>
  <c r="E133" i="19"/>
  <c r="F133" i="19"/>
  <c r="G133" i="19"/>
  <c r="H133" i="19"/>
  <c r="I133" i="19"/>
  <c r="J133" i="19"/>
  <c r="K133" i="19"/>
  <c r="M133" i="19"/>
  <c r="N133" i="19"/>
  <c r="O133" i="19"/>
  <c r="Q133" i="19"/>
  <c r="A134" i="19"/>
  <c r="B134" i="19"/>
  <c r="C134" i="19"/>
  <c r="D134" i="19"/>
  <c r="E134" i="19"/>
  <c r="F134" i="19"/>
  <c r="G134" i="19"/>
  <c r="H134" i="19"/>
  <c r="I134" i="19"/>
  <c r="J134" i="19"/>
  <c r="K134" i="19"/>
  <c r="M134" i="19"/>
  <c r="N134" i="19"/>
  <c r="O134" i="19"/>
  <c r="Q134" i="19"/>
  <c r="A135" i="19"/>
  <c r="B135" i="19"/>
  <c r="C135" i="19"/>
  <c r="D135" i="19"/>
  <c r="E135" i="19"/>
  <c r="F135" i="19"/>
  <c r="G135" i="19"/>
  <c r="H135" i="19"/>
  <c r="I135" i="19"/>
  <c r="J135" i="19"/>
  <c r="K135" i="19"/>
  <c r="M135" i="19"/>
  <c r="N135" i="19"/>
  <c r="O135" i="19"/>
  <c r="Q135" i="19"/>
  <c r="A136" i="19"/>
  <c r="B136" i="19"/>
  <c r="C136" i="19"/>
  <c r="D136" i="19"/>
  <c r="E136" i="19"/>
  <c r="F136" i="19"/>
  <c r="G136" i="19"/>
  <c r="H136" i="19"/>
  <c r="I136" i="19"/>
  <c r="J136" i="19"/>
  <c r="K136" i="19"/>
  <c r="M136" i="19"/>
  <c r="N136" i="19"/>
  <c r="O136" i="19"/>
  <c r="Q136" i="19"/>
  <c r="A137" i="19"/>
  <c r="B137" i="19"/>
  <c r="C137" i="19"/>
  <c r="E137" i="19"/>
  <c r="F137" i="19"/>
  <c r="G137" i="19"/>
  <c r="H137" i="19"/>
  <c r="I137" i="19"/>
  <c r="J137" i="19"/>
  <c r="K137" i="19"/>
  <c r="M137" i="19"/>
  <c r="N137" i="19"/>
  <c r="O137" i="19"/>
  <c r="Q137" i="19"/>
  <c r="A138" i="19"/>
  <c r="B138" i="19"/>
  <c r="C138" i="19"/>
  <c r="D138" i="19"/>
  <c r="E138" i="19"/>
  <c r="F138" i="19"/>
  <c r="G138" i="19"/>
  <c r="H138" i="19"/>
  <c r="I138" i="19"/>
  <c r="J138" i="19"/>
  <c r="K138" i="19"/>
  <c r="M138" i="19"/>
  <c r="N138" i="19"/>
  <c r="O138" i="19"/>
  <c r="Q138" i="19"/>
  <c r="A139" i="19"/>
  <c r="B139" i="19"/>
  <c r="C139" i="19"/>
  <c r="D139" i="19"/>
  <c r="E139" i="19"/>
  <c r="F139" i="19"/>
  <c r="G139" i="19"/>
  <c r="H139" i="19"/>
  <c r="I139" i="19"/>
  <c r="J139" i="19"/>
  <c r="K139" i="19"/>
  <c r="M139" i="19"/>
  <c r="N139" i="19"/>
  <c r="O139" i="19"/>
  <c r="Q139" i="19"/>
  <c r="A140" i="19"/>
  <c r="B140" i="19"/>
  <c r="C140" i="19"/>
  <c r="D140" i="19"/>
  <c r="E140" i="19"/>
  <c r="F140" i="19"/>
  <c r="G140" i="19"/>
  <c r="H140" i="19"/>
  <c r="I140" i="19"/>
  <c r="J140" i="19"/>
  <c r="K140" i="19"/>
  <c r="M140" i="19"/>
  <c r="N140" i="19"/>
  <c r="O140" i="19"/>
  <c r="Q140" i="19"/>
  <c r="A141" i="19"/>
  <c r="B141" i="19"/>
  <c r="C141" i="19"/>
  <c r="D141" i="19"/>
  <c r="E141" i="19"/>
  <c r="F141" i="19"/>
  <c r="G141" i="19"/>
  <c r="H141" i="19"/>
  <c r="I141" i="19"/>
  <c r="J141" i="19"/>
  <c r="K141" i="19"/>
  <c r="M141" i="19"/>
  <c r="N141" i="19"/>
  <c r="O141" i="19"/>
  <c r="Q141" i="19"/>
  <c r="A142" i="19"/>
  <c r="B142" i="19"/>
  <c r="C142" i="19"/>
  <c r="D142" i="19"/>
  <c r="E142" i="19"/>
  <c r="F142" i="19"/>
  <c r="G142" i="19"/>
  <c r="H142" i="19"/>
  <c r="I142" i="19"/>
  <c r="J142" i="19"/>
  <c r="K142" i="19"/>
  <c r="M142" i="19"/>
  <c r="N142" i="19"/>
  <c r="O142" i="19"/>
  <c r="Q142" i="19"/>
  <c r="A143" i="19"/>
  <c r="B143" i="19"/>
  <c r="C143" i="19"/>
  <c r="E143" i="19"/>
  <c r="F143" i="19"/>
  <c r="G143" i="19"/>
  <c r="H143" i="19"/>
  <c r="I143" i="19"/>
  <c r="J143" i="19"/>
  <c r="K143" i="19"/>
  <c r="M143" i="19"/>
  <c r="N143" i="19"/>
  <c r="O143" i="19"/>
  <c r="Q143" i="19"/>
  <c r="A144" i="19"/>
  <c r="B144" i="19"/>
  <c r="C144" i="19"/>
  <c r="D144" i="19"/>
  <c r="E144" i="19"/>
  <c r="F144" i="19"/>
  <c r="G144" i="19"/>
  <c r="H144" i="19"/>
  <c r="I144" i="19"/>
  <c r="J144" i="19"/>
  <c r="K144" i="19"/>
  <c r="M144" i="19"/>
  <c r="N144" i="19"/>
  <c r="O144" i="19"/>
  <c r="Q144" i="19"/>
  <c r="A145" i="19"/>
  <c r="B145" i="19"/>
  <c r="C145" i="19"/>
  <c r="D145" i="19"/>
  <c r="E145" i="19"/>
  <c r="F145" i="19"/>
  <c r="G145" i="19"/>
  <c r="H145" i="19"/>
  <c r="I145" i="19"/>
  <c r="J145" i="19"/>
  <c r="K145" i="19"/>
  <c r="M145" i="19"/>
  <c r="N145" i="19"/>
  <c r="O145" i="19"/>
  <c r="Q145" i="19"/>
  <c r="A146" i="19"/>
  <c r="B146" i="19"/>
  <c r="C146" i="19"/>
  <c r="D146" i="19"/>
  <c r="E146" i="19"/>
  <c r="F146" i="19"/>
  <c r="G146" i="19"/>
  <c r="H146" i="19"/>
  <c r="I146" i="19"/>
  <c r="J146" i="19"/>
  <c r="K146" i="19"/>
  <c r="M146" i="19"/>
  <c r="N146" i="19"/>
  <c r="O146" i="19"/>
  <c r="Q146" i="19"/>
  <c r="A147" i="19"/>
  <c r="B147" i="19"/>
  <c r="C147" i="19"/>
  <c r="D147" i="19"/>
  <c r="E147" i="19"/>
  <c r="F147" i="19"/>
  <c r="G147" i="19"/>
  <c r="H147" i="19"/>
  <c r="I147" i="19"/>
  <c r="J147" i="19"/>
  <c r="K147" i="19"/>
  <c r="M147" i="19"/>
  <c r="N147" i="19"/>
  <c r="O147" i="19"/>
  <c r="Q147" i="19"/>
  <c r="A148" i="19"/>
  <c r="B148" i="19"/>
  <c r="C148" i="19"/>
  <c r="D148" i="19"/>
  <c r="E148" i="19"/>
  <c r="F148" i="19"/>
  <c r="G148" i="19"/>
  <c r="H148" i="19"/>
  <c r="I148" i="19"/>
  <c r="J148" i="19"/>
  <c r="K148" i="19"/>
  <c r="M148" i="19"/>
  <c r="N148" i="19"/>
  <c r="O148" i="19"/>
  <c r="Q148" i="19"/>
  <c r="A149" i="19"/>
  <c r="B149" i="19"/>
  <c r="C149" i="19"/>
  <c r="D149" i="19"/>
  <c r="E149" i="19"/>
  <c r="F149" i="19"/>
  <c r="G149" i="19"/>
  <c r="H149" i="19"/>
  <c r="I149" i="19"/>
  <c r="J149" i="19"/>
  <c r="K149" i="19"/>
  <c r="M149" i="19"/>
  <c r="N149" i="19"/>
  <c r="O149" i="19"/>
  <c r="Q149" i="19"/>
  <c r="A150" i="19"/>
  <c r="B150" i="19"/>
  <c r="C150" i="19"/>
  <c r="D150" i="19"/>
  <c r="E150" i="19"/>
  <c r="F150" i="19"/>
  <c r="G150" i="19"/>
  <c r="H150" i="19"/>
  <c r="I150" i="19"/>
  <c r="J150" i="19"/>
  <c r="K150" i="19"/>
  <c r="M150" i="19"/>
  <c r="N150" i="19"/>
  <c r="O150" i="19"/>
  <c r="Q150" i="19"/>
  <c r="A151" i="19"/>
  <c r="B151" i="19"/>
  <c r="C151" i="19"/>
  <c r="D151" i="19"/>
  <c r="E151" i="19"/>
  <c r="F151" i="19"/>
  <c r="G151" i="19"/>
  <c r="H151" i="19"/>
  <c r="I151" i="19"/>
  <c r="J151" i="19"/>
  <c r="K151" i="19"/>
  <c r="M151" i="19"/>
  <c r="N151" i="19"/>
  <c r="O151" i="19"/>
  <c r="Q151" i="19"/>
  <c r="A152" i="19"/>
  <c r="B152" i="19"/>
  <c r="C152" i="19"/>
  <c r="D152" i="19"/>
  <c r="E152" i="19"/>
  <c r="F152" i="19"/>
  <c r="G152" i="19"/>
  <c r="H152" i="19"/>
  <c r="I152" i="19"/>
  <c r="J152" i="19"/>
  <c r="K152" i="19"/>
  <c r="M152" i="19"/>
  <c r="N152" i="19"/>
  <c r="O152" i="19"/>
  <c r="Q152" i="19"/>
  <c r="A153" i="19"/>
  <c r="B153" i="19"/>
  <c r="C153" i="19"/>
  <c r="D153" i="19"/>
  <c r="E153" i="19"/>
  <c r="F153" i="19"/>
  <c r="G153" i="19"/>
  <c r="H153" i="19"/>
  <c r="I153" i="19"/>
  <c r="J153" i="19"/>
  <c r="K153" i="19"/>
  <c r="M153" i="19"/>
  <c r="N153" i="19"/>
  <c r="O153" i="19"/>
  <c r="Q153" i="19"/>
  <c r="A154" i="19"/>
  <c r="B154" i="19"/>
  <c r="C154" i="19"/>
  <c r="D154" i="19"/>
  <c r="E154" i="19"/>
  <c r="F154" i="19"/>
  <c r="G154" i="19"/>
  <c r="H154" i="19"/>
  <c r="I154" i="19"/>
  <c r="J154" i="19"/>
  <c r="K154" i="19"/>
  <c r="M154" i="19"/>
  <c r="N154" i="19"/>
  <c r="O154" i="19"/>
  <c r="Q154" i="19"/>
  <c r="A155" i="19"/>
  <c r="B155" i="19"/>
  <c r="C155" i="19"/>
  <c r="D155" i="19"/>
  <c r="E155" i="19"/>
  <c r="F155" i="19"/>
  <c r="G155" i="19"/>
  <c r="H155" i="19"/>
  <c r="I155" i="19"/>
  <c r="J155" i="19"/>
  <c r="K155" i="19"/>
  <c r="M155" i="19"/>
  <c r="N155" i="19"/>
  <c r="O155" i="19"/>
  <c r="Q155" i="19"/>
  <c r="A156" i="19"/>
  <c r="B156" i="19"/>
  <c r="C156" i="19"/>
  <c r="D156" i="19"/>
  <c r="E156" i="19"/>
  <c r="F156" i="19"/>
  <c r="G156" i="19"/>
  <c r="H156" i="19"/>
  <c r="I156" i="19"/>
  <c r="J156" i="19"/>
  <c r="K156" i="19"/>
  <c r="M156" i="19"/>
  <c r="N156" i="19"/>
  <c r="O156" i="19"/>
  <c r="Q156" i="19"/>
  <c r="A157" i="19"/>
  <c r="B157" i="19"/>
  <c r="C157" i="19"/>
  <c r="D157" i="19"/>
  <c r="E157" i="19"/>
  <c r="F157" i="19"/>
  <c r="G157" i="19"/>
  <c r="H157" i="19"/>
  <c r="I157" i="19"/>
  <c r="J157" i="19"/>
  <c r="K157" i="19"/>
  <c r="M157" i="19"/>
  <c r="N157" i="19"/>
  <c r="O157" i="19"/>
  <c r="Q157" i="19"/>
  <c r="A158" i="19"/>
  <c r="B158" i="19"/>
  <c r="C158" i="19"/>
  <c r="D158" i="19"/>
  <c r="E158" i="19"/>
  <c r="F158" i="19"/>
  <c r="G158" i="19"/>
  <c r="H158" i="19"/>
  <c r="I158" i="19"/>
  <c r="J158" i="19"/>
  <c r="K158" i="19"/>
  <c r="M158" i="19"/>
  <c r="N158" i="19"/>
  <c r="O158" i="19"/>
  <c r="Q158" i="19"/>
  <c r="A159" i="19"/>
  <c r="B159" i="19"/>
  <c r="C159" i="19"/>
  <c r="D159" i="19"/>
  <c r="E159" i="19"/>
  <c r="F159" i="19"/>
  <c r="G159" i="19"/>
  <c r="H159" i="19"/>
  <c r="I159" i="19"/>
  <c r="J159" i="19"/>
  <c r="K159" i="19"/>
  <c r="M159" i="19"/>
  <c r="N159" i="19"/>
  <c r="O159" i="19"/>
  <c r="Q159" i="19"/>
  <c r="A160" i="19"/>
  <c r="B160" i="19"/>
  <c r="C160" i="19"/>
  <c r="D160" i="19"/>
  <c r="E160" i="19"/>
  <c r="F160" i="19"/>
  <c r="G160" i="19"/>
  <c r="H160" i="19"/>
  <c r="I160" i="19"/>
  <c r="J160" i="19"/>
  <c r="K160" i="19"/>
  <c r="M160" i="19"/>
  <c r="N160" i="19"/>
  <c r="O160" i="19"/>
  <c r="Q160" i="19"/>
  <c r="A161" i="19"/>
  <c r="B161" i="19"/>
  <c r="C161" i="19"/>
  <c r="D161" i="19"/>
  <c r="E161" i="19"/>
  <c r="F161" i="19"/>
  <c r="G161" i="19"/>
  <c r="H161" i="19"/>
  <c r="I161" i="19"/>
  <c r="J161" i="19"/>
  <c r="K161" i="19"/>
  <c r="M161" i="19"/>
  <c r="N161" i="19"/>
  <c r="O161" i="19"/>
  <c r="Q161" i="19"/>
  <c r="A162" i="19"/>
  <c r="B162" i="19"/>
  <c r="C162" i="19"/>
  <c r="D162" i="19"/>
  <c r="E162" i="19"/>
  <c r="F162" i="19"/>
  <c r="G162" i="19"/>
  <c r="H162" i="19"/>
  <c r="I162" i="19"/>
  <c r="J162" i="19"/>
  <c r="K162" i="19"/>
  <c r="M162" i="19"/>
  <c r="N162" i="19"/>
  <c r="O162" i="19"/>
  <c r="Q162" i="19"/>
  <c r="A163" i="19"/>
  <c r="B163" i="19"/>
  <c r="C163" i="19"/>
  <c r="D163" i="19"/>
  <c r="E163" i="19"/>
  <c r="F163" i="19"/>
  <c r="G163" i="19"/>
  <c r="H163" i="19"/>
  <c r="I163" i="19"/>
  <c r="J163" i="19"/>
  <c r="K163" i="19"/>
  <c r="M163" i="19"/>
  <c r="N163" i="19"/>
  <c r="O163" i="19"/>
  <c r="Q163" i="19"/>
  <c r="A164" i="19"/>
  <c r="B164" i="19"/>
  <c r="C164" i="19"/>
  <c r="D164" i="19"/>
  <c r="E164" i="19"/>
  <c r="F164" i="19"/>
  <c r="G164" i="19"/>
  <c r="H164" i="19"/>
  <c r="I164" i="19"/>
  <c r="J164" i="19"/>
  <c r="K164" i="19"/>
  <c r="M164" i="19"/>
  <c r="N164" i="19"/>
  <c r="O164" i="19"/>
  <c r="Q164" i="19"/>
  <c r="A165" i="19"/>
  <c r="B165" i="19"/>
  <c r="C165" i="19"/>
  <c r="D165" i="19"/>
  <c r="E165" i="19"/>
  <c r="F165" i="19"/>
  <c r="G165" i="19"/>
  <c r="H165" i="19"/>
  <c r="I165" i="19"/>
  <c r="J165" i="19"/>
  <c r="K165" i="19"/>
  <c r="M165" i="19"/>
  <c r="N165" i="19"/>
  <c r="O165" i="19"/>
  <c r="Q165" i="19"/>
  <c r="A166" i="19"/>
  <c r="B166" i="19"/>
  <c r="C166" i="19"/>
  <c r="D166" i="19"/>
  <c r="E166" i="19"/>
  <c r="F166" i="19"/>
  <c r="G166" i="19"/>
  <c r="H166" i="19"/>
  <c r="I166" i="19"/>
  <c r="J166" i="19"/>
  <c r="K166" i="19"/>
  <c r="M166" i="19"/>
  <c r="N166" i="19"/>
  <c r="O166" i="19"/>
  <c r="Q166" i="19"/>
  <c r="A167" i="19"/>
  <c r="B167" i="19"/>
  <c r="C167" i="19"/>
  <c r="D167" i="19"/>
  <c r="E167" i="19"/>
  <c r="F167" i="19"/>
  <c r="G167" i="19"/>
  <c r="H167" i="19"/>
  <c r="I167" i="19"/>
  <c r="J167" i="19"/>
  <c r="K167" i="19"/>
  <c r="M167" i="19"/>
  <c r="N167" i="19"/>
  <c r="O167" i="19"/>
  <c r="Q167" i="19"/>
  <c r="A168" i="19"/>
  <c r="B168" i="19"/>
  <c r="C168" i="19"/>
  <c r="D168" i="19"/>
  <c r="E168" i="19"/>
  <c r="F168" i="19"/>
  <c r="G168" i="19"/>
  <c r="H168" i="19"/>
  <c r="I168" i="19"/>
  <c r="J168" i="19"/>
  <c r="K168" i="19"/>
  <c r="M168" i="19"/>
  <c r="N168" i="19"/>
  <c r="O168" i="19"/>
  <c r="Q168" i="19"/>
  <c r="A169" i="19"/>
  <c r="B169" i="19"/>
  <c r="C169" i="19"/>
  <c r="D169" i="19"/>
  <c r="E169" i="19"/>
  <c r="F169" i="19"/>
  <c r="G169" i="19"/>
  <c r="H169" i="19"/>
  <c r="I169" i="19"/>
  <c r="J169" i="19"/>
  <c r="K169" i="19"/>
  <c r="M169" i="19"/>
  <c r="N169" i="19"/>
  <c r="O169" i="19"/>
  <c r="Q169" i="19"/>
  <c r="A170" i="19"/>
  <c r="B170" i="19"/>
  <c r="C170" i="19"/>
  <c r="D170" i="19"/>
  <c r="E170" i="19"/>
  <c r="F170" i="19"/>
  <c r="G170" i="19"/>
  <c r="H170" i="19"/>
  <c r="I170" i="19"/>
  <c r="J170" i="19"/>
  <c r="K170" i="19"/>
  <c r="M170" i="19"/>
  <c r="N170" i="19"/>
  <c r="O170" i="19"/>
  <c r="Q170" i="19"/>
  <c r="A171" i="19"/>
  <c r="B171" i="19"/>
  <c r="C171" i="19"/>
  <c r="D171" i="19"/>
  <c r="E171" i="19"/>
  <c r="F171" i="19"/>
  <c r="G171" i="19"/>
  <c r="H171" i="19"/>
  <c r="I171" i="19"/>
  <c r="J171" i="19"/>
  <c r="K171" i="19"/>
  <c r="M171" i="19"/>
  <c r="N171" i="19"/>
  <c r="O171" i="19"/>
  <c r="Q171" i="19"/>
  <c r="A172" i="19"/>
  <c r="B172" i="19"/>
  <c r="C172" i="19"/>
  <c r="D172" i="19"/>
  <c r="E172" i="19"/>
  <c r="F172" i="19"/>
  <c r="G172" i="19"/>
  <c r="H172" i="19"/>
  <c r="I172" i="19"/>
  <c r="J172" i="19"/>
  <c r="K172" i="19"/>
  <c r="M172" i="19"/>
  <c r="N172" i="19"/>
  <c r="O172" i="19"/>
  <c r="Q172" i="19"/>
  <c r="A173" i="19"/>
  <c r="B173" i="19"/>
  <c r="C173" i="19"/>
  <c r="D173" i="19"/>
  <c r="E173" i="19"/>
  <c r="F173" i="19"/>
  <c r="G173" i="19"/>
  <c r="H173" i="19"/>
  <c r="I173" i="19"/>
  <c r="J173" i="19"/>
  <c r="K173" i="19"/>
  <c r="M173" i="19"/>
  <c r="N173" i="19"/>
  <c r="O173" i="19"/>
  <c r="Q173" i="19"/>
  <c r="A174" i="19"/>
  <c r="B174" i="19"/>
  <c r="C174" i="19"/>
  <c r="D174" i="19"/>
  <c r="E174" i="19"/>
  <c r="F174" i="19"/>
  <c r="G174" i="19"/>
  <c r="H174" i="19"/>
  <c r="I174" i="19"/>
  <c r="J174" i="19"/>
  <c r="K174" i="19"/>
  <c r="M174" i="19"/>
  <c r="N174" i="19"/>
  <c r="O174" i="19"/>
  <c r="Q174" i="19"/>
  <c r="A175" i="19"/>
  <c r="B175" i="19"/>
  <c r="D175" i="19"/>
  <c r="E175" i="19"/>
  <c r="F175" i="19"/>
  <c r="G175" i="19"/>
  <c r="H175" i="19"/>
  <c r="I175" i="19"/>
  <c r="J175" i="19"/>
  <c r="K175" i="19"/>
  <c r="M175" i="19"/>
  <c r="N175" i="19"/>
  <c r="O175" i="19"/>
  <c r="Q175" i="19"/>
  <c r="A176" i="19"/>
  <c r="B176" i="19"/>
  <c r="C176" i="19"/>
  <c r="D176" i="19"/>
  <c r="E176" i="19"/>
  <c r="F176" i="19"/>
  <c r="G176" i="19"/>
  <c r="H176" i="19"/>
  <c r="I176" i="19"/>
  <c r="J176" i="19"/>
  <c r="K176" i="19"/>
  <c r="M176" i="19"/>
  <c r="N176" i="19"/>
  <c r="O176" i="19"/>
  <c r="Q176" i="19"/>
  <c r="A177" i="19"/>
  <c r="B177" i="19"/>
  <c r="C177" i="19"/>
  <c r="D177" i="19"/>
  <c r="E177" i="19"/>
  <c r="F177" i="19"/>
  <c r="G177" i="19"/>
  <c r="H177" i="19"/>
  <c r="I177" i="19"/>
  <c r="J177" i="19"/>
  <c r="K177" i="19"/>
  <c r="M177" i="19"/>
  <c r="N177" i="19"/>
  <c r="N306" i="19" s="1"/>
  <c r="O177" i="19"/>
  <c r="Q177" i="19"/>
  <c r="A178" i="19"/>
  <c r="B178" i="19"/>
  <c r="C178" i="19"/>
  <c r="D178" i="19"/>
  <c r="E178" i="19"/>
  <c r="F178" i="19"/>
  <c r="F306" i="19" s="1"/>
  <c r="G178" i="19"/>
  <c r="H178" i="19"/>
  <c r="I178" i="19"/>
  <c r="J178" i="19"/>
  <c r="K178" i="19"/>
  <c r="M178" i="19"/>
  <c r="N178" i="19"/>
  <c r="O178" i="19"/>
  <c r="Q178" i="19"/>
  <c r="A179" i="19"/>
  <c r="B179" i="19"/>
  <c r="C179" i="19"/>
  <c r="D179" i="19"/>
  <c r="E179" i="19"/>
  <c r="F179" i="19"/>
  <c r="G179" i="19"/>
  <c r="G306" i="19" s="1"/>
  <c r="H179" i="19"/>
  <c r="I179" i="19"/>
  <c r="J179" i="19"/>
  <c r="K179" i="19"/>
  <c r="M179" i="19"/>
  <c r="N179" i="19"/>
  <c r="O179" i="19"/>
  <c r="Q179" i="19"/>
  <c r="A180" i="19"/>
  <c r="B180" i="19"/>
  <c r="C180" i="19"/>
  <c r="D180" i="19"/>
  <c r="E180" i="19"/>
  <c r="F180" i="19"/>
  <c r="G180" i="19"/>
  <c r="H180" i="19"/>
  <c r="H306" i="19" s="1"/>
  <c r="I180" i="19"/>
  <c r="J180" i="19"/>
  <c r="K180" i="19"/>
  <c r="M180" i="19"/>
  <c r="N180" i="19"/>
  <c r="O180" i="19"/>
  <c r="Q180" i="19"/>
  <c r="A181" i="19"/>
  <c r="B181" i="19"/>
  <c r="C181" i="19"/>
  <c r="D181" i="19"/>
  <c r="E181" i="19"/>
  <c r="F181" i="19"/>
  <c r="G181" i="19"/>
  <c r="H181" i="19"/>
  <c r="I181" i="19"/>
  <c r="I306" i="19" s="1"/>
  <c r="J181" i="19"/>
  <c r="K181" i="19"/>
  <c r="M181" i="19"/>
  <c r="N181" i="19"/>
  <c r="O181" i="19"/>
  <c r="Q181" i="19"/>
  <c r="A182" i="19"/>
  <c r="B182" i="19"/>
  <c r="B306" i="19" s="1"/>
  <c r="C182" i="19"/>
  <c r="D182" i="19"/>
  <c r="E182" i="19"/>
  <c r="F182" i="19"/>
  <c r="G182" i="19"/>
  <c r="H182" i="19"/>
  <c r="I182" i="19"/>
  <c r="J182" i="19"/>
  <c r="K182" i="19"/>
  <c r="M182" i="19"/>
  <c r="N182" i="19"/>
  <c r="O182" i="19"/>
  <c r="Q182" i="19"/>
  <c r="A183" i="19"/>
  <c r="B183" i="19"/>
  <c r="C183" i="19"/>
  <c r="D183" i="19"/>
  <c r="E183" i="19"/>
  <c r="F183" i="19"/>
  <c r="G183" i="19"/>
  <c r="H183" i="19"/>
  <c r="I183" i="19"/>
  <c r="J183" i="19"/>
  <c r="K183" i="19"/>
  <c r="K306" i="19" s="1"/>
  <c r="M183" i="19"/>
  <c r="N183" i="19"/>
  <c r="O183" i="19"/>
  <c r="Q183" i="19"/>
  <c r="A184" i="19"/>
  <c r="B184" i="19"/>
  <c r="C184" i="19"/>
  <c r="D184" i="19"/>
  <c r="E184" i="19"/>
  <c r="F184" i="19"/>
  <c r="G184" i="19"/>
  <c r="H184" i="19"/>
  <c r="I184" i="19"/>
  <c r="J184" i="19"/>
  <c r="K184" i="19"/>
  <c r="M184" i="19"/>
  <c r="N184" i="19"/>
  <c r="O184" i="19"/>
  <c r="Q184" i="19"/>
  <c r="A185" i="19"/>
  <c r="B185" i="19"/>
  <c r="C185" i="19"/>
  <c r="D185" i="19"/>
  <c r="E185" i="19"/>
  <c r="F185" i="19"/>
  <c r="G185" i="19"/>
  <c r="H185" i="19"/>
  <c r="I185" i="19"/>
  <c r="J185" i="19"/>
  <c r="K185" i="19"/>
  <c r="M185" i="19"/>
  <c r="N185" i="19"/>
  <c r="O185" i="19"/>
  <c r="Q185" i="19"/>
  <c r="A186" i="19"/>
  <c r="B186" i="19"/>
  <c r="C186" i="19"/>
  <c r="D186" i="19"/>
  <c r="E186" i="19"/>
  <c r="F186" i="19"/>
  <c r="G186" i="19"/>
  <c r="H186" i="19"/>
  <c r="I186" i="19"/>
  <c r="J186" i="19"/>
  <c r="K186" i="19"/>
  <c r="M186" i="19"/>
  <c r="N186" i="19"/>
  <c r="O186" i="19"/>
  <c r="Q186" i="19"/>
  <c r="A187" i="19"/>
  <c r="B187" i="19"/>
  <c r="C187" i="19"/>
  <c r="D187" i="19"/>
  <c r="E187" i="19"/>
  <c r="F187" i="19"/>
  <c r="G187" i="19"/>
  <c r="H187" i="19"/>
  <c r="I187" i="19"/>
  <c r="J187" i="19"/>
  <c r="K187" i="19"/>
  <c r="M187" i="19"/>
  <c r="N187" i="19"/>
  <c r="O187" i="19"/>
  <c r="Q187" i="19"/>
  <c r="A188" i="19"/>
  <c r="B188" i="19"/>
  <c r="C188" i="19"/>
  <c r="D188" i="19"/>
  <c r="E188" i="19"/>
  <c r="F188" i="19"/>
  <c r="G188" i="19"/>
  <c r="H188" i="19"/>
  <c r="I188" i="19"/>
  <c r="J188" i="19"/>
  <c r="K188" i="19"/>
  <c r="M188" i="19"/>
  <c r="N188" i="19"/>
  <c r="O188" i="19"/>
  <c r="Q188" i="19"/>
  <c r="A189" i="19"/>
  <c r="B189" i="19"/>
  <c r="C189" i="19"/>
  <c r="D189" i="19"/>
  <c r="E189" i="19"/>
  <c r="F189" i="19"/>
  <c r="G189" i="19"/>
  <c r="H189" i="19"/>
  <c r="I189" i="19"/>
  <c r="J189" i="19"/>
  <c r="K189" i="19"/>
  <c r="M189" i="19"/>
  <c r="N189" i="19"/>
  <c r="O189" i="19"/>
  <c r="Q189" i="19"/>
  <c r="A190" i="19"/>
  <c r="B190" i="19"/>
  <c r="C190" i="19"/>
  <c r="D190" i="19"/>
  <c r="E190" i="19"/>
  <c r="F190" i="19"/>
  <c r="G190" i="19"/>
  <c r="H190" i="19"/>
  <c r="I190" i="19"/>
  <c r="J190" i="19"/>
  <c r="K190" i="19"/>
  <c r="M190" i="19"/>
  <c r="N190" i="19"/>
  <c r="O190" i="19"/>
  <c r="Q190" i="19"/>
  <c r="A191" i="19"/>
  <c r="B191" i="19"/>
  <c r="C191" i="19"/>
  <c r="D191" i="19"/>
  <c r="E191" i="19"/>
  <c r="F191" i="19"/>
  <c r="G191" i="19"/>
  <c r="H191" i="19"/>
  <c r="I191" i="19"/>
  <c r="J191" i="19"/>
  <c r="K191" i="19"/>
  <c r="M191" i="19"/>
  <c r="N191" i="19"/>
  <c r="O191" i="19"/>
  <c r="Q191" i="19"/>
  <c r="A192" i="19"/>
  <c r="B192" i="19"/>
  <c r="C192" i="19"/>
  <c r="D192" i="19"/>
  <c r="E192" i="19"/>
  <c r="F192" i="19"/>
  <c r="G192" i="19"/>
  <c r="H192" i="19"/>
  <c r="I192" i="19"/>
  <c r="J192" i="19"/>
  <c r="K192" i="19"/>
  <c r="M192" i="19"/>
  <c r="N192" i="19"/>
  <c r="O192" i="19"/>
  <c r="Q192" i="19"/>
  <c r="A193" i="19"/>
  <c r="B193" i="19"/>
  <c r="C193" i="19"/>
  <c r="D193" i="19"/>
  <c r="E193" i="19"/>
  <c r="F193" i="19"/>
  <c r="G193" i="19"/>
  <c r="H193" i="19"/>
  <c r="I193" i="19"/>
  <c r="J193" i="19"/>
  <c r="K193" i="19"/>
  <c r="M193" i="19"/>
  <c r="N193" i="19"/>
  <c r="O193" i="19"/>
  <c r="Q193" i="19"/>
  <c r="A194" i="19"/>
  <c r="B194" i="19"/>
  <c r="C194" i="19"/>
  <c r="D194" i="19"/>
  <c r="E194" i="19"/>
  <c r="F194" i="19"/>
  <c r="G194" i="19"/>
  <c r="H194" i="19"/>
  <c r="I194" i="19"/>
  <c r="J194" i="19"/>
  <c r="K194" i="19"/>
  <c r="M194" i="19"/>
  <c r="N194" i="19"/>
  <c r="O194" i="19"/>
  <c r="Q194" i="19"/>
  <c r="A195" i="19"/>
  <c r="B195" i="19"/>
  <c r="C195" i="19"/>
  <c r="D195" i="19"/>
  <c r="E195" i="19"/>
  <c r="F195" i="19"/>
  <c r="G195" i="19"/>
  <c r="H195" i="19"/>
  <c r="I195" i="19"/>
  <c r="J195" i="19"/>
  <c r="K195" i="19"/>
  <c r="M195" i="19"/>
  <c r="N195" i="19"/>
  <c r="O195" i="19"/>
  <c r="Q195" i="19"/>
  <c r="A196" i="19"/>
  <c r="B196" i="19"/>
  <c r="C196" i="19"/>
  <c r="D196" i="19"/>
  <c r="E196" i="19"/>
  <c r="F196" i="19"/>
  <c r="G196" i="19"/>
  <c r="H196" i="19"/>
  <c r="I196" i="19"/>
  <c r="J196" i="19"/>
  <c r="K196" i="19"/>
  <c r="M196" i="19"/>
  <c r="N196" i="19"/>
  <c r="O196" i="19"/>
  <c r="Q196" i="19"/>
  <c r="A197" i="19"/>
  <c r="B197" i="19"/>
  <c r="C197" i="19"/>
  <c r="D197" i="19"/>
  <c r="E197" i="19"/>
  <c r="F197" i="19"/>
  <c r="G197" i="19"/>
  <c r="H197" i="19"/>
  <c r="I197" i="19"/>
  <c r="J197" i="19"/>
  <c r="K197" i="19"/>
  <c r="M197" i="19"/>
  <c r="N197" i="19"/>
  <c r="O197" i="19"/>
  <c r="Q197" i="19"/>
  <c r="A198" i="19"/>
  <c r="B198" i="19"/>
  <c r="C198" i="19"/>
  <c r="D198" i="19"/>
  <c r="E198" i="19"/>
  <c r="F198" i="19"/>
  <c r="G198" i="19"/>
  <c r="H198" i="19"/>
  <c r="I198" i="19"/>
  <c r="J198" i="19"/>
  <c r="K198" i="19"/>
  <c r="M198" i="19"/>
  <c r="N198" i="19"/>
  <c r="O198" i="19"/>
  <c r="Q198" i="19"/>
  <c r="A199" i="19"/>
  <c r="B199" i="19"/>
  <c r="C199" i="19"/>
  <c r="D199" i="19"/>
  <c r="E199" i="19"/>
  <c r="F199" i="19"/>
  <c r="G199" i="19"/>
  <c r="H199" i="19"/>
  <c r="I199" i="19"/>
  <c r="J199" i="19"/>
  <c r="K199" i="19"/>
  <c r="M199" i="19"/>
  <c r="N199" i="19"/>
  <c r="O199" i="19"/>
  <c r="Q199" i="19"/>
  <c r="A200" i="19"/>
  <c r="B200" i="19"/>
  <c r="C200" i="19"/>
  <c r="D200" i="19"/>
  <c r="E200" i="19"/>
  <c r="F200" i="19"/>
  <c r="G200" i="19"/>
  <c r="H200" i="19"/>
  <c r="I200" i="19"/>
  <c r="J200" i="19"/>
  <c r="K200" i="19"/>
  <c r="M200" i="19"/>
  <c r="N200" i="19"/>
  <c r="O200" i="19"/>
  <c r="Q200" i="19"/>
  <c r="A201" i="19"/>
  <c r="B201" i="19"/>
  <c r="C201" i="19"/>
  <c r="D201" i="19"/>
  <c r="E201" i="19"/>
  <c r="F201" i="19"/>
  <c r="G201" i="19"/>
  <c r="H201" i="19"/>
  <c r="I201" i="19"/>
  <c r="J201" i="19"/>
  <c r="K201" i="19"/>
  <c r="M201" i="19"/>
  <c r="N201" i="19"/>
  <c r="O201" i="19"/>
  <c r="Q201" i="19"/>
  <c r="A202" i="19"/>
  <c r="B202" i="19"/>
  <c r="C202" i="19"/>
  <c r="D202" i="19"/>
  <c r="E202" i="19"/>
  <c r="F202" i="19"/>
  <c r="G202" i="19"/>
  <c r="H202" i="19"/>
  <c r="I202" i="19"/>
  <c r="J202" i="19"/>
  <c r="K202" i="19"/>
  <c r="M202" i="19"/>
  <c r="N202" i="19"/>
  <c r="O202" i="19"/>
  <c r="Q202" i="19"/>
  <c r="A203" i="19"/>
  <c r="B203" i="19"/>
  <c r="C203" i="19"/>
  <c r="D203" i="19"/>
  <c r="E203" i="19"/>
  <c r="F203" i="19"/>
  <c r="G203" i="19"/>
  <c r="H203" i="19"/>
  <c r="I203" i="19"/>
  <c r="J203" i="19"/>
  <c r="K203" i="19"/>
  <c r="M203" i="19"/>
  <c r="N203" i="19"/>
  <c r="O203" i="19"/>
  <c r="Q203" i="19"/>
  <c r="A204" i="19"/>
  <c r="B204" i="19"/>
  <c r="C204" i="19"/>
  <c r="D204" i="19"/>
  <c r="E204" i="19"/>
  <c r="F204" i="19"/>
  <c r="G204" i="19"/>
  <c r="H204" i="19"/>
  <c r="I204" i="19"/>
  <c r="J204" i="19"/>
  <c r="K204" i="19"/>
  <c r="M204" i="19"/>
  <c r="N204" i="19"/>
  <c r="O204" i="19"/>
  <c r="Q204" i="19"/>
  <c r="A205" i="19"/>
  <c r="B205" i="19"/>
  <c r="C205" i="19"/>
  <c r="D205" i="19"/>
  <c r="E205" i="19"/>
  <c r="F205" i="19"/>
  <c r="G205" i="19"/>
  <c r="H205" i="19"/>
  <c r="I205" i="19"/>
  <c r="J205" i="19"/>
  <c r="K205" i="19"/>
  <c r="M205" i="19"/>
  <c r="N205" i="19"/>
  <c r="O205" i="19"/>
  <c r="Q205" i="19"/>
  <c r="A206" i="19"/>
  <c r="B206" i="19"/>
  <c r="C206" i="19"/>
  <c r="D206" i="19"/>
  <c r="E206" i="19"/>
  <c r="F206" i="19"/>
  <c r="G206" i="19"/>
  <c r="H206" i="19"/>
  <c r="I206" i="19"/>
  <c r="J206" i="19"/>
  <c r="K206" i="19"/>
  <c r="M206" i="19"/>
  <c r="N206" i="19"/>
  <c r="O206" i="19"/>
  <c r="Q206" i="19"/>
  <c r="A207" i="19"/>
  <c r="B207" i="19"/>
  <c r="C207" i="19"/>
  <c r="D207" i="19"/>
  <c r="E207" i="19"/>
  <c r="F207" i="19"/>
  <c r="G207" i="19"/>
  <c r="H207" i="19"/>
  <c r="I207" i="19"/>
  <c r="J207" i="19"/>
  <c r="K207" i="19"/>
  <c r="M207" i="19"/>
  <c r="N207" i="19"/>
  <c r="O207" i="19"/>
  <c r="Q207" i="19"/>
  <c r="A208" i="19"/>
  <c r="B208" i="19"/>
  <c r="C208" i="19"/>
  <c r="D208" i="19"/>
  <c r="E208" i="19"/>
  <c r="F208" i="19"/>
  <c r="G208" i="19"/>
  <c r="H208" i="19"/>
  <c r="I208" i="19"/>
  <c r="J208" i="19"/>
  <c r="K208" i="19"/>
  <c r="M208" i="19"/>
  <c r="N208" i="19"/>
  <c r="O208" i="19"/>
  <c r="Q208" i="19"/>
  <c r="A209" i="19"/>
  <c r="B209" i="19"/>
  <c r="C209" i="19"/>
  <c r="D209" i="19"/>
  <c r="E209" i="19"/>
  <c r="F209" i="19"/>
  <c r="G209" i="19"/>
  <c r="H209" i="19"/>
  <c r="I209" i="19"/>
  <c r="J209" i="19"/>
  <c r="K209" i="19"/>
  <c r="M209" i="19"/>
  <c r="N209" i="19"/>
  <c r="O209" i="19"/>
  <c r="Q209" i="19"/>
  <c r="A210" i="19"/>
  <c r="B210" i="19"/>
  <c r="C210" i="19"/>
  <c r="D210" i="19"/>
  <c r="E210" i="19"/>
  <c r="F210" i="19"/>
  <c r="G210" i="19"/>
  <c r="H210" i="19"/>
  <c r="I210" i="19"/>
  <c r="J210" i="19"/>
  <c r="K210" i="19"/>
  <c r="M210" i="19"/>
  <c r="N210" i="19"/>
  <c r="O210" i="19"/>
  <c r="Q210" i="19"/>
  <c r="A211" i="19"/>
  <c r="B211" i="19"/>
  <c r="C211" i="19"/>
  <c r="D211" i="19"/>
  <c r="E211" i="19"/>
  <c r="F211" i="19"/>
  <c r="G211" i="19"/>
  <c r="H211" i="19"/>
  <c r="I211" i="19"/>
  <c r="J211" i="19"/>
  <c r="K211" i="19"/>
  <c r="M211" i="19"/>
  <c r="N211" i="19"/>
  <c r="O211" i="19"/>
  <c r="Q211" i="19"/>
  <c r="A212" i="19"/>
  <c r="B212" i="19"/>
  <c r="C212" i="19"/>
  <c r="D212" i="19"/>
  <c r="E212" i="19"/>
  <c r="F212" i="19"/>
  <c r="G212" i="19"/>
  <c r="H212" i="19"/>
  <c r="I212" i="19"/>
  <c r="J212" i="19"/>
  <c r="K212" i="19"/>
  <c r="M212" i="19"/>
  <c r="N212" i="19"/>
  <c r="O212" i="19"/>
  <c r="Q212" i="19"/>
  <c r="A213" i="19"/>
  <c r="B213" i="19"/>
  <c r="C213" i="19"/>
  <c r="D213" i="19"/>
  <c r="E213" i="19"/>
  <c r="F213" i="19"/>
  <c r="G213" i="19"/>
  <c r="H213" i="19"/>
  <c r="I213" i="19"/>
  <c r="J213" i="19"/>
  <c r="K213" i="19"/>
  <c r="M213" i="19"/>
  <c r="N213" i="19"/>
  <c r="O213" i="19"/>
  <c r="Q213" i="19"/>
  <c r="A214" i="19"/>
  <c r="B214" i="19"/>
  <c r="C214" i="19"/>
  <c r="D214" i="19"/>
  <c r="E214" i="19"/>
  <c r="F214" i="19"/>
  <c r="G214" i="19"/>
  <c r="H214" i="19"/>
  <c r="I214" i="19"/>
  <c r="J214" i="19"/>
  <c r="K214" i="19"/>
  <c r="M214" i="19"/>
  <c r="N214" i="19"/>
  <c r="O214" i="19"/>
  <c r="Q214" i="19"/>
  <c r="A215" i="19"/>
  <c r="B215" i="19"/>
  <c r="C215" i="19"/>
  <c r="D215" i="19"/>
  <c r="E215" i="19"/>
  <c r="F215" i="19"/>
  <c r="G215" i="19"/>
  <c r="H215" i="19"/>
  <c r="I215" i="19"/>
  <c r="J215" i="19"/>
  <c r="K215" i="19"/>
  <c r="M215" i="19"/>
  <c r="N215" i="19"/>
  <c r="O215" i="19"/>
  <c r="Q215" i="19"/>
  <c r="A216" i="19"/>
  <c r="B216" i="19"/>
  <c r="C216" i="19"/>
  <c r="D216" i="19"/>
  <c r="E216" i="19"/>
  <c r="F216" i="19"/>
  <c r="G216" i="19"/>
  <c r="H216" i="19"/>
  <c r="I216" i="19"/>
  <c r="J216" i="19"/>
  <c r="K216" i="19"/>
  <c r="M216" i="19"/>
  <c r="N216" i="19"/>
  <c r="O216" i="19"/>
  <c r="Q216" i="19"/>
  <c r="A217" i="19"/>
  <c r="B217" i="19"/>
  <c r="C217" i="19"/>
  <c r="D217" i="19"/>
  <c r="E217" i="19"/>
  <c r="F217" i="19"/>
  <c r="G217" i="19"/>
  <c r="H217" i="19"/>
  <c r="I217" i="19"/>
  <c r="J217" i="19"/>
  <c r="K217" i="19"/>
  <c r="M217" i="19"/>
  <c r="N217" i="19"/>
  <c r="O217" i="19"/>
  <c r="Q217" i="19"/>
  <c r="A218" i="19"/>
  <c r="B218" i="19"/>
  <c r="C218" i="19"/>
  <c r="D218" i="19"/>
  <c r="E218" i="19"/>
  <c r="F218" i="19"/>
  <c r="G218" i="19"/>
  <c r="H218" i="19"/>
  <c r="I218" i="19"/>
  <c r="J218" i="19"/>
  <c r="K218" i="19"/>
  <c r="M218" i="19"/>
  <c r="N218" i="19"/>
  <c r="O218" i="19"/>
  <c r="Q218" i="19"/>
  <c r="A219" i="19"/>
  <c r="B219" i="19"/>
  <c r="C219" i="19"/>
  <c r="D219" i="19"/>
  <c r="E219" i="19"/>
  <c r="F219" i="19"/>
  <c r="G219" i="19"/>
  <c r="H219" i="19"/>
  <c r="I219" i="19"/>
  <c r="J219" i="19"/>
  <c r="K219" i="19"/>
  <c r="M219" i="19"/>
  <c r="N219" i="19"/>
  <c r="O219" i="19"/>
  <c r="Q219" i="19"/>
  <c r="A220" i="19"/>
  <c r="B220" i="19"/>
  <c r="C220" i="19"/>
  <c r="D220" i="19"/>
  <c r="E220" i="19"/>
  <c r="F220" i="19"/>
  <c r="G220" i="19"/>
  <c r="H220" i="19"/>
  <c r="I220" i="19"/>
  <c r="J220" i="19"/>
  <c r="K220" i="19"/>
  <c r="M220" i="19"/>
  <c r="N220" i="19"/>
  <c r="O220" i="19"/>
  <c r="Q220" i="19"/>
  <c r="A221" i="19"/>
  <c r="B221" i="19"/>
  <c r="C221" i="19"/>
  <c r="D221" i="19"/>
  <c r="E221" i="19"/>
  <c r="F221" i="19"/>
  <c r="G221" i="19"/>
  <c r="H221" i="19"/>
  <c r="I221" i="19"/>
  <c r="J221" i="19"/>
  <c r="K221" i="19"/>
  <c r="M221" i="19"/>
  <c r="N221" i="19"/>
  <c r="O221" i="19"/>
  <c r="Q221" i="19"/>
  <c r="A222" i="19"/>
  <c r="B222" i="19"/>
  <c r="C222" i="19"/>
  <c r="D222" i="19"/>
  <c r="E222" i="19"/>
  <c r="F222" i="19"/>
  <c r="G222" i="19"/>
  <c r="H222" i="19"/>
  <c r="I222" i="19"/>
  <c r="J222" i="19"/>
  <c r="K222" i="19"/>
  <c r="M222" i="19"/>
  <c r="N222" i="19"/>
  <c r="O222" i="19"/>
  <c r="Q222" i="19"/>
  <c r="A223" i="19"/>
  <c r="B223" i="19"/>
  <c r="C223" i="19"/>
  <c r="D223" i="19"/>
  <c r="E223" i="19"/>
  <c r="F223" i="19"/>
  <c r="G223" i="19"/>
  <c r="H223" i="19"/>
  <c r="I223" i="19"/>
  <c r="J223" i="19"/>
  <c r="K223" i="19"/>
  <c r="M223" i="19"/>
  <c r="N223" i="19"/>
  <c r="O223" i="19"/>
  <c r="Q223" i="19"/>
  <c r="A224" i="19"/>
  <c r="B224" i="19"/>
  <c r="C224" i="19"/>
  <c r="D224" i="19"/>
  <c r="E224" i="19"/>
  <c r="F224" i="19"/>
  <c r="G224" i="19"/>
  <c r="H224" i="19"/>
  <c r="I224" i="19"/>
  <c r="J224" i="19"/>
  <c r="K224" i="19"/>
  <c r="M224" i="19"/>
  <c r="N224" i="19"/>
  <c r="O224" i="19"/>
  <c r="Q224" i="19"/>
  <c r="A225" i="19"/>
  <c r="B225" i="19"/>
  <c r="C225" i="19"/>
  <c r="D225" i="19"/>
  <c r="E225" i="19"/>
  <c r="F225" i="19"/>
  <c r="G225" i="19"/>
  <c r="H225" i="19"/>
  <c r="I225" i="19"/>
  <c r="J225" i="19"/>
  <c r="K225" i="19"/>
  <c r="M225" i="19"/>
  <c r="N225" i="19"/>
  <c r="O225" i="19"/>
  <c r="Q225" i="19"/>
  <c r="A226" i="19"/>
  <c r="B226" i="19"/>
  <c r="C226" i="19"/>
  <c r="D226" i="19"/>
  <c r="E226" i="19"/>
  <c r="F226" i="19"/>
  <c r="G226" i="19"/>
  <c r="H226" i="19"/>
  <c r="I226" i="19"/>
  <c r="J226" i="19"/>
  <c r="K226" i="19"/>
  <c r="M226" i="19"/>
  <c r="N226" i="19"/>
  <c r="O226" i="19"/>
  <c r="Q226" i="19"/>
  <c r="A227" i="19"/>
  <c r="B227" i="19"/>
  <c r="C227" i="19"/>
  <c r="D227" i="19"/>
  <c r="E227" i="19"/>
  <c r="F227" i="19"/>
  <c r="G227" i="19"/>
  <c r="H227" i="19"/>
  <c r="I227" i="19"/>
  <c r="J227" i="19"/>
  <c r="K227" i="19"/>
  <c r="M227" i="19"/>
  <c r="N227" i="19"/>
  <c r="O227" i="19"/>
  <c r="Q227" i="19"/>
  <c r="A228" i="19"/>
  <c r="B228" i="19"/>
  <c r="D228" i="19"/>
  <c r="E228" i="19"/>
  <c r="F228" i="19"/>
  <c r="G228" i="19"/>
  <c r="H228" i="19"/>
  <c r="I228" i="19"/>
  <c r="J228" i="19"/>
  <c r="K228" i="19"/>
  <c r="M228" i="19"/>
  <c r="N228" i="19"/>
  <c r="O228" i="19"/>
  <c r="Q228" i="19"/>
  <c r="A229" i="19"/>
  <c r="B229" i="19"/>
  <c r="C229" i="19"/>
  <c r="D229" i="19"/>
  <c r="E229" i="19"/>
  <c r="F229" i="19"/>
  <c r="G229" i="19"/>
  <c r="H229" i="19"/>
  <c r="I229" i="19"/>
  <c r="J229" i="19"/>
  <c r="K229" i="19"/>
  <c r="M229" i="19"/>
  <c r="N229" i="19"/>
  <c r="O229" i="19"/>
  <c r="Q229" i="19"/>
  <c r="A230" i="19"/>
  <c r="B230" i="19"/>
  <c r="C230" i="19"/>
  <c r="D230" i="19"/>
  <c r="E230" i="19"/>
  <c r="F230" i="19"/>
  <c r="G230" i="19"/>
  <c r="H230" i="19"/>
  <c r="I230" i="19"/>
  <c r="J230" i="19"/>
  <c r="K230" i="19"/>
  <c r="M230" i="19"/>
  <c r="N230" i="19"/>
  <c r="O230" i="19"/>
  <c r="Q230" i="19"/>
  <c r="A231" i="19"/>
  <c r="B231" i="19"/>
  <c r="C231" i="19"/>
  <c r="D231" i="19"/>
  <c r="E231" i="19"/>
  <c r="F231" i="19"/>
  <c r="G231" i="19"/>
  <c r="H231" i="19"/>
  <c r="I231" i="19"/>
  <c r="J231" i="19"/>
  <c r="K231" i="19"/>
  <c r="M231" i="19"/>
  <c r="N231" i="19"/>
  <c r="O231" i="19"/>
  <c r="Q231" i="19"/>
  <c r="A232" i="19"/>
  <c r="B232" i="19"/>
  <c r="C232" i="19"/>
  <c r="D232" i="19"/>
  <c r="E232" i="19"/>
  <c r="F232" i="19"/>
  <c r="G232" i="19"/>
  <c r="H232" i="19"/>
  <c r="I232" i="19"/>
  <c r="J232" i="19"/>
  <c r="K232" i="19"/>
  <c r="M232" i="19"/>
  <c r="N232" i="19"/>
  <c r="O232" i="19"/>
  <c r="Q232" i="19"/>
  <c r="A233" i="19"/>
  <c r="B233" i="19"/>
  <c r="C233" i="19"/>
  <c r="D233" i="19"/>
  <c r="E233" i="19"/>
  <c r="F233" i="19"/>
  <c r="G233" i="19"/>
  <c r="H233" i="19"/>
  <c r="I233" i="19"/>
  <c r="J233" i="19"/>
  <c r="K233" i="19"/>
  <c r="M233" i="19"/>
  <c r="N233" i="19"/>
  <c r="O233" i="19"/>
  <c r="Q233" i="19"/>
  <c r="A234" i="19"/>
  <c r="B234" i="19"/>
  <c r="C234" i="19"/>
  <c r="D234" i="19"/>
  <c r="E234" i="19"/>
  <c r="F234" i="19"/>
  <c r="G234" i="19"/>
  <c r="H234" i="19"/>
  <c r="I234" i="19"/>
  <c r="J234" i="19"/>
  <c r="K234" i="19"/>
  <c r="M234" i="19"/>
  <c r="N234" i="19"/>
  <c r="O234" i="19"/>
  <c r="Q234" i="19"/>
  <c r="A235" i="19"/>
  <c r="B235" i="19"/>
  <c r="C235" i="19"/>
  <c r="D235" i="19"/>
  <c r="E235" i="19"/>
  <c r="F235" i="19"/>
  <c r="G235" i="19"/>
  <c r="H235" i="19"/>
  <c r="I235" i="19"/>
  <c r="J235" i="19"/>
  <c r="K235" i="19"/>
  <c r="M235" i="19"/>
  <c r="N235" i="19"/>
  <c r="O235" i="19"/>
  <c r="Q235" i="19"/>
  <c r="A236" i="19"/>
  <c r="B236" i="19"/>
  <c r="C236" i="19"/>
  <c r="D236" i="19"/>
  <c r="E236" i="19"/>
  <c r="F236" i="19"/>
  <c r="G236" i="19"/>
  <c r="H236" i="19"/>
  <c r="I236" i="19"/>
  <c r="J236" i="19"/>
  <c r="K236" i="19"/>
  <c r="M236" i="19"/>
  <c r="N236" i="19"/>
  <c r="O236" i="19"/>
  <c r="Q236" i="19"/>
  <c r="A237" i="19"/>
  <c r="B237" i="19"/>
  <c r="C237" i="19"/>
  <c r="D237" i="19"/>
  <c r="E237" i="19"/>
  <c r="F237" i="19"/>
  <c r="G237" i="19"/>
  <c r="H237" i="19"/>
  <c r="I237" i="19"/>
  <c r="J237" i="19"/>
  <c r="K237" i="19"/>
  <c r="M237" i="19"/>
  <c r="N237" i="19"/>
  <c r="O237" i="19"/>
  <c r="Q237" i="19"/>
  <c r="A238" i="19"/>
  <c r="B238" i="19"/>
  <c r="C238" i="19"/>
  <c r="D238" i="19"/>
  <c r="E238" i="19"/>
  <c r="F238" i="19"/>
  <c r="G238" i="19"/>
  <c r="H238" i="19"/>
  <c r="I238" i="19"/>
  <c r="J238" i="19"/>
  <c r="K238" i="19"/>
  <c r="M238" i="19"/>
  <c r="N238" i="19"/>
  <c r="O238" i="19"/>
  <c r="Q238" i="19"/>
  <c r="A239" i="19"/>
  <c r="B239" i="19"/>
  <c r="C239" i="19"/>
  <c r="D239" i="19"/>
  <c r="E239" i="19"/>
  <c r="F239" i="19"/>
  <c r="G239" i="19"/>
  <c r="H239" i="19"/>
  <c r="I239" i="19"/>
  <c r="J239" i="19"/>
  <c r="K239" i="19"/>
  <c r="M239" i="19"/>
  <c r="N239" i="19"/>
  <c r="O239" i="19"/>
  <c r="Q239" i="19"/>
  <c r="A240" i="19"/>
  <c r="B240" i="19"/>
  <c r="C240" i="19"/>
  <c r="D240" i="19"/>
  <c r="E240" i="19"/>
  <c r="F240" i="19"/>
  <c r="G240" i="19"/>
  <c r="H240" i="19"/>
  <c r="I240" i="19"/>
  <c r="J240" i="19"/>
  <c r="K240" i="19"/>
  <c r="M240" i="19"/>
  <c r="N240" i="19"/>
  <c r="O240" i="19"/>
  <c r="Q240" i="19"/>
  <c r="A241" i="19"/>
  <c r="B241" i="19"/>
  <c r="C241" i="19"/>
  <c r="D241" i="19"/>
  <c r="E241" i="19"/>
  <c r="F241" i="19"/>
  <c r="G241" i="19"/>
  <c r="H241" i="19"/>
  <c r="I241" i="19"/>
  <c r="J241" i="19"/>
  <c r="K241" i="19"/>
  <c r="M241" i="19"/>
  <c r="N241" i="19"/>
  <c r="O241" i="19"/>
  <c r="Q241" i="19"/>
  <c r="A242" i="19"/>
  <c r="B242" i="19"/>
  <c r="C242" i="19"/>
  <c r="D242" i="19"/>
  <c r="E242" i="19"/>
  <c r="F242" i="19"/>
  <c r="G242" i="19"/>
  <c r="H242" i="19"/>
  <c r="I242" i="19"/>
  <c r="J242" i="19"/>
  <c r="K242" i="19"/>
  <c r="M242" i="19"/>
  <c r="N242" i="19"/>
  <c r="O242" i="19"/>
  <c r="Q242" i="19"/>
  <c r="A243" i="19"/>
  <c r="B243" i="19"/>
  <c r="C243" i="19"/>
  <c r="D243" i="19"/>
  <c r="E243" i="19"/>
  <c r="F243" i="19"/>
  <c r="G243" i="19"/>
  <c r="H243" i="19"/>
  <c r="I243" i="19"/>
  <c r="J243" i="19"/>
  <c r="K243" i="19"/>
  <c r="M243" i="19"/>
  <c r="N243" i="19"/>
  <c r="O243" i="19"/>
  <c r="Q243" i="19"/>
  <c r="A244" i="19"/>
  <c r="B244" i="19"/>
  <c r="C244" i="19"/>
  <c r="D244" i="19"/>
  <c r="E244" i="19"/>
  <c r="F244" i="19"/>
  <c r="G244" i="19"/>
  <c r="H244" i="19"/>
  <c r="I244" i="19"/>
  <c r="J244" i="19"/>
  <c r="K244" i="19"/>
  <c r="M244" i="19"/>
  <c r="N244" i="19"/>
  <c r="O244" i="19"/>
  <c r="Q244" i="19"/>
  <c r="A245" i="19"/>
  <c r="B245" i="19"/>
  <c r="C245" i="19"/>
  <c r="D245" i="19"/>
  <c r="E245" i="19"/>
  <c r="F245" i="19"/>
  <c r="G245" i="19"/>
  <c r="H245" i="19"/>
  <c r="I245" i="19"/>
  <c r="J245" i="19"/>
  <c r="K245" i="19"/>
  <c r="M245" i="19"/>
  <c r="N245" i="19"/>
  <c r="O245" i="19"/>
  <c r="Q245" i="19"/>
  <c r="A246" i="19"/>
  <c r="B246" i="19"/>
  <c r="C246" i="19"/>
  <c r="D246" i="19"/>
  <c r="E246" i="19"/>
  <c r="F246" i="19"/>
  <c r="G246" i="19"/>
  <c r="H246" i="19"/>
  <c r="I246" i="19"/>
  <c r="J246" i="19"/>
  <c r="K246" i="19"/>
  <c r="M246" i="19"/>
  <c r="N246" i="19"/>
  <c r="O246" i="19"/>
  <c r="Q246" i="19"/>
  <c r="A247" i="19"/>
  <c r="B247" i="19"/>
  <c r="C247" i="19"/>
  <c r="D247" i="19"/>
  <c r="E247" i="19"/>
  <c r="F247" i="19"/>
  <c r="G247" i="19"/>
  <c r="H247" i="19"/>
  <c r="I247" i="19"/>
  <c r="J247" i="19"/>
  <c r="K247" i="19"/>
  <c r="M247" i="19"/>
  <c r="N247" i="19"/>
  <c r="O247" i="19"/>
  <c r="Q247" i="19"/>
  <c r="A248" i="19"/>
  <c r="B248" i="19"/>
  <c r="C248" i="19"/>
  <c r="D248" i="19"/>
  <c r="E248" i="19"/>
  <c r="F248" i="19"/>
  <c r="G248" i="19"/>
  <c r="H248" i="19"/>
  <c r="I248" i="19"/>
  <c r="J248" i="19"/>
  <c r="K248" i="19"/>
  <c r="M248" i="19"/>
  <c r="N248" i="19"/>
  <c r="O248" i="19"/>
  <c r="Q248" i="19"/>
  <c r="A249" i="19"/>
  <c r="B249" i="19"/>
  <c r="C249" i="19"/>
  <c r="D249" i="19"/>
  <c r="E249" i="19"/>
  <c r="F249" i="19"/>
  <c r="G249" i="19"/>
  <c r="H249" i="19"/>
  <c r="I249" i="19"/>
  <c r="J249" i="19"/>
  <c r="K249" i="19"/>
  <c r="M249" i="19"/>
  <c r="N249" i="19"/>
  <c r="O249" i="19"/>
  <c r="Q249" i="19"/>
  <c r="A250" i="19"/>
  <c r="B250" i="19"/>
  <c r="C250" i="19"/>
  <c r="D250" i="19"/>
  <c r="E250" i="19"/>
  <c r="F250" i="19"/>
  <c r="G250" i="19"/>
  <c r="H250" i="19"/>
  <c r="I250" i="19"/>
  <c r="J250" i="19"/>
  <c r="K250" i="19"/>
  <c r="M250" i="19"/>
  <c r="N250" i="19"/>
  <c r="O250" i="19"/>
  <c r="Q250" i="19"/>
  <c r="A251" i="19"/>
  <c r="B251" i="19"/>
  <c r="C251" i="19"/>
  <c r="D251" i="19"/>
  <c r="E251" i="19"/>
  <c r="F251" i="19"/>
  <c r="G251" i="19"/>
  <c r="H251" i="19"/>
  <c r="I251" i="19"/>
  <c r="J251" i="19"/>
  <c r="K251" i="19"/>
  <c r="M251" i="19"/>
  <c r="N251" i="19"/>
  <c r="O251" i="19"/>
  <c r="Q251" i="19"/>
  <c r="A252" i="19"/>
  <c r="B252" i="19"/>
  <c r="C252" i="19"/>
  <c r="D252" i="19"/>
  <c r="E252" i="19"/>
  <c r="F252" i="19"/>
  <c r="G252" i="19"/>
  <c r="H252" i="19"/>
  <c r="I252" i="19"/>
  <c r="J252" i="19"/>
  <c r="K252" i="19"/>
  <c r="M252" i="19"/>
  <c r="N252" i="19"/>
  <c r="O252" i="19"/>
  <c r="Q252" i="19"/>
  <c r="A253" i="19"/>
  <c r="B253" i="19"/>
  <c r="C253" i="19"/>
  <c r="D253" i="19"/>
  <c r="E253" i="19"/>
  <c r="F253" i="19"/>
  <c r="G253" i="19"/>
  <c r="H253" i="19"/>
  <c r="I253" i="19"/>
  <c r="J253" i="19"/>
  <c r="K253" i="19"/>
  <c r="M253" i="19"/>
  <c r="N253" i="19"/>
  <c r="O253" i="19"/>
  <c r="Q253" i="19"/>
  <c r="A254" i="19"/>
  <c r="B254" i="19"/>
  <c r="C254" i="19"/>
  <c r="D254" i="19"/>
  <c r="E254" i="19"/>
  <c r="F254" i="19"/>
  <c r="G254" i="19"/>
  <c r="H254" i="19"/>
  <c r="I254" i="19"/>
  <c r="J254" i="19"/>
  <c r="K254" i="19"/>
  <c r="M254" i="19"/>
  <c r="N254" i="19"/>
  <c r="O254" i="19"/>
  <c r="Q254" i="19"/>
  <c r="A255" i="19"/>
  <c r="B255" i="19"/>
  <c r="C255" i="19"/>
  <c r="D255" i="19"/>
  <c r="E255" i="19"/>
  <c r="F255" i="19"/>
  <c r="G255" i="19"/>
  <c r="H255" i="19"/>
  <c r="I255" i="19"/>
  <c r="J255" i="19"/>
  <c r="K255" i="19"/>
  <c r="M255" i="19"/>
  <c r="N255" i="19"/>
  <c r="O255" i="19"/>
  <c r="Q255" i="19"/>
  <c r="A256" i="19"/>
  <c r="B256" i="19"/>
  <c r="C256" i="19"/>
  <c r="D256" i="19"/>
  <c r="E256" i="19"/>
  <c r="F256" i="19"/>
  <c r="G256" i="19"/>
  <c r="H256" i="19"/>
  <c r="I256" i="19"/>
  <c r="J256" i="19"/>
  <c r="K256" i="19"/>
  <c r="M256" i="19"/>
  <c r="N256" i="19"/>
  <c r="O256" i="19"/>
  <c r="Q256" i="19"/>
  <c r="A257" i="19"/>
  <c r="B257" i="19"/>
  <c r="C257" i="19"/>
  <c r="D257" i="19"/>
  <c r="E257" i="19"/>
  <c r="F257" i="19"/>
  <c r="G257" i="19"/>
  <c r="H257" i="19"/>
  <c r="I257" i="19"/>
  <c r="J257" i="19"/>
  <c r="K257" i="19"/>
  <c r="M257" i="19"/>
  <c r="N257" i="19"/>
  <c r="O257" i="19"/>
  <c r="Q257" i="19"/>
  <c r="A258" i="19"/>
  <c r="B258" i="19"/>
  <c r="C258" i="19"/>
  <c r="D258" i="19"/>
  <c r="E258" i="19"/>
  <c r="F258" i="19"/>
  <c r="G258" i="19"/>
  <c r="H258" i="19"/>
  <c r="I258" i="19"/>
  <c r="J258" i="19"/>
  <c r="K258" i="19"/>
  <c r="M258" i="19"/>
  <c r="N258" i="19"/>
  <c r="O258" i="19"/>
  <c r="Q258" i="19"/>
  <c r="A259" i="19"/>
  <c r="B259" i="19"/>
  <c r="C259" i="19"/>
  <c r="D259" i="19"/>
  <c r="E259" i="19"/>
  <c r="F259" i="19"/>
  <c r="G259" i="19"/>
  <c r="H259" i="19"/>
  <c r="I259" i="19"/>
  <c r="J259" i="19"/>
  <c r="K259" i="19"/>
  <c r="M259" i="19"/>
  <c r="N259" i="19"/>
  <c r="O259" i="19"/>
  <c r="Q259" i="19"/>
  <c r="A260" i="19"/>
  <c r="B260" i="19"/>
  <c r="C260" i="19"/>
  <c r="D260" i="19"/>
  <c r="E260" i="19"/>
  <c r="F260" i="19"/>
  <c r="G260" i="19"/>
  <c r="H260" i="19"/>
  <c r="I260" i="19"/>
  <c r="J260" i="19"/>
  <c r="K260" i="19"/>
  <c r="M260" i="19"/>
  <c r="N260" i="19"/>
  <c r="O260" i="19"/>
  <c r="Q260" i="19"/>
  <c r="A261" i="19"/>
  <c r="B261" i="19"/>
  <c r="C261" i="19"/>
  <c r="E261" i="19"/>
  <c r="F261" i="19"/>
  <c r="G261" i="19"/>
  <c r="H261" i="19"/>
  <c r="I261" i="19"/>
  <c r="J261" i="19"/>
  <c r="K261" i="19"/>
  <c r="M261" i="19"/>
  <c r="N261" i="19"/>
  <c r="O261" i="19"/>
  <c r="Q261" i="19"/>
  <c r="A262" i="19"/>
  <c r="B262" i="19"/>
  <c r="C262" i="19"/>
  <c r="D262" i="19"/>
  <c r="E262" i="19"/>
  <c r="F262" i="19"/>
  <c r="G262" i="19"/>
  <c r="H262" i="19"/>
  <c r="I262" i="19"/>
  <c r="J262" i="19"/>
  <c r="K262" i="19"/>
  <c r="M262" i="19"/>
  <c r="N262" i="19"/>
  <c r="O262" i="19"/>
  <c r="Q262" i="19"/>
  <c r="A263" i="19"/>
  <c r="B263" i="19"/>
  <c r="C263" i="19"/>
  <c r="D263" i="19"/>
  <c r="E263" i="19"/>
  <c r="F263" i="19"/>
  <c r="G263" i="19"/>
  <c r="H263" i="19"/>
  <c r="I263" i="19"/>
  <c r="J263" i="19"/>
  <c r="K263" i="19"/>
  <c r="M263" i="19"/>
  <c r="N263" i="19"/>
  <c r="O263" i="19"/>
  <c r="Q263" i="19"/>
  <c r="A264" i="19"/>
  <c r="B264" i="19"/>
  <c r="C264" i="19"/>
  <c r="D264" i="19"/>
  <c r="E264" i="19"/>
  <c r="F264" i="19"/>
  <c r="G264" i="19"/>
  <c r="H264" i="19"/>
  <c r="I264" i="19"/>
  <c r="J264" i="19"/>
  <c r="K264" i="19"/>
  <c r="M264" i="19"/>
  <c r="N264" i="19"/>
  <c r="O264" i="19"/>
  <c r="Q264" i="19"/>
  <c r="A265" i="19"/>
  <c r="B265" i="19"/>
  <c r="C265" i="19"/>
  <c r="D265" i="19"/>
  <c r="E265" i="19"/>
  <c r="F265" i="19"/>
  <c r="G265" i="19"/>
  <c r="H265" i="19"/>
  <c r="I265" i="19"/>
  <c r="J265" i="19"/>
  <c r="K265" i="19"/>
  <c r="M265" i="19"/>
  <c r="N265" i="19"/>
  <c r="O265" i="19"/>
  <c r="Q265" i="19"/>
  <c r="A266" i="19"/>
  <c r="B266" i="19"/>
  <c r="C266" i="19"/>
  <c r="D266" i="19"/>
  <c r="E266" i="19"/>
  <c r="F266" i="19"/>
  <c r="G266" i="19"/>
  <c r="H266" i="19"/>
  <c r="I266" i="19"/>
  <c r="J266" i="19"/>
  <c r="K266" i="19"/>
  <c r="M266" i="19"/>
  <c r="N266" i="19"/>
  <c r="O266" i="19"/>
  <c r="Q266" i="19"/>
  <c r="A267" i="19"/>
  <c r="B267" i="19"/>
  <c r="C267" i="19"/>
  <c r="D267" i="19"/>
  <c r="E267" i="19"/>
  <c r="F267" i="19"/>
  <c r="G267" i="19"/>
  <c r="H267" i="19"/>
  <c r="I267" i="19"/>
  <c r="J267" i="19"/>
  <c r="K267" i="19"/>
  <c r="M267" i="19"/>
  <c r="N267" i="19"/>
  <c r="O267" i="19"/>
  <c r="Q267" i="19"/>
  <c r="A268" i="19"/>
  <c r="B268" i="19"/>
  <c r="C268" i="19"/>
  <c r="D268" i="19"/>
  <c r="E268" i="19"/>
  <c r="F268" i="19"/>
  <c r="G268" i="19"/>
  <c r="H268" i="19"/>
  <c r="I268" i="19"/>
  <c r="J268" i="19"/>
  <c r="K268" i="19"/>
  <c r="M268" i="19"/>
  <c r="N268" i="19"/>
  <c r="O268" i="19"/>
  <c r="Q268" i="19"/>
  <c r="A269" i="19"/>
  <c r="B269" i="19"/>
  <c r="C269" i="19"/>
  <c r="D269" i="19"/>
  <c r="E269" i="19"/>
  <c r="F269" i="19"/>
  <c r="G269" i="19"/>
  <c r="H269" i="19"/>
  <c r="I269" i="19"/>
  <c r="J269" i="19"/>
  <c r="K269" i="19"/>
  <c r="M269" i="19"/>
  <c r="N269" i="19"/>
  <c r="O269" i="19"/>
  <c r="Q269" i="19"/>
  <c r="A270" i="19"/>
  <c r="B270" i="19"/>
  <c r="C270" i="19"/>
  <c r="D270" i="19"/>
  <c r="E270" i="19"/>
  <c r="F270" i="19"/>
  <c r="G270" i="19"/>
  <c r="H270" i="19"/>
  <c r="I270" i="19"/>
  <c r="J270" i="19"/>
  <c r="K270" i="19"/>
  <c r="M270" i="19"/>
  <c r="N270" i="19"/>
  <c r="O270" i="19"/>
  <c r="Q270" i="19"/>
  <c r="A271" i="19"/>
  <c r="B271" i="19"/>
  <c r="D271" i="19"/>
  <c r="E271" i="19"/>
  <c r="F271" i="19"/>
  <c r="G271" i="19"/>
  <c r="H271" i="19"/>
  <c r="I271" i="19"/>
  <c r="J271" i="19"/>
  <c r="K271" i="19"/>
  <c r="M271" i="19"/>
  <c r="N271" i="19"/>
  <c r="O271" i="19"/>
  <c r="Q271" i="19"/>
  <c r="A272" i="19"/>
  <c r="B272" i="19"/>
  <c r="C272" i="19"/>
  <c r="D272" i="19"/>
  <c r="E272" i="19"/>
  <c r="F272" i="19"/>
  <c r="G272" i="19"/>
  <c r="H272" i="19"/>
  <c r="I272" i="19"/>
  <c r="J272" i="19"/>
  <c r="K272" i="19"/>
  <c r="M272" i="19"/>
  <c r="N272" i="19"/>
  <c r="O272" i="19"/>
  <c r="Q272" i="19"/>
  <c r="A273" i="19"/>
  <c r="B273" i="19"/>
  <c r="C273" i="19"/>
  <c r="D273" i="19"/>
  <c r="E273" i="19"/>
  <c r="F273" i="19"/>
  <c r="G273" i="19"/>
  <c r="H273" i="19"/>
  <c r="I273" i="19"/>
  <c r="J273" i="19"/>
  <c r="K273" i="19"/>
  <c r="M273" i="19"/>
  <c r="N273" i="19"/>
  <c r="O273" i="19"/>
  <c r="Q273" i="19"/>
  <c r="A274" i="19"/>
  <c r="B274" i="19"/>
  <c r="C274" i="19"/>
  <c r="D274" i="19"/>
  <c r="E274" i="19"/>
  <c r="F274" i="19"/>
  <c r="G274" i="19"/>
  <c r="H274" i="19"/>
  <c r="I274" i="19"/>
  <c r="J274" i="19"/>
  <c r="K274" i="19"/>
  <c r="M274" i="19"/>
  <c r="N274" i="19"/>
  <c r="O274" i="19"/>
  <c r="Q274" i="19"/>
  <c r="A275" i="19"/>
  <c r="B275" i="19"/>
  <c r="C275" i="19"/>
  <c r="D275" i="19"/>
  <c r="E275" i="19"/>
  <c r="F275" i="19"/>
  <c r="G275" i="19"/>
  <c r="H275" i="19"/>
  <c r="I275" i="19"/>
  <c r="J275" i="19"/>
  <c r="K275" i="19"/>
  <c r="M275" i="19"/>
  <c r="N275" i="19"/>
  <c r="O275" i="19"/>
  <c r="Q275" i="19"/>
  <c r="A276" i="19"/>
  <c r="B276" i="19"/>
  <c r="C276" i="19"/>
  <c r="D276" i="19"/>
  <c r="E276" i="19"/>
  <c r="F276" i="19"/>
  <c r="G276" i="19"/>
  <c r="H276" i="19"/>
  <c r="I276" i="19"/>
  <c r="J276" i="19"/>
  <c r="K276" i="19"/>
  <c r="M276" i="19"/>
  <c r="N276" i="19"/>
  <c r="O276" i="19"/>
  <c r="Q276" i="19"/>
  <c r="A277" i="19"/>
  <c r="B277" i="19"/>
  <c r="C277" i="19"/>
  <c r="D277" i="19"/>
  <c r="E277" i="19"/>
  <c r="F277" i="19"/>
  <c r="G277" i="19"/>
  <c r="H277" i="19"/>
  <c r="I277" i="19"/>
  <c r="J277" i="19"/>
  <c r="K277" i="19"/>
  <c r="M277" i="19"/>
  <c r="N277" i="19"/>
  <c r="O277" i="19"/>
  <c r="Q277" i="19"/>
  <c r="A278" i="19"/>
  <c r="B278" i="19"/>
  <c r="C278" i="19"/>
  <c r="D278" i="19"/>
  <c r="E278" i="19"/>
  <c r="F278" i="19"/>
  <c r="G278" i="19"/>
  <c r="H278" i="19"/>
  <c r="I278" i="19"/>
  <c r="J278" i="19"/>
  <c r="K278" i="19"/>
  <c r="M278" i="19"/>
  <c r="N278" i="19"/>
  <c r="O278" i="19"/>
  <c r="Q278" i="19"/>
  <c r="A279" i="19"/>
  <c r="B279" i="19"/>
  <c r="C279" i="19"/>
  <c r="D279" i="19"/>
  <c r="E279" i="19"/>
  <c r="F279" i="19"/>
  <c r="G279" i="19"/>
  <c r="H279" i="19"/>
  <c r="I279" i="19"/>
  <c r="J279" i="19"/>
  <c r="K279" i="19"/>
  <c r="M279" i="19"/>
  <c r="N279" i="19"/>
  <c r="O279" i="19"/>
  <c r="Q279" i="19"/>
  <c r="A280" i="19"/>
  <c r="B280" i="19"/>
  <c r="C280" i="19"/>
  <c r="D280" i="19"/>
  <c r="E280" i="19"/>
  <c r="F280" i="19"/>
  <c r="G280" i="19"/>
  <c r="H280" i="19"/>
  <c r="I280" i="19"/>
  <c r="J280" i="19"/>
  <c r="K280" i="19"/>
  <c r="M280" i="19"/>
  <c r="N280" i="19"/>
  <c r="O280" i="19"/>
  <c r="Q280" i="19"/>
  <c r="A281" i="19"/>
  <c r="B281" i="19"/>
  <c r="C281" i="19"/>
  <c r="D281" i="19"/>
  <c r="E281" i="19"/>
  <c r="F281" i="19"/>
  <c r="G281" i="19"/>
  <c r="H281" i="19"/>
  <c r="I281" i="19"/>
  <c r="J281" i="19"/>
  <c r="K281" i="19"/>
  <c r="M281" i="19"/>
  <c r="N281" i="19"/>
  <c r="O281" i="19"/>
  <c r="Q281" i="19"/>
  <c r="A282" i="19"/>
  <c r="B282" i="19"/>
  <c r="C282" i="19"/>
  <c r="D282" i="19"/>
  <c r="E282" i="19"/>
  <c r="F282" i="19"/>
  <c r="G282" i="19"/>
  <c r="H282" i="19"/>
  <c r="I282" i="19"/>
  <c r="J282" i="19"/>
  <c r="K282" i="19"/>
  <c r="M282" i="19"/>
  <c r="N282" i="19"/>
  <c r="O282" i="19"/>
  <c r="Q282" i="19"/>
  <c r="A283" i="19"/>
  <c r="B283" i="19"/>
  <c r="C283" i="19"/>
  <c r="D283" i="19"/>
  <c r="E283" i="19"/>
  <c r="F283" i="19"/>
  <c r="G283" i="19"/>
  <c r="H283" i="19"/>
  <c r="I283" i="19"/>
  <c r="J283" i="19"/>
  <c r="K283" i="19"/>
  <c r="M283" i="19"/>
  <c r="N283" i="19"/>
  <c r="O283" i="19"/>
  <c r="Q283" i="19"/>
  <c r="A284" i="19"/>
  <c r="B284" i="19"/>
  <c r="C284" i="19"/>
  <c r="D284" i="19"/>
  <c r="E284" i="19"/>
  <c r="F284" i="19"/>
  <c r="G284" i="19"/>
  <c r="H284" i="19"/>
  <c r="I284" i="19"/>
  <c r="J284" i="19"/>
  <c r="K284" i="19"/>
  <c r="M284" i="19"/>
  <c r="N284" i="19"/>
  <c r="O284" i="19"/>
  <c r="Q284" i="19"/>
  <c r="A285" i="19"/>
  <c r="B285" i="19"/>
  <c r="C285" i="19"/>
  <c r="D285" i="19"/>
  <c r="E285" i="19"/>
  <c r="F285" i="19"/>
  <c r="G285" i="19"/>
  <c r="H285" i="19"/>
  <c r="I285" i="19"/>
  <c r="J285" i="19"/>
  <c r="K285" i="19"/>
  <c r="M285" i="19"/>
  <c r="N285" i="19"/>
  <c r="O285" i="19"/>
  <c r="Q285" i="19"/>
  <c r="A286" i="19"/>
  <c r="B286" i="19"/>
  <c r="C286" i="19"/>
  <c r="D286" i="19"/>
  <c r="E286" i="19"/>
  <c r="F286" i="19"/>
  <c r="G286" i="19"/>
  <c r="H286" i="19"/>
  <c r="I286" i="19"/>
  <c r="J286" i="19"/>
  <c r="K286" i="19"/>
  <c r="M286" i="19"/>
  <c r="N286" i="19"/>
  <c r="O286" i="19"/>
  <c r="Q286" i="19"/>
  <c r="A287" i="19"/>
  <c r="B287" i="19"/>
  <c r="C287" i="19"/>
  <c r="D287" i="19"/>
  <c r="E287" i="19"/>
  <c r="F287" i="19"/>
  <c r="G287" i="19"/>
  <c r="H287" i="19"/>
  <c r="I287" i="19"/>
  <c r="J287" i="19"/>
  <c r="K287" i="19"/>
  <c r="M287" i="19"/>
  <c r="N287" i="19"/>
  <c r="O287" i="19"/>
  <c r="Q287" i="19"/>
  <c r="A288" i="19"/>
  <c r="B288" i="19"/>
  <c r="C288" i="19"/>
  <c r="D288" i="19"/>
  <c r="E288" i="19"/>
  <c r="F288" i="19"/>
  <c r="G288" i="19"/>
  <c r="H288" i="19"/>
  <c r="I288" i="19"/>
  <c r="J288" i="19"/>
  <c r="K288" i="19"/>
  <c r="M288" i="19"/>
  <c r="N288" i="19"/>
  <c r="O288" i="19"/>
  <c r="Q288" i="19"/>
  <c r="A289" i="19"/>
  <c r="B289" i="19"/>
  <c r="C289" i="19"/>
  <c r="D289" i="19"/>
  <c r="E289" i="19"/>
  <c r="F289" i="19"/>
  <c r="G289" i="19"/>
  <c r="H289" i="19"/>
  <c r="I289" i="19"/>
  <c r="J289" i="19"/>
  <c r="K289" i="19"/>
  <c r="M289" i="19"/>
  <c r="N289" i="19"/>
  <c r="O289" i="19"/>
  <c r="Q289" i="19"/>
  <c r="A290" i="19"/>
  <c r="B290" i="19"/>
  <c r="C290" i="19"/>
  <c r="D290" i="19"/>
  <c r="E290" i="19"/>
  <c r="F290" i="19"/>
  <c r="G290" i="19"/>
  <c r="H290" i="19"/>
  <c r="I290" i="19"/>
  <c r="J290" i="19"/>
  <c r="K290" i="19"/>
  <c r="M290" i="19"/>
  <c r="N290" i="19"/>
  <c r="O290" i="19"/>
  <c r="Q290" i="19"/>
  <c r="A291" i="19"/>
  <c r="B291" i="19"/>
  <c r="C291" i="19"/>
  <c r="D291" i="19"/>
  <c r="E291" i="19"/>
  <c r="F291" i="19"/>
  <c r="G291" i="19"/>
  <c r="H291" i="19"/>
  <c r="I291" i="19"/>
  <c r="J291" i="19"/>
  <c r="K291" i="19"/>
  <c r="M291" i="19"/>
  <c r="N291" i="19"/>
  <c r="O291" i="19"/>
  <c r="Q291" i="19"/>
  <c r="A292" i="19"/>
  <c r="B292" i="19"/>
  <c r="C292" i="19"/>
  <c r="D292" i="19"/>
  <c r="E292" i="19"/>
  <c r="F292" i="19"/>
  <c r="G292" i="19"/>
  <c r="H292" i="19"/>
  <c r="I292" i="19"/>
  <c r="J292" i="19"/>
  <c r="K292" i="19"/>
  <c r="M292" i="19"/>
  <c r="N292" i="19"/>
  <c r="O292" i="19"/>
  <c r="Q292" i="19"/>
  <c r="A293" i="19"/>
  <c r="B293" i="19"/>
  <c r="C293" i="19"/>
  <c r="D293" i="19"/>
  <c r="E293" i="19"/>
  <c r="F293" i="19"/>
  <c r="G293" i="19"/>
  <c r="H293" i="19"/>
  <c r="I293" i="19"/>
  <c r="J293" i="19"/>
  <c r="K293" i="19"/>
  <c r="M293" i="19"/>
  <c r="N293" i="19"/>
  <c r="O293" i="19"/>
  <c r="Q293" i="19"/>
  <c r="A294" i="19"/>
  <c r="B294" i="19"/>
  <c r="C294" i="19"/>
  <c r="D294" i="19"/>
  <c r="E294" i="19"/>
  <c r="F294" i="19"/>
  <c r="G294" i="19"/>
  <c r="H294" i="19"/>
  <c r="I294" i="19"/>
  <c r="J294" i="19"/>
  <c r="K294" i="19"/>
  <c r="M294" i="19"/>
  <c r="N294" i="19"/>
  <c r="O294" i="19"/>
  <c r="Q294" i="19"/>
  <c r="A295" i="19"/>
  <c r="B295" i="19"/>
  <c r="C295" i="19"/>
  <c r="D295" i="19"/>
  <c r="E295" i="19"/>
  <c r="F295" i="19"/>
  <c r="G295" i="19"/>
  <c r="H295" i="19"/>
  <c r="I295" i="19"/>
  <c r="J295" i="19"/>
  <c r="K295" i="19"/>
  <c r="M295" i="19"/>
  <c r="N295" i="19"/>
  <c r="O295" i="19"/>
  <c r="Q295" i="19"/>
  <c r="A296" i="19"/>
  <c r="B296" i="19"/>
  <c r="C296" i="19"/>
  <c r="D296" i="19"/>
  <c r="E296" i="19"/>
  <c r="F296" i="19"/>
  <c r="G296" i="19"/>
  <c r="H296" i="19"/>
  <c r="I296" i="19"/>
  <c r="J296" i="19"/>
  <c r="K296" i="19"/>
  <c r="M296" i="19"/>
  <c r="N296" i="19"/>
  <c r="O296" i="19"/>
  <c r="Q296" i="19"/>
  <c r="A297" i="19"/>
  <c r="B297" i="19"/>
  <c r="C297" i="19"/>
  <c r="D297" i="19"/>
  <c r="E297" i="19"/>
  <c r="F297" i="19"/>
  <c r="G297" i="19"/>
  <c r="H297" i="19"/>
  <c r="I297" i="19"/>
  <c r="J297" i="19"/>
  <c r="K297" i="19"/>
  <c r="M297" i="19"/>
  <c r="N297" i="19"/>
  <c r="O297" i="19"/>
  <c r="Q297" i="19"/>
  <c r="A298" i="19"/>
  <c r="B298" i="19"/>
  <c r="C298" i="19"/>
  <c r="D298" i="19"/>
  <c r="E298" i="19"/>
  <c r="F298" i="19"/>
  <c r="G298" i="19"/>
  <c r="H298" i="19"/>
  <c r="I298" i="19"/>
  <c r="J298" i="19"/>
  <c r="K298" i="19"/>
  <c r="M298" i="19"/>
  <c r="N298" i="19"/>
  <c r="O298" i="19"/>
  <c r="Q298" i="19"/>
  <c r="A299" i="19"/>
  <c r="B299" i="19"/>
  <c r="C299" i="19"/>
  <c r="D299" i="19"/>
  <c r="E299" i="19"/>
  <c r="F299" i="19"/>
  <c r="G299" i="19"/>
  <c r="H299" i="19"/>
  <c r="I299" i="19"/>
  <c r="J299" i="19"/>
  <c r="K299" i="19"/>
  <c r="M299" i="19"/>
  <c r="N299" i="19"/>
  <c r="O299" i="19"/>
  <c r="Q299" i="19"/>
  <c r="A300" i="19"/>
  <c r="B300" i="19"/>
  <c r="C300" i="19"/>
  <c r="D300" i="19"/>
  <c r="E300" i="19"/>
  <c r="F300" i="19"/>
  <c r="G300" i="19"/>
  <c r="H300" i="19"/>
  <c r="I300" i="19"/>
  <c r="J300" i="19"/>
  <c r="K300" i="19"/>
  <c r="M300" i="19"/>
  <c r="N300" i="19"/>
  <c r="O300" i="19"/>
  <c r="Q300" i="19"/>
  <c r="A301" i="19"/>
  <c r="B301" i="19"/>
  <c r="C301" i="19"/>
  <c r="D301" i="19"/>
  <c r="E301" i="19"/>
  <c r="F301" i="19"/>
  <c r="G301" i="19"/>
  <c r="H301" i="19"/>
  <c r="I301" i="19"/>
  <c r="J301" i="19"/>
  <c r="K301" i="19"/>
  <c r="M301" i="19"/>
  <c r="N301" i="19"/>
  <c r="O301" i="19"/>
  <c r="Q301" i="19"/>
  <c r="C300" i="25" s="1"/>
  <c r="A302" i="19"/>
  <c r="B302" i="19"/>
  <c r="C302" i="19"/>
  <c r="D302" i="19"/>
  <c r="E302" i="19"/>
  <c r="F302" i="19"/>
  <c r="G302" i="19"/>
  <c r="H302" i="19"/>
  <c r="I302" i="19"/>
  <c r="J302" i="19"/>
  <c r="K302" i="19"/>
  <c r="M302" i="19"/>
  <c r="N302" i="19"/>
  <c r="O302" i="19"/>
  <c r="Q302" i="19"/>
  <c r="A303" i="19"/>
  <c r="B303" i="19"/>
  <c r="C303" i="19"/>
  <c r="D303" i="19"/>
  <c r="E303" i="19"/>
  <c r="F303" i="19"/>
  <c r="G303" i="19"/>
  <c r="H303" i="19"/>
  <c r="I303" i="19"/>
  <c r="J303" i="19"/>
  <c r="K303" i="19"/>
  <c r="M303" i="19"/>
  <c r="N303" i="19"/>
  <c r="O303" i="19"/>
  <c r="Q303" i="19"/>
  <c r="A304" i="19"/>
  <c r="B304" i="19"/>
  <c r="C304" i="19"/>
  <c r="D304" i="19"/>
  <c r="E304" i="19"/>
  <c r="F304" i="19"/>
  <c r="G304" i="19"/>
  <c r="H304" i="19"/>
  <c r="I304" i="19"/>
  <c r="J304" i="19"/>
  <c r="K304" i="19"/>
  <c r="M304" i="19"/>
  <c r="N304" i="19"/>
  <c r="O304" i="19"/>
  <c r="Q304" i="19"/>
  <c r="A305" i="19"/>
  <c r="B305" i="19"/>
  <c r="C305" i="19"/>
  <c r="D305" i="19"/>
  <c r="E305" i="19"/>
  <c r="F305" i="19"/>
  <c r="G305" i="19"/>
  <c r="H305" i="19"/>
  <c r="I305" i="19"/>
  <c r="J305" i="19"/>
  <c r="K305" i="19"/>
  <c r="M305" i="19"/>
  <c r="N305" i="19"/>
  <c r="O305" i="19"/>
  <c r="Q305" i="19"/>
  <c r="C271" i="19"/>
  <c r="A7" i="54"/>
  <c r="B7" i="54"/>
  <c r="A8" i="54"/>
  <c r="B8" i="54"/>
  <c r="A9" i="54"/>
  <c r="B9" i="54"/>
  <c r="A10" i="54"/>
  <c r="B10" i="54"/>
  <c r="A11" i="54"/>
  <c r="B11" i="54"/>
  <c r="A12" i="54"/>
  <c r="B12" i="54"/>
  <c r="A13" i="54"/>
  <c r="B13" i="54"/>
  <c r="A14" i="54"/>
  <c r="B14" i="54"/>
  <c r="A15" i="54"/>
  <c r="B15" i="54"/>
  <c r="A16" i="54"/>
  <c r="B16" i="54"/>
  <c r="A17" i="54"/>
  <c r="B17" i="54"/>
  <c r="A18" i="54"/>
  <c r="B18" i="54"/>
  <c r="A19" i="54"/>
  <c r="B19" i="54"/>
  <c r="A20" i="54"/>
  <c r="B20" i="54"/>
  <c r="A21" i="54"/>
  <c r="B21" i="54"/>
  <c r="A22" i="54"/>
  <c r="B22" i="54"/>
  <c r="A23" i="54"/>
  <c r="B23" i="54"/>
  <c r="A24" i="54"/>
  <c r="B24" i="54"/>
  <c r="A25" i="54"/>
  <c r="B25" i="54"/>
  <c r="A26" i="54"/>
  <c r="B26" i="54"/>
  <c r="A27" i="54"/>
  <c r="B27" i="54"/>
  <c r="A28" i="54"/>
  <c r="B28" i="54"/>
  <c r="A29" i="54"/>
  <c r="B29" i="54"/>
  <c r="A30" i="54"/>
  <c r="B30" i="54"/>
  <c r="A31" i="54"/>
  <c r="B31" i="54"/>
  <c r="A32" i="54"/>
  <c r="B32" i="54"/>
  <c r="A33" i="54"/>
  <c r="B33" i="54"/>
  <c r="A34" i="54"/>
  <c r="B34" i="54"/>
  <c r="A35" i="54"/>
  <c r="B35" i="54"/>
  <c r="A36" i="54"/>
  <c r="B36" i="54"/>
  <c r="A37" i="54"/>
  <c r="B37" i="54"/>
  <c r="A38" i="54"/>
  <c r="B38" i="54"/>
  <c r="A39" i="54"/>
  <c r="B39" i="54"/>
  <c r="A40" i="54"/>
  <c r="B40" i="54"/>
  <c r="A41" i="54"/>
  <c r="B41" i="54"/>
  <c r="A42" i="54"/>
  <c r="B42" i="54"/>
  <c r="A43" i="54"/>
  <c r="B43" i="54"/>
  <c r="A44" i="54"/>
  <c r="B44" i="54"/>
  <c r="A45" i="54"/>
  <c r="B45" i="54"/>
  <c r="A46" i="54"/>
  <c r="B46" i="54"/>
  <c r="A47" i="54"/>
  <c r="B47" i="54"/>
  <c r="A48" i="54"/>
  <c r="B48" i="54"/>
  <c r="A49" i="54"/>
  <c r="B49" i="54"/>
  <c r="A50" i="54"/>
  <c r="B50" i="54"/>
  <c r="A51" i="54"/>
  <c r="B51" i="54"/>
  <c r="A52" i="54"/>
  <c r="B52" i="54"/>
  <c r="A53" i="54"/>
  <c r="B53" i="54"/>
  <c r="A54" i="54"/>
  <c r="B54" i="54"/>
  <c r="A55" i="54"/>
  <c r="B55" i="54"/>
  <c r="A56" i="54"/>
  <c r="B56" i="54"/>
  <c r="A57" i="54"/>
  <c r="B57" i="54"/>
  <c r="A58" i="54"/>
  <c r="B58" i="54"/>
  <c r="A59" i="54"/>
  <c r="B59" i="54"/>
  <c r="A60" i="54"/>
  <c r="B60" i="54"/>
  <c r="A61" i="54"/>
  <c r="B61" i="54"/>
  <c r="A62" i="54"/>
  <c r="B62" i="54"/>
  <c r="A63" i="54"/>
  <c r="B63" i="54"/>
  <c r="A64" i="54"/>
  <c r="B64" i="54"/>
  <c r="A65" i="54"/>
  <c r="B65" i="54"/>
  <c r="A66" i="54"/>
  <c r="B66" i="54"/>
  <c r="A67" i="54"/>
  <c r="B67" i="54"/>
  <c r="A68" i="54"/>
  <c r="B68" i="54"/>
  <c r="A69" i="54"/>
  <c r="B69" i="54"/>
  <c r="A70" i="54"/>
  <c r="B70" i="54"/>
  <c r="A71" i="54"/>
  <c r="B71" i="54"/>
  <c r="A72" i="54"/>
  <c r="B72" i="54"/>
  <c r="A73" i="54"/>
  <c r="B73" i="54"/>
  <c r="A74" i="54"/>
  <c r="B74" i="54"/>
  <c r="A75" i="54"/>
  <c r="B75" i="54"/>
  <c r="A76" i="54"/>
  <c r="B76" i="54"/>
  <c r="A77" i="54"/>
  <c r="B77" i="54"/>
  <c r="A78" i="54"/>
  <c r="B78" i="54"/>
  <c r="A79" i="54"/>
  <c r="B79" i="54"/>
  <c r="A80" i="54"/>
  <c r="B80" i="54"/>
  <c r="A81" i="54"/>
  <c r="B81" i="54"/>
  <c r="A82" i="54"/>
  <c r="B82" i="54"/>
  <c r="A83" i="54"/>
  <c r="B83" i="54"/>
  <c r="A84" i="54"/>
  <c r="B84" i="54"/>
  <c r="A85" i="54"/>
  <c r="B85" i="54"/>
  <c r="A86" i="54"/>
  <c r="B86" i="54"/>
  <c r="A87" i="54"/>
  <c r="B87" i="54"/>
  <c r="A88" i="54"/>
  <c r="B88" i="54"/>
  <c r="A89" i="54"/>
  <c r="B89" i="54"/>
  <c r="A90" i="54"/>
  <c r="B90" i="54"/>
  <c r="A91" i="54"/>
  <c r="B91" i="54"/>
  <c r="A92" i="54"/>
  <c r="B92" i="54"/>
  <c r="A93" i="54"/>
  <c r="B93" i="54"/>
  <c r="A94" i="54"/>
  <c r="B94" i="54"/>
  <c r="A95" i="54"/>
  <c r="B95" i="54"/>
  <c r="A96" i="54"/>
  <c r="B96" i="54"/>
  <c r="A97" i="54"/>
  <c r="B97" i="54"/>
  <c r="A98" i="54"/>
  <c r="B98" i="54"/>
  <c r="A99" i="54"/>
  <c r="B99" i="54"/>
  <c r="A100" i="54"/>
  <c r="B100" i="54"/>
  <c r="A101" i="54"/>
  <c r="B101" i="54"/>
  <c r="A102" i="54"/>
  <c r="B102" i="54"/>
  <c r="A103" i="54"/>
  <c r="B103" i="54"/>
  <c r="A104" i="54"/>
  <c r="B104" i="54"/>
  <c r="A105" i="54"/>
  <c r="B105" i="54"/>
  <c r="A106" i="54"/>
  <c r="B106" i="54"/>
  <c r="A107" i="54"/>
  <c r="B107" i="54"/>
  <c r="A108" i="54"/>
  <c r="B108" i="54"/>
  <c r="A109" i="54"/>
  <c r="B109" i="54"/>
  <c r="A110" i="54"/>
  <c r="B110" i="54"/>
  <c r="A111" i="54"/>
  <c r="B111" i="54"/>
  <c r="A112" i="54"/>
  <c r="B112" i="54"/>
  <c r="A113" i="54"/>
  <c r="B113" i="54"/>
  <c r="A114" i="54"/>
  <c r="B114" i="54"/>
  <c r="A115" i="54"/>
  <c r="B115" i="54"/>
  <c r="A116" i="54"/>
  <c r="B116" i="54"/>
  <c r="A117" i="54"/>
  <c r="B117" i="54"/>
  <c r="A118" i="54"/>
  <c r="B118" i="54"/>
  <c r="A119" i="54"/>
  <c r="B119" i="54"/>
  <c r="A120" i="54"/>
  <c r="B120" i="54"/>
  <c r="A121" i="54"/>
  <c r="B121" i="54"/>
  <c r="A122" i="54"/>
  <c r="B122" i="54"/>
  <c r="A123" i="54"/>
  <c r="B123" i="54"/>
  <c r="A124" i="54"/>
  <c r="B124" i="54"/>
  <c r="A125" i="54"/>
  <c r="B125" i="54"/>
  <c r="A126" i="54"/>
  <c r="B126" i="54"/>
  <c r="A127" i="54"/>
  <c r="B127" i="54"/>
  <c r="A128" i="54"/>
  <c r="B128" i="54"/>
  <c r="A129" i="54"/>
  <c r="B129" i="54"/>
  <c r="A130" i="54"/>
  <c r="B130" i="54"/>
  <c r="A131" i="54"/>
  <c r="B131" i="54"/>
  <c r="A132" i="54"/>
  <c r="B132" i="54"/>
  <c r="A133" i="54"/>
  <c r="B133" i="54"/>
  <c r="A134" i="54"/>
  <c r="B134" i="54"/>
  <c r="A135" i="54"/>
  <c r="B135" i="54"/>
  <c r="A136" i="54"/>
  <c r="B136" i="54"/>
  <c r="A137" i="54"/>
  <c r="B137" i="54"/>
  <c r="A138" i="54"/>
  <c r="B138" i="54"/>
  <c r="A139" i="54"/>
  <c r="B139" i="54"/>
  <c r="A140" i="54"/>
  <c r="B140" i="54"/>
  <c r="A141" i="54"/>
  <c r="B141" i="54"/>
  <c r="A142" i="54"/>
  <c r="B142" i="54"/>
  <c r="A143" i="54"/>
  <c r="B143" i="54"/>
  <c r="A144" i="54"/>
  <c r="B144" i="54"/>
  <c r="A145" i="54"/>
  <c r="B145" i="54"/>
  <c r="A146" i="54"/>
  <c r="B146" i="54"/>
  <c r="A147" i="54"/>
  <c r="B147" i="54"/>
  <c r="A148" i="54"/>
  <c r="B148" i="54"/>
  <c r="A149" i="54"/>
  <c r="B149" i="54"/>
  <c r="A150" i="54"/>
  <c r="B150" i="54"/>
  <c r="A151" i="54"/>
  <c r="B151" i="54"/>
  <c r="A152" i="54"/>
  <c r="B152" i="54"/>
  <c r="A153" i="54"/>
  <c r="B153" i="54"/>
  <c r="A154" i="54"/>
  <c r="B154" i="54"/>
  <c r="A155" i="54"/>
  <c r="B155" i="54"/>
  <c r="A156" i="54"/>
  <c r="B156" i="54"/>
  <c r="A157" i="54"/>
  <c r="B157" i="54"/>
  <c r="A158" i="54"/>
  <c r="B158" i="54"/>
  <c r="A159" i="54"/>
  <c r="B159" i="54"/>
  <c r="A160" i="54"/>
  <c r="B160" i="54"/>
  <c r="A161" i="54"/>
  <c r="B161" i="54"/>
  <c r="A162" i="54"/>
  <c r="B162" i="54"/>
  <c r="A163" i="54"/>
  <c r="B163" i="54"/>
  <c r="A164" i="54"/>
  <c r="B164" i="54"/>
  <c r="A165" i="54"/>
  <c r="B165" i="54"/>
  <c r="A166" i="54"/>
  <c r="B166" i="54"/>
  <c r="A167" i="54"/>
  <c r="B167" i="54"/>
  <c r="A168" i="54"/>
  <c r="B168" i="54"/>
  <c r="A169" i="54"/>
  <c r="B169" i="54"/>
  <c r="A170" i="54"/>
  <c r="B170" i="54"/>
  <c r="A171" i="54"/>
  <c r="B171" i="54"/>
  <c r="A172" i="54"/>
  <c r="B172" i="54"/>
  <c r="A173" i="54"/>
  <c r="B173" i="54"/>
  <c r="A174" i="54"/>
  <c r="B174" i="54"/>
  <c r="A175" i="54"/>
  <c r="B175" i="54"/>
  <c r="A176" i="54"/>
  <c r="B176" i="54"/>
  <c r="A177" i="54"/>
  <c r="B177" i="54"/>
  <c r="A178" i="54"/>
  <c r="B178" i="54"/>
  <c r="A179" i="54"/>
  <c r="B179" i="54"/>
  <c r="A180" i="54"/>
  <c r="B180" i="54"/>
  <c r="A181" i="54"/>
  <c r="B181" i="54"/>
  <c r="A182" i="54"/>
  <c r="B182" i="54"/>
  <c r="A183" i="54"/>
  <c r="B183" i="54"/>
  <c r="A184" i="54"/>
  <c r="B184" i="54"/>
  <c r="A185" i="54"/>
  <c r="B185" i="54"/>
  <c r="A186" i="54"/>
  <c r="B186" i="54"/>
  <c r="A187" i="54"/>
  <c r="B187" i="54"/>
  <c r="A188" i="54"/>
  <c r="B188" i="54"/>
  <c r="A189" i="54"/>
  <c r="B189" i="54"/>
  <c r="A190" i="54"/>
  <c r="B190" i="54"/>
  <c r="A191" i="54"/>
  <c r="B191" i="54"/>
  <c r="A192" i="54"/>
  <c r="B192" i="54"/>
  <c r="A193" i="54"/>
  <c r="B193" i="54"/>
  <c r="A194" i="54"/>
  <c r="B194" i="54"/>
  <c r="A195" i="54"/>
  <c r="B195" i="54"/>
  <c r="A196" i="54"/>
  <c r="B196" i="54"/>
  <c r="A197" i="54"/>
  <c r="B197" i="54"/>
  <c r="A198" i="54"/>
  <c r="B198" i="54"/>
  <c r="A199" i="54"/>
  <c r="B199" i="54"/>
  <c r="A200" i="54"/>
  <c r="B200" i="54"/>
  <c r="A201" i="54"/>
  <c r="B201" i="54"/>
  <c r="A202" i="54"/>
  <c r="B202" i="54"/>
  <c r="A203" i="54"/>
  <c r="B203" i="54"/>
  <c r="A204" i="54"/>
  <c r="B204" i="54"/>
  <c r="A205" i="54"/>
  <c r="B205" i="54"/>
  <c r="A206" i="54"/>
  <c r="B206" i="54"/>
  <c r="A207" i="54"/>
  <c r="B207" i="54"/>
  <c r="A208" i="54"/>
  <c r="B208" i="54"/>
  <c r="A209" i="54"/>
  <c r="B209" i="54"/>
  <c r="A210" i="54"/>
  <c r="B210" i="54"/>
  <c r="A211" i="54"/>
  <c r="B211" i="54"/>
  <c r="A212" i="54"/>
  <c r="B212" i="54"/>
  <c r="A213" i="54"/>
  <c r="B213" i="54"/>
  <c r="A214" i="54"/>
  <c r="B214" i="54"/>
  <c r="A215" i="54"/>
  <c r="B215" i="54"/>
  <c r="A216" i="54"/>
  <c r="B216" i="54"/>
  <c r="A217" i="54"/>
  <c r="B217" i="54"/>
  <c r="A218" i="54"/>
  <c r="B218" i="54"/>
  <c r="A219" i="54"/>
  <c r="B219" i="54"/>
  <c r="A220" i="54"/>
  <c r="B220" i="54"/>
  <c r="A221" i="54"/>
  <c r="B221" i="54"/>
  <c r="A222" i="54"/>
  <c r="B222" i="54"/>
  <c r="A223" i="54"/>
  <c r="B223" i="54"/>
  <c r="A224" i="54"/>
  <c r="B224" i="54"/>
  <c r="A225" i="54"/>
  <c r="B225" i="54"/>
  <c r="A226" i="54"/>
  <c r="B226" i="54"/>
  <c r="A227" i="54"/>
  <c r="B227" i="54"/>
  <c r="A228" i="54"/>
  <c r="B228" i="54"/>
  <c r="A229" i="54"/>
  <c r="B229" i="54"/>
  <c r="A230" i="54"/>
  <c r="B230" i="54"/>
  <c r="A231" i="54"/>
  <c r="B231" i="54"/>
  <c r="A232" i="54"/>
  <c r="B232" i="54"/>
  <c r="A233" i="54"/>
  <c r="B233" i="54"/>
  <c r="A234" i="54"/>
  <c r="B234" i="54"/>
  <c r="A235" i="54"/>
  <c r="B235" i="54"/>
  <c r="A236" i="54"/>
  <c r="B236" i="54"/>
  <c r="A237" i="54"/>
  <c r="B237" i="54"/>
  <c r="A238" i="54"/>
  <c r="B238" i="54"/>
  <c r="A239" i="54"/>
  <c r="B239" i="54"/>
  <c r="A240" i="54"/>
  <c r="B240" i="54"/>
  <c r="A241" i="54"/>
  <c r="B241" i="54"/>
  <c r="A242" i="54"/>
  <c r="B242" i="54"/>
  <c r="A243" i="54"/>
  <c r="B243" i="54"/>
  <c r="A244" i="54"/>
  <c r="B244" i="54"/>
  <c r="A245" i="54"/>
  <c r="B245" i="54"/>
  <c r="A246" i="54"/>
  <c r="B246" i="54"/>
  <c r="A247" i="54"/>
  <c r="B247" i="54"/>
  <c r="A248" i="54"/>
  <c r="B248" i="54"/>
  <c r="A249" i="54"/>
  <c r="B249" i="54"/>
  <c r="A250" i="54"/>
  <c r="B250" i="54"/>
  <c r="A251" i="54"/>
  <c r="B251" i="54"/>
  <c r="A252" i="54"/>
  <c r="B252" i="54"/>
  <c r="A253" i="54"/>
  <c r="B253" i="54"/>
  <c r="A254" i="54"/>
  <c r="B254" i="54"/>
  <c r="A255" i="54"/>
  <c r="B255" i="54"/>
  <c r="A256" i="54"/>
  <c r="B256" i="54"/>
  <c r="A257" i="54"/>
  <c r="B257" i="54"/>
  <c r="A258" i="54"/>
  <c r="B258" i="54"/>
  <c r="A259" i="54"/>
  <c r="B259" i="54"/>
  <c r="A260" i="54"/>
  <c r="B260" i="54"/>
  <c r="A261" i="54"/>
  <c r="B261" i="54"/>
  <c r="A262" i="54"/>
  <c r="B262" i="54"/>
  <c r="A263" i="54"/>
  <c r="B263" i="54"/>
  <c r="A264" i="54"/>
  <c r="B264" i="54"/>
  <c r="A265" i="54"/>
  <c r="B265" i="54"/>
  <c r="A266" i="54"/>
  <c r="B266" i="54"/>
  <c r="A267" i="54"/>
  <c r="B267" i="54"/>
  <c r="A268" i="54"/>
  <c r="B268" i="54"/>
  <c r="A269" i="54"/>
  <c r="B269" i="54"/>
  <c r="A270" i="54"/>
  <c r="B270" i="54"/>
  <c r="A271" i="54"/>
  <c r="B271" i="54"/>
  <c r="A272" i="54"/>
  <c r="B272" i="54"/>
  <c r="A273" i="54"/>
  <c r="B273" i="54"/>
  <c r="A274" i="54"/>
  <c r="B274" i="54"/>
  <c r="A275" i="54"/>
  <c r="B275" i="54"/>
  <c r="A276" i="54"/>
  <c r="B276" i="54"/>
  <c r="A277" i="54"/>
  <c r="B277" i="54"/>
  <c r="A278" i="54"/>
  <c r="B278" i="54"/>
  <c r="A279" i="54"/>
  <c r="B279" i="54"/>
  <c r="A280" i="54"/>
  <c r="B280" i="54"/>
  <c r="A281" i="54"/>
  <c r="B281" i="54"/>
  <c r="A282" i="54"/>
  <c r="B282" i="54"/>
  <c r="A283" i="54"/>
  <c r="B283" i="54"/>
  <c r="A284" i="54"/>
  <c r="B284" i="54"/>
  <c r="A285" i="54"/>
  <c r="B285" i="54"/>
  <c r="A286" i="54"/>
  <c r="B286" i="54"/>
  <c r="A287" i="54"/>
  <c r="B287" i="54"/>
  <c r="A288" i="54"/>
  <c r="B288" i="54"/>
  <c r="A289" i="54"/>
  <c r="B289" i="54"/>
  <c r="A290" i="54"/>
  <c r="B290" i="54"/>
  <c r="A291" i="54"/>
  <c r="B291" i="54"/>
  <c r="A292" i="54"/>
  <c r="B292" i="54"/>
  <c r="A293" i="54"/>
  <c r="B293" i="54"/>
  <c r="A294" i="54"/>
  <c r="B294" i="54"/>
  <c r="A295" i="54"/>
  <c r="B295" i="54"/>
  <c r="A296" i="54"/>
  <c r="B296" i="54"/>
  <c r="A297" i="54"/>
  <c r="B297" i="54"/>
  <c r="A298" i="54"/>
  <c r="B298" i="54"/>
  <c r="A299" i="54"/>
  <c r="B299" i="54"/>
  <c r="A300" i="54"/>
  <c r="B300" i="54"/>
  <c r="A301" i="54"/>
  <c r="B301" i="54"/>
  <c r="A302" i="54"/>
  <c r="B302" i="54"/>
  <c r="A303" i="54"/>
  <c r="B303" i="54"/>
  <c r="A304" i="54"/>
  <c r="B304" i="54"/>
  <c r="A305" i="54"/>
  <c r="B305" i="54"/>
  <c r="AL7" i="42"/>
  <c r="AL8" i="42"/>
  <c r="AL10" i="42"/>
  <c r="AL11" i="42"/>
  <c r="AL12" i="42"/>
  <c r="AL13" i="42"/>
  <c r="AL14" i="42"/>
  <c r="AL15" i="42"/>
  <c r="AL16" i="42"/>
  <c r="AL17" i="42"/>
  <c r="AL18" i="42"/>
  <c r="AL19" i="42"/>
  <c r="AL20" i="42"/>
  <c r="AL21" i="42"/>
  <c r="AL22" i="42"/>
  <c r="AL23" i="42"/>
  <c r="AL24" i="42"/>
  <c r="AL25" i="42"/>
  <c r="AL26" i="42"/>
  <c r="AL27" i="42"/>
  <c r="AL28" i="42"/>
  <c r="AL29" i="42"/>
  <c r="AL30" i="42"/>
  <c r="AL31" i="42"/>
  <c r="AL32" i="42"/>
  <c r="AL33" i="42"/>
  <c r="AL34" i="42"/>
  <c r="AL35" i="42"/>
  <c r="AL36" i="42"/>
  <c r="AL37" i="42"/>
  <c r="AL38" i="42"/>
  <c r="AL39" i="42"/>
  <c r="AL40" i="42"/>
  <c r="AL41" i="42"/>
  <c r="AL42" i="42"/>
  <c r="AL43" i="42"/>
  <c r="AL44" i="42"/>
  <c r="AL45" i="42"/>
  <c r="AL46" i="42"/>
  <c r="AL47" i="42"/>
  <c r="AL48" i="42"/>
  <c r="AL49" i="42"/>
  <c r="AL50" i="42"/>
  <c r="AL51" i="42"/>
  <c r="AL52" i="42"/>
  <c r="AL53" i="42"/>
  <c r="AL54" i="42"/>
  <c r="AL55" i="42"/>
  <c r="AL56" i="42"/>
  <c r="AL57" i="42"/>
  <c r="AL58" i="42"/>
  <c r="AL59" i="42"/>
  <c r="AL60" i="42"/>
  <c r="AL61" i="42"/>
  <c r="AL62" i="42"/>
  <c r="AL63" i="42"/>
  <c r="AL64" i="42"/>
  <c r="AL65" i="42"/>
  <c r="AL66" i="42"/>
  <c r="AL67" i="42"/>
  <c r="AL70" i="42"/>
  <c r="AL71" i="42"/>
  <c r="AL72" i="42"/>
  <c r="AL73" i="42"/>
  <c r="AL74" i="42"/>
  <c r="AL75" i="42"/>
  <c r="AL76" i="42"/>
  <c r="AL77" i="42"/>
  <c r="AL78" i="42"/>
  <c r="AL79" i="42"/>
  <c r="AL80" i="42"/>
  <c r="AL81" i="42"/>
  <c r="AL82" i="42"/>
  <c r="AL83" i="42"/>
  <c r="AL84" i="42"/>
  <c r="AL85" i="42"/>
  <c r="AL86" i="42"/>
  <c r="AL87" i="42"/>
  <c r="AL88" i="42"/>
  <c r="AL89" i="42"/>
  <c r="AL90" i="42"/>
  <c r="AL91" i="42"/>
  <c r="AL92" i="42"/>
  <c r="AL93" i="42"/>
  <c r="AL94" i="42"/>
  <c r="AL95" i="42"/>
  <c r="AL96" i="42"/>
  <c r="AL97" i="42"/>
  <c r="AL98" i="42"/>
  <c r="AL99" i="42"/>
  <c r="AL100" i="42"/>
  <c r="AL101" i="42"/>
  <c r="AL102" i="42"/>
  <c r="AL103" i="42"/>
  <c r="AL104" i="42"/>
  <c r="AL105" i="42"/>
  <c r="AL106" i="42"/>
  <c r="AL108" i="42"/>
  <c r="AL109" i="42"/>
  <c r="AL110" i="42"/>
  <c r="AL111" i="42"/>
  <c r="AL112" i="42"/>
  <c r="AL113" i="42"/>
  <c r="AL114" i="42"/>
  <c r="AL115" i="42"/>
  <c r="AL116" i="42"/>
  <c r="AL117" i="42"/>
  <c r="AL118" i="42"/>
  <c r="AL119" i="42"/>
  <c r="AL120" i="42"/>
  <c r="AL121" i="42"/>
  <c r="AL122" i="42"/>
  <c r="AL123" i="42"/>
  <c r="AL124" i="42"/>
  <c r="AL125" i="42"/>
  <c r="AL126" i="42"/>
  <c r="AL127" i="42"/>
  <c r="AL128" i="42"/>
  <c r="AL129" i="42"/>
  <c r="AL130" i="42"/>
  <c r="AL131" i="42"/>
  <c r="AL132" i="42"/>
  <c r="AL133" i="42"/>
  <c r="AL134" i="42"/>
  <c r="AL135" i="42"/>
  <c r="AL136" i="42"/>
  <c r="AL137" i="42"/>
  <c r="AL138" i="42"/>
  <c r="AL139" i="42"/>
  <c r="AL140" i="42"/>
  <c r="AL141" i="42"/>
  <c r="AL142" i="42"/>
  <c r="AL143" i="42"/>
  <c r="AL144" i="42"/>
  <c r="AL145" i="42"/>
  <c r="AL146" i="42"/>
  <c r="AL147" i="42"/>
  <c r="AL148" i="42"/>
  <c r="AL149" i="42"/>
  <c r="AL150" i="42"/>
  <c r="AL151" i="42"/>
  <c r="AL152" i="42"/>
  <c r="AL153" i="42"/>
  <c r="AL154" i="42"/>
  <c r="AL156" i="42"/>
  <c r="AL157" i="42"/>
  <c r="AL158" i="42"/>
  <c r="AL159" i="42"/>
  <c r="AL160" i="42"/>
  <c r="AL161" i="42"/>
  <c r="AL162" i="42"/>
  <c r="AL163" i="42"/>
  <c r="AL164" i="42"/>
  <c r="AL165" i="42"/>
  <c r="AL166" i="42"/>
  <c r="AL167" i="42"/>
  <c r="AL168" i="42"/>
  <c r="AL169" i="42"/>
  <c r="AL170" i="42"/>
  <c r="AL171" i="42"/>
  <c r="AL172" i="42"/>
  <c r="AL173" i="42"/>
  <c r="AL174" i="42"/>
  <c r="AL175" i="42"/>
  <c r="AL176" i="42"/>
  <c r="AL177" i="42"/>
  <c r="AL178" i="42"/>
  <c r="AL179" i="42"/>
  <c r="AL180" i="42"/>
  <c r="AL181" i="42"/>
  <c r="AL182" i="42"/>
  <c r="AL183" i="42"/>
  <c r="AL184" i="42"/>
  <c r="AL185" i="42"/>
  <c r="AL186" i="42"/>
  <c r="AL187" i="42"/>
  <c r="AL188" i="42"/>
  <c r="AL189" i="42"/>
  <c r="AL190" i="42"/>
  <c r="AL191" i="42"/>
  <c r="AL192" i="42"/>
  <c r="AL193" i="42"/>
  <c r="AL194" i="42"/>
  <c r="AL195" i="42"/>
  <c r="AL196" i="42"/>
  <c r="AL197" i="42"/>
  <c r="AL198" i="42"/>
  <c r="AL199" i="42"/>
  <c r="AL200" i="42"/>
  <c r="AL201" i="42"/>
  <c r="AL202" i="42"/>
  <c r="AL203" i="42"/>
  <c r="AL204" i="42"/>
  <c r="AL205" i="42"/>
  <c r="AL206" i="42"/>
  <c r="AL207" i="42"/>
  <c r="AL208" i="42"/>
  <c r="AL209" i="42"/>
  <c r="AL210" i="42"/>
  <c r="AL211" i="42"/>
  <c r="AL212" i="42"/>
  <c r="AL213" i="42"/>
  <c r="AL214" i="42"/>
  <c r="AL215" i="42"/>
  <c r="AL216" i="42"/>
  <c r="AL217" i="42"/>
  <c r="AL218" i="42"/>
  <c r="AL219" i="42"/>
  <c r="AL220" i="42"/>
  <c r="AL221" i="42"/>
  <c r="AL222" i="42"/>
  <c r="AL223" i="42"/>
  <c r="AL224" i="42"/>
  <c r="AL225" i="42"/>
  <c r="AL226" i="42"/>
  <c r="AL227" i="42"/>
  <c r="AL228" i="42"/>
  <c r="AL229" i="42"/>
  <c r="AL230" i="42"/>
  <c r="AL231" i="42"/>
  <c r="AL232" i="42"/>
  <c r="AL233" i="42"/>
  <c r="AL234" i="42"/>
  <c r="AL236" i="42"/>
  <c r="AL237" i="42"/>
  <c r="AL238" i="42"/>
  <c r="AL239" i="42"/>
  <c r="AL240" i="42"/>
  <c r="AL241" i="42"/>
  <c r="AL242" i="42"/>
  <c r="AL243" i="42"/>
  <c r="AL244" i="42"/>
  <c r="AL245" i="42"/>
  <c r="AL246" i="42"/>
  <c r="AL247" i="42"/>
  <c r="AL248" i="42"/>
  <c r="AL249" i="42"/>
  <c r="AL250" i="42"/>
  <c r="AL251" i="42"/>
  <c r="AL252" i="42"/>
  <c r="AL253" i="42"/>
  <c r="AL254" i="42"/>
  <c r="AL255" i="42"/>
  <c r="AL256" i="42"/>
  <c r="AL257" i="42"/>
  <c r="AL258" i="42"/>
  <c r="AL259" i="42"/>
  <c r="AL260" i="42"/>
  <c r="AL261" i="42"/>
  <c r="AL264" i="42"/>
  <c r="AL265" i="42"/>
  <c r="AL266" i="42"/>
  <c r="AL267" i="42"/>
  <c r="AL268" i="42"/>
  <c r="AL269" i="42"/>
  <c r="AL270" i="42"/>
  <c r="AL271" i="42"/>
  <c r="AL272" i="42"/>
  <c r="AL273" i="42"/>
  <c r="AL274" i="42"/>
  <c r="AL276" i="42"/>
  <c r="AL277" i="42"/>
  <c r="AL278" i="42"/>
  <c r="AL279" i="42"/>
  <c r="AL280" i="42"/>
  <c r="AL281" i="42"/>
  <c r="AL283" i="42"/>
  <c r="AL284" i="42"/>
  <c r="AL285" i="42"/>
  <c r="AL286" i="42"/>
  <c r="AL287" i="42"/>
  <c r="AL288" i="42"/>
  <c r="AL289" i="42"/>
  <c r="AL290" i="42"/>
  <c r="AL291" i="42"/>
  <c r="AL292" i="42"/>
  <c r="AL293" i="42"/>
  <c r="AL294" i="42"/>
  <c r="AL295" i="42"/>
  <c r="AL296" i="42"/>
  <c r="AL297" i="42"/>
  <c r="AL298" i="42"/>
  <c r="AL299" i="42"/>
  <c r="AL300" i="42"/>
  <c r="AL301" i="42"/>
  <c r="AL302" i="42"/>
  <c r="AL303" i="42"/>
  <c r="AL304" i="42"/>
  <c r="AL305" i="42"/>
  <c r="AD7" i="42"/>
  <c r="AD8" i="42"/>
  <c r="AD9" i="42"/>
  <c r="AD10" i="42"/>
  <c r="AD11" i="42"/>
  <c r="AD12" i="42"/>
  <c r="AD13" i="42"/>
  <c r="AD14" i="42"/>
  <c r="AD15" i="42"/>
  <c r="AD16" i="42"/>
  <c r="AD17" i="42"/>
  <c r="AD18" i="42"/>
  <c r="AD19" i="42"/>
  <c r="AD20" i="42"/>
  <c r="AD21" i="42"/>
  <c r="AD22" i="42"/>
  <c r="AD23" i="42"/>
  <c r="AD24" i="42"/>
  <c r="AD25" i="42"/>
  <c r="AD26" i="42"/>
  <c r="AD27" i="42"/>
  <c r="AD28" i="42"/>
  <c r="AD30" i="42"/>
  <c r="AD31" i="42"/>
  <c r="AD32" i="42"/>
  <c r="AD33" i="42"/>
  <c r="AD34" i="42"/>
  <c r="AD35" i="42"/>
  <c r="AD36" i="42"/>
  <c r="AD37" i="42"/>
  <c r="AD38" i="42"/>
  <c r="AD39" i="42"/>
  <c r="AD40" i="42"/>
  <c r="AD41" i="42"/>
  <c r="AD42" i="42"/>
  <c r="AD43" i="42"/>
  <c r="AD44" i="42"/>
  <c r="AD45" i="42"/>
  <c r="AD46" i="42"/>
  <c r="AD47" i="42"/>
  <c r="AD48" i="42"/>
  <c r="AD49" i="42"/>
  <c r="AD50" i="42"/>
  <c r="AD51" i="42"/>
  <c r="AD52" i="42"/>
  <c r="AD53" i="42"/>
  <c r="AD54" i="42"/>
  <c r="AD55" i="42"/>
  <c r="AD56" i="42"/>
  <c r="AD57" i="42"/>
  <c r="AD58" i="42"/>
  <c r="AD59" i="42"/>
  <c r="AD60" i="42"/>
  <c r="AD61" i="42"/>
  <c r="AD62" i="42"/>
  <c r="AD63" i="42"/>
  <c r="AD64" i="42"/>
  <c r="AD65" i="42"/>
  <c r="AD66" i="42"/>
  <c r="AD67" i="42"/>
  <c r="AD69" i="42"/>
  <c r="AD70" i="42"/>
  <c r="AD71" i="42"/>
  <c r="AD72" i="42"/>
  <c r="AD73" i="42"/>
  <c r="AD74" i="42"/>
  <c r="AD75" i="42"/>
  <c r="AD76" i="42"/>
  <c r="AD77" i="42"/>
  <c r="AD78" i="42"/>
  <c r="AD79" i="42"/>
  <c r="AD80" i="42"/>
  <c r="AD81" i="42"/>
  <c r="AD82" i="42"/>
  <c r="AD83" i="42"/>
  <c r="AD84" i="42"/>
  <c r="AD85" i="42"/>
  <c r="AD86" i="42"/>
  <c r="AD87" i="42"/>
  <c r="AD88" i="42"/>
  <c r="AD89" i="42"/>
  <c r="AD90" i="42"/>
  <c r="AD91" i="42"/>
  <c r="AD92" i="42"/>
  <c r="AD93" i="42"/>
  <c r="AD94" i="42"/>
  <c r="AD95" i="42"/>
  <c r="AD96" i="42"/>
  <c r="AD97" i="42"/>
  <c r="AD98" i="42"/>
  <c r="AD99" i="42"/>
  <c r="AD100" i="42"/>
  <c r="AD101" i="42"/>
  <c r="AD102" i="42"/>
  <c r="AD103" i="42"/>
  <c r="AD104" i="42"/>
  <c r="AD105" i="42"/>
  <c r="AD106" i="42"/>
  <c r="AD108" i="42"/>
  <c r="AD109" i="42"/>
  <c r="AD110" i="42"/>
  <c r="AD111" i="42"/>
  <c r="AD112" i="42"/>
  <c r="AD113" i="42"/>
  <c r="AD114" i="42"/>
  <c r="AD115" i="42"/>
  <c r="AD116" i="42"/>
  <c r="AD117" i="42"/>
  <c r="AD118" i="42"/>
  <c r="AD119" i="42"/>
  <c r="AD120" i="42"/>
  <c r="AD121" i="42"/>
  <c r="AD122" i="42"/>
  <c r="AD123" i="42"/>
  <c r="AD124" i="42"/>
  <c r="AD125" i="42"/>
  <c r="AD126" i="42"/>
  <c r="AD127" i="42"/>
  <c r="AD128" i="42"/>
  <c r="AD129" i="42"/>
  <c r="AD130" i="42"/>
  <c r="AD131" i="42"/>
  <c r="AD132" i="42"/>
  <c r="AD133" i="42"/>
  <c r="AD134" i="42"/>
  <c r="AD135" i="42"/>
  <c r="AD136" i="42"/>
  <c r="AD137" i="42"/>
  <c r="AD138" i="42"/>
  <c r="AD139" i="42"/>
  <c r="AD140" i="42"/>
  <c r="AD141" i="42"/>
  <c r="AD142" i="42"/>
  <c r="AD143" i="42"/>
  <c r="AE143" i="42" s="1"/>
  <c r="AD144" i="42"/>
  <c r="AD145" i="42"/>
  <c r="AD146" i="42"/>
  <c r="AD147" i="42"/>
  <c r="AD148" i="42"/>
  <c r="AD149" i="42"/>
  <c r="AD150" i="42"/>
  <c r="AD151" i="42"/>
  <c r="AD152" i="42"/>
  <c r="AD153" i="42"/>
  <c r="AD154" i="42"/>
  <c r="AD156" i="42"/>
  <c r="AD157" i="42"/>
  <c r="AD158" i="42"/>
  <c r="AD159" i="42"/>
  <c r="AD160" i="42"/>
  <c r="AD161" i="42"/>
  <c r="AD162" i="42"/>
  <c r="AD163" i="42"/>
  <c r="AD164" i="42"/>
  <c r="AD165" i="42"/>
  <c r="AD166" i="42"/>
  <c r="AD167" i="42"/>
  <c r="AD168" i="42"/>
  <c r="AD169" i="42"/>
  <c r="AD170" i="42"/>
  <c r="AD171" i="42"/>
  <c r="AD172" i="42"/>
  <c r="AD173" i="42"/>
  <c r="AD174" i="42"/>
  <c r="AD175" i="42"/>
  <c r="AD176" i="42"/>
  <c r="AD177" i="42"/>
  <c r="AD178" i="42"/>
  <c r="AD179" i="42"/>
  <c r="AD180" i="42"/>
  <c r="AD181" i="42"/>
  <c r="AD182" i="42"/>
  <c r="AD183" i="42"/>
  <c r="AD184" i="42"/>
  <c r="AD185" i="42"/>
  <c r="AD186" i="42"/>
  <c r="AD187" i="42"/>
  <c r="AD188" i="42"/>
  <c r="AD189" i="42"/>
  <c r="AD190" i="42"/>
  <c r="AD191" i="42"/>
  <c r="AD192" i="42"/>
  <c r="AD193" i="42"/>
  <c r="AD194" i="42"/>
  <c r="AD195" i="42"/>
  <c r="AD196" i="42"/>
  <c r="AD197" i="42"/>
  <c r="AD198" i="42"/>
  <c r="AD199" i="42"/>
  <c r="AD200" i="42"/>
  <c r="AD201" i="42"/>
  <c r="AD202" i="42"/>
  <c r="AD203" i="42"/>
  <c r="AD204" i="42"/>
  <c r="AD205" i="42"/>
  <c r="AD206" i="42"/>
  <c r="AD207" i="42"/>
  <c r="AD208" i="42"/>
  <c r="AD209" i="42"/>
  <c r="AD210" i="42"/>
  <c r="AD211" i="42"/>
  <c r="AD212" i="42"/>
  <c r="AD213" i="42"/>
  <c r="AD214" i="42"/>
  <c r="AD215" i="42"/>
  <c r="AD216" i="42"/>
  <c r="AD217" i="42"/>
  <c r="AD218" i="42"/>
  <c r="AD219" i="42"/>
  <c r="AD220" i="42"/>
  <c r="AD221" i="42"/>
  <c r="AD222" i="42"/>
  <c r="AD223" i="42"/>
  <c r="AD224" i="42"/>
  <c r="AD225" i="42"/>
  <c r="AD226" i="42"/>
  <c r="AD227" i="42"/>
  <c r="AD228" i="42"/>
  <c r="AD229" i="42"/>
  <c r="AD230" i="42"/>
  <c r="AD231" i="42"/>
  <c r="AD232" i="42"/>
  <c r="AD233" i="42"/>
  <c r="AD234" i="42"/>
  <c r="AD236" i="42"/>
  <c r="AD237" i="42"/>
  <c r="AD238" i="42"/>
  <c r="AD239" i="42"/>
  <c r="AD240" i="42"/>
  <c r="AD241" i="42"/>
  <c r="AD242" i="42"/>
  <c r="AD243" i="42"/>
  <c r="AD244" i="42"/>
  <c r="AD245" i="42"/>
  <c r="AD246" i="42"/>
  <c r="AD247" i="42"/>
  <c r="AD248" i="42"/>
  <c r="AD249" i="42"/>
  <c r="AD250" i="42"/>
  <c r="AD251" i="42"/>
  <c r="AD252" i="42"/>
  <c r="AD253" i="42"/>
  <c r="AD254" i="42"/>
  <c r="AD255" i="42"/>
  <c r="AD256" i="42"/>
  <c r="AD257" i="42"/>
  <c r="AD258" i="42"/>
  <c r="AD259" i="42"/>
  <c r="AD260" i="42"/>
  <c r="AD261" i="42"/>
  <c r="AD262" i="42"/>
  <c r="AD263" i="42"/>
  <c r="AD264" i="42"/>
  <c r="AD265" i="42"/>
  <c r="AD266" i="42"/>
  <c r="AD267" i="42"/>
  <c r="AD268" i="42"/>
  <c r="AD269" i="42"/>
  <c r="AD270" i="42"/>
  <c r="AD271" i="42"/>
  <c r="AD272" i="42"/>
  <c r="AD273" i="42"/>
  <c r="AD274" i="42"/>
  <c r="AD276" i="42"/>
  <c r="AD277" i="42"/>
  <c r="AD278" i="42"/>
  <c r="AD279" i="42"/>
  <c r="AD280" i="42"/>
  <c r="AD281" i="42"/>
  <c r="AD283" i="42"/>
  <c r="AD284" i="42"/>
  <c r="AD285" i="42"/>
  <c r="AD286" i="42"/>
  <c r="AD287" i="42"/>
  <c r="AD288" i="42"/>
  <c r="AD289" i="42"/>
  <c r="AD290" i="42"/>
  <c r="AD291" i="42"/>
  <c r="AD292" i="42"/>
  <c r="AD293" i="42"/>
  <c r="AD294" i="42"/>
  <c r="AD295" i="42"/>
  <c r="AD296" i="42"/>
  <c r="AD297" i="42"/>
  <c r="AD298" i="42"/>
  <c r="AD299" i="42"/>
  <c r="AD300" i="42"/>
  <c r="AD301" i="42"/>
  <c r="AD302" i="42"/>
  <c r="AD303" i="42"/>
  <c r="AD304" i="42"/>
  <c r="AD305" i="42"/>
  <c r="D21" i="19"/>
  <c r="L21" i="19" s="1"/>
  <c r="F21" i="49" s="1"/>
  <c r="G21" i="49" s="1"/>
  <c r="C175" i="19"/>
  <c r="L175" i="19" s="1"/>
  <c r="F175" i="49" s="1"/>
  <c r="G175" i="49" s="1"/>
  <c r="C113" i="19"/>
  <c r="L113" i="19"/>
  <c r="F113" i="49" s="1"/>
  <c r="G113" i="49" s="1"/>
  <c r="D120" i="19"/>
  <c r="L120" i="19" s="1"/>
  <c r="D137" i="19"/>
  <c r="L137" i="19" s="1"/>
  <c r="F137" i="49" s="1"/>
  <c r="G137" i="49" s="1"/>
  <c r="D143" i="19"/>
  <c r="L143" i="19" s="1"/>
  <c r="F143" i="49" s="1"/>
  <c r="G143" i="49" s="1"/>
  <c r="D261" i="19"/>
  <c r="A7" i="49"/>
  <c r="B7" i="49"/>
  <c r="C7" i="49"/>
  <c r="I7" i="49" s="1"/>
  <c r="A8" i="49"/>
  <c r="B8" i="49"/>
  <c r="C8" i="49"/>
  <c r="A9" i="49"/>
  <c r="B9" i="49"/>
  <c r="C9" i="49"/>
  <c r="A10" i="49"/>
  <c r="B10" i="49"/>
  <c r="C10" i="49"/>
  <c r="A11" i="49"/>
  <c r="B11" i="49"/>
  <c r="C11" i="49"/>
  <c r="A12" i="49"/>
  <c r="B12" i="49"/>
  <c r="C12" i="49"/>
  <c r="A13" i="49"/>
  <c r="B13" i="49"/>
  <c r="C13" i="49"/>
  <c r="A14" i="49"/>
  <c r="B14" i="49"/>
  <c r="C14" i="49"/>
  <c r="I14" i="49" s="1"/>
  <c r="A15" i="49"/>
  <c r="B15" i="49"/>
  <c r="C15" i="49"/>
  <c r="A16" i="49"/>
  <c r="B16" i="49"/>
  <c r="C16" i="49"/>
  <c r="A17" i="49"/>
  <c r="B17" i="49"/>
  <c r="C17" i="49"/>
  <c r="A18" i="49"/>
  <c r="B18" i="49"/>
  <c r="C18" i="49"/>
  <c r="A19" i="49"/>
  <c r="B19" i="49"/>
  <c r="C19" i="49"/>
  <c r="A20" i="49"/>
  <c r="B20" i="49"/>
  <c r="C20" i="49"/>
  <c r="A21" i="49"/>
  <c r="B21" i="49"/>
  <c r="C21" i="49"/>
  <c r="A22" i="49"/>
  <c r="B22" i="49"/>
  <c r="C22" i="49"/>
  <c r="A23" i="49"/>
  <c r="B23" i="49"/>
  <c r="C23" i="49"/>
  <c r="A24" i="49"/>
  <c r="B24" i="49"/>
  <c r="C24" i="49"/>
  <c r="A25" i="49"/>
  <c r="B25" i="49"/>
  <c r="C25" i="49"/>
  <c r="A26" i="49"/>
  <c r="B26" i="49"/>
  <c r="C26" i="49"/>
  <c r="A27" i="49"/>
  <c r="B27" i="49"/>
  <c r="C27" i="49"/>
  <c r="A28" i="49"/>
  <c r="B28" i="49"/>
  <c r="C28" i="49"/>
  <c r="A29" i="49"/>
  <c r="B29" i="49"/>
  <c r="C29" i="49"/>
  <c r="A30" i="49"/>
  <c r="B30" i="49"/>
  <c r="C30" i="49"/>
  <c r="A31" i="49"/>
  <c r="B31" i="49"/>
  <c r="C31" i="49"/>
  <c r="A32" i="49"/>
  <c r="B32" i="49"/>
  <c r="C32" i="49"/>
  <c r="A33" i="49"/>
  <c r="B33" i="49"/>
  <c r="C33" i="49"/>
  <c r="A34" i="49"/>
  <c r="B34" i="49"/>
  <c r="C34" i="49"/>
  <c r="A35" i="49"/>
  <c r="B35" i="49"/>
  <c r="C35" i="49"/>
  <c r="A36" i="49"/>
  <c r="B36" i="49"/>
  <c r="C36" i="49"/>
  <c r="A37" i="49"/>
  <c r="B37" i="49"/>
  <c r="C37" i="49"/>
  <c r="A38" i="49"/>
  <c r="B38" i="49"/>
  <c r="C38" i="49"/>
  <c r="A39" i="49"/>
  <c r="B39" i="49"/>
  <c r="C39" i="49"/>
  <c r="A40" i="49"/>
  <c r="B40" i="49"/>
  <c r="C40" i="49"/>
  <c r="A41" i="49"/>
  <c r="B41" i="49"/>
  <c r="C41" i="49"/>
  <c r="A42" i="49"/>
  <c r="B42" i="49"/>
  <c r="C42" i="49"/>
  <c r="A43" i="49"/>
  <c r="B43" i="49"/>
  <c r="C43" i="49"/>
  <c r="A44" i="49"/>
  <c r="B44" i="49"/>
  <c r="C44" i="49"/>
  <c r="A45" i="49"/>
  <c r="B45" i="49"/>
  <c r="C45" i="49"/>
  <c r="A46" i="49"/>
  <c r="B46" i="49"/>
  <c r="C46" i="49"/>
  <c r="A47" i="49"/>
  <c r="B47" i="49"/>
  <c r="C47" i="49"/>
  <c r="A48" i="49"/>
  <c r="B48" i="49"/>
  <c r="C48" i="49"/>
  <c r="A49" i="49"/>
  <c r="B49" i="49"/>
  <c r="C49" i="49"/>
  <c r="A50" i="49"/>
  <c r="B50" i="49"/>
  <c r="C50" i="49"/>
  <c r="A51" i="49"/>
  <c r="B51" i="49"/>
  <c r="C51" i="49"/>
  <c r="A52" i="49"/>
  <c r="B52" i="49"/>
  <c r="C52" i="49"/>
  <c r="A53" i="49"/>
  <c r="B53" i="49"/>
  <c r="C53" i="49"/>
  <c r="A54" i="49"/>
  <c r="B54" i="49"/>
  <c r="C54" i="49"/>
  <c r="A55" i="49"/>
  <c r="B55" i="49"/>
  <c r="C55" i="49"/>
  <c r="A56" i="49"/>
  <c r="B56" i="49"/>
  <c r="C56" i="49"/>
  <c r="A57" i="49"/>
  <c r="B57" i="49"/>
  <c r="C57" i="49"/>
  <c r="A58" i="49"/>
  <c r="B58" i="49"/>
  <c r="C58" i="49"/>
  <c r="A59" i="49"/>
  <c r="B59" i="49"/>
  <c r="C59" i="49"/>
  <c r="A60" i="49"/>
  <c r="B60" i="49"/>
  <c r="C60" i="49"/>
  <c r="A61" i="49"/>
  <c r="B61" i="49"/>
  <c r="C61" i="49"/>
  <c r="A62" i="49"/>
  <c r="B62" i="49"/>
  <c r="C62" i="49"/>
  <c r="A63" i="49"/>
  <c r="B63" i="49"/>
  <c r="C63" i="49"/>
  <c r="A64" i="49"/>
  <c r="B64" i="49"/>
  <c r="C64" i="49"/>
  <c r="A65" i="49"/>
  <c r="B65" i="49"/>
  <c r="C65" i="49"/>
  <c r="A66" i="49"/>
  <c r="B66" i="49"/>
  <c r="C66" i="49"/>
  <c r="A67" i="49"/>
  <c r="B67" i="49"/>
  <c r="C67" i="49"/>
  <c r="A68" i="49"/>
  <c r="B68" i="49"/>
  <c r="A69" i="49"/>
  <c r="B69" i="49"/>
  <c r="C69" i="49"/>
  <c r="A70" i="49"/>
  <c r="B70" i="49"/>
  <c r="C70" i="49"/>
  <c r="A71" i="49"/>
  <c r="B71" i="49"/>
  <c r="C71" i="49"/>
  <c r="A72" i="49"/>
  <c r="B72" i="49"/>
  <c r="C72" i="49"/>
  <c r="A73" i="49"/>
  <c r="B73" i="49"/>
  <c r="C73" i="49"/>
  <c r="A74" i="49"/>
  <c r="B74" i="49"/>
  <c r="C74" i="49"/>
  <c r="A75" i="49"/>
  <c r="B75" i="49"/>
  <c r="C75" i="49"/>
  <c r="A76" i="49"/>
  <c r="B76" i="49"/>
  <c r="C76" i="49"/>
  <c r="A77" i="49"/>
  <c r="B77" i="49"/>
  <c r="C77" i="49"/>
  <c r="A78" i="49"/>
  <c r="B78" i="49"/>
  <c r="C78" i="49"/>
  <c r="A79" i="49"/>
  <c r="B79" i="49"/>
  <c r="C79" i="49"/>
  <c r="A80" i="49"/>
  <c r="B80" i="49"/>
  <c r="C80" i="49"/>
  <c r="A81" i="49"/>
  <c r="B81" i="49"/>
  <c r="C81" i="49"/>
  <c r="A82" i="49"/>
  <c r="B82" i="49"/>
  <c r="C82" i="49"/>
  <c r="A83" i="49"/>
  <c r="B83" i="49"/>
  <c r="C83" i="49"/>
  <c r="A84" i="49"/>
  <c r="B84" i="49"/>
  <c r="C84" i="49"/>
  <c r="A85" i="49"/>
  <c r="B85" i="49"/>
  <c r="C85" i="49"/>
  <c r="A86" i="49"/>
  <c r="B86" i="49"/>
  <c r="C86" i="49"/>
  <c r="A87" i="49"/>
  <c r="B87" i="49"/>
  <c r="C87" i="49"/>
  <c r="A88" i="49"/>
  <c r="B88" i="49"/>
  <c r="C88" i="49"/>
  <c r="A89" i="49"/>
  <c r="B89" i="49"/>
  <c r="C89" i="49"/>
  <c r="A90" i="49"/>
  <c r="B90" i="49"/>
  <c r="C90" i="49"/>
  <c r="A91" i="49"/>
  <c r="B91" i="49"/>
  <c r="C91" i="49"/>
  <c r="A92" i="49"/>
  <c r="B92" i="49"/>
  <c r="C92" i="49"/>
  <c r="A93" i="49"/>
  <c r="B93" i="49"/>
  <c r="C93" i="49"/>
  <c r="A94" i="49"/>
  <c r="B94" i="49"/>
  <c r="C94" i="49"/>
  <c r="A95" i="49"/>
  <c r="B95" i="49"/>
  <c r="C95" i="49"/>
  <c r="A96" i="49"/>
  <c r="B96" i="49"/>
  <c r="C96" i="49"/>
  <c r="A97" i="49"/>
  <c r="B97" i="49"/>
  <c r="C97" i="49"/>
  <c r="A98" i="49"/>
  <c r="B98" i="49"/>
  <c r="C98" i="49"/>
  <c r="A99" i="49"/>
  <c r="B99" i="49"/>
  <c r="C99" i="49"/>
  <c r="A100" i="49"/>
  <c r="B100" i="49"/>
  <c r="C100" i="49"/>
  <c r="A101" i="49"/>
  <c r="B101" i="49"/>
  <c r="C101" i="49"/>
  <c r="A102" i="49"/>
  <c r="B102" i="49"/>
  <c r="C102" i="49"/>
  <c r="A103" i="49"/>
  <c r="B103" i="49"/>
  <c r="C103" i="49"/>
  <c r="A104" i="49"/>
  <c r="B104" i="49"/>
  <c r="C104" i="49"/>
  <c r="A105" i="49"/>
  <c r="B105" i="49"/>
  <c r="C105" i="49"/>
  <c r="A106" i="49"/>
  <c r="B106" i="49"/>
  <c r="C106" i="49"/>
  <c r="I106" i="49" s="1"/>
  <c r="A107" i="49"/>
  <c r="B107" i="49"/>
  <c r="C107" i="49"/>
  <c r="A108" i="49"/>
  <c r="B108" i="49"/>
  <c r="C108" i="49"/>
  <c r="I108" i="49" s="1"/>
  <c r="A109" i="49"/>
  <c r="B109" i="49"/>
  <c r="C109" i="49"/>
  <c r="A110" i="49"/>
  <c r="B110" i="49"/>
  <c r="C110" i="49"/>
  <c r="A111" i="49"/>
  <c r="B111" i="49"/>
  <c r="C111" i="49"/>
  <c r="I111" i="49" s="1"/>
  <c r="A112" i="49"/>
  <c r="B112" i="49"/>
  <c r="C112" i="49"/>
  <c r="A113" i="49"/>
  <c r="B113" i="49"/>
  <c r="C113" i="49"/>
  <c r="I113" i="49" s="1"/>
  <c r="A114" i="49"/>
  <c r="B114" i="49"/>
  <c r="C114" i="49"/>
  <c r="I114" i="49" s="1"/>
  <c r="A115" i="49"/>
  <c r="B115" i="49"/>
  <c r="C115" i="49"/>
  <c r="I115" i="49" s="1"/>
  <c r="A116" i="49"/>
  <c r="B116" i="49"/>
  <c r="C116" i="49"/>
  <c r="I116" i="49" s="1"/>
  <c r="A117" i="49"/>
  <c r="B117" i="49"/>
  <c r="C117" i="49"/>
  <c r="A118" i="49"/>
  <c r="B118" i="49"/>
  <c r="C118" i="49"/>
  <c r="I118" i="49" s="1"/>
  <c r="A119" i="49"/>
  <c r="B119" i="49"/>
  <c r="C119" i="49"/>
  <c r="A120" i="49"/>
  <c r="B120" i="49"/>
  <c r="C120" i="49"/>
  <c r="I120" i="49" s="1"/>
  <c r="A121" i="49"/>
  <c r="B121" i="49"/>
  <c r="C121" i="49"/>
  <c r="I121" i="49" s="1"/>
  <c r="A122" i="49"/>
  <c r="B122" i="49"/>
  <c r="C122" i="49"/>
  <c r="I122" i="49" s="1"/>
  <c r="A123" i="49"/>
  <c r="B123" i="49"/>
  <c r="C123" i="49"/>
  <c r="I123" i="49" s="1"/>
  <c r="A124" i="49"/>
  <c r="B124" i="49"/>
  <c r="C124" i="49"/>
  <c r="I124" i="49" s="1"/>
  <c r="A125" i="49"/>
  <c r="B125" i="49"/>
  <c r="C125" i="49"/>
  <c r="I125" i="49" s="1"/>
  <c r="A126" i="49"/>
  <c r="B126" i="49"/>
  <c r="C126" i="49"/>
  <c r="A127" i="49"/>
  <c r="B127" i="49"/>
  <c r="C127" i="49"/>
  <c r="A128" i="49"/>
  <c r="B128" i="49"/>
  <c r="C128" i="49"/>
  <c r="I128" i="49" s="1"/>
  <c r="A129" i="49"/>
  <c r="B129" i="49"/>
  <c r="C129" i="49"/>
  <c r="I129" i="49" s="1"/>
  <c r="A130" i="49"/>
  <c r="B130" i="49"/>
  <c r="C130" i="49"/>
  <c r="I130" i="49" s="1"/>
  <c r="A131" i="49"/>
  <c r="B131" i="49"/>
  <c r="C131" i="49"/>
  <c r="A132" i="49"/>
  <c r="B132" i="49"/>
  <c r="C132" i="49"/>
  <c r="A133" i="49"/>
  <c r="B133" i="49"/>
  <c r="C133" i="49"/>
  <c r="A134" i="49"/>
  <c r="B134" i="49"/>
  <c r="C134" i="49"/>
  <c r="A135" i="49"/>
  <c r="B135" i="49"/>
  <c r="C135" i="49"/>
  <c r="A136" i="49"/>
  <c r="B136" i="49"/>
  <c r="C136" i="49"/>
  <c r="A137" i="49"/>
  <c r="B137" i="49"/>
  <c r="C137" i="49"/>
  <c r="I137" i="49" s="1"/>
  <c r="A138" i="49"/>
  <c r="B138" i="49"/>
  <c r="C138" i="49"/>
  <c r="A139" i="49"/>
  <c r="B139" i="49"/>
  <c r="C139" i="49"/>
  <c r="A140" i="49"/>
  <c r="B140" i="49"/>
  <c r="C140" i="49"/>
  <c r="A141" i="49"/>
  <c r="B141" i="49"/>
  <c r="C141" i="49"/>
  <c r="A142" i="49"/>
  <c r="B142" i="49"/>
  <c r="C142" i="49"/>
  <c r="I142" i="49" s="1"/>
  <c r="A143" i="49"/>
  <c r="B143" i="49"/>
  <c r="C143" i="49"/>
  <c r="I143" i="49" s="1"/>
  <c r="A144" i="49"/>
  <c r="B144" i="49"/>
  <c r="C144" i="49"/>
  <c r="I144" i="49" s="1"/>
  <c r="A145" i="49"/>
  <c r="B145" i="49"/>
  <c r="C145" i="49"/>
  <c r="A146" i="49"/>
  <c r="B146" i="49"/>
  <c r="C146" i="49"/>
  <c r="I146" i="49" s="1"/>
  <c r="A147" i="49"/>
  <c r="B147" i="49"/>
  <c r="C147" i="49"/>
  <c r="I147" i="49" s="1"/>
  <c r="A148" i="49"/>
  <c r="B148" i="49"/>
  <c r="C148" i="49"/>
  <c r="I148" i="49" s="1"/>
  <c r="A149" i="49"/>
  <c r="B149" i="49"/>
  <c r="C149" i="49"/>
  <c r="A150" i="49"/>
  <c r="B150" i="49"/>
  <c r="C150" i="49"/>
  <c r="I150" i="49" s="1"/>
  <c r="A151" i="49"/>
  <c r="B151" i="49"/>
  <c r="C151" i="49"/>
  <c r="A152" i="49"/>
  <c r="B152" i="49"/>
  <c r="C152" i="49"/>
  <c r="A153" i="49"/>
  <c r="B153" i="49"/>
  <c r="C153" i="49"/>
  <c r="A154" i="49"/>
  <c r="B154" i="49"/>
  <c r="C154" i="49"/>
  <c r="A155" i="49"/>
  <c r="B155" i="49"/>
  <c r="A156" i="49"/>
  <c r="B156" i="49"/>
  <c r="C156" i="49"/>
  <c r="A157" i="49"/>
  <c r="B157" i="49"/>
  <c r="C157" i="49"/>
  <c r="A158" i="49"/>
  <c r="B158" i="49"/>
  <c r="C158" i="49"/>
  <c r="A159" i="49"/>
  <c r="B159" i="49"/>
  <c r="C159" i="49"/>
  <c r="A160" i="49"/>
  <c r="B160" i="49"/>
  <c r="C160" i="49"/>
  <c r="A161" i="49"/>
  <c r="B161" i="49"/>
  <c r="C161" i="49"/>
  <c r="A162" i="49"/>
  <c r="B162" i="49"/>
  <c r="C162" i="49"/>
  <c r="A163" i="49"/>
  <c r="B163" i="49"/>
  <c r="C163" i="49"/>
  <c r="A164" i="49"/>
  <c r="B164" i="49"/>
  <c r="C164" i="49"/>
  <c r="A165" i="49"/>
  <c r="B165" i="49"/>
  <c r="C165" i="49"/>
  <c r="A166" i="49"/>
  <c r="B166" i="49"/>
  <c r="C166" i="49"/>
  <c r="A167" i="49"/>
  <c r="B167" i="49"/>
  <c r="C167" i="49"/>
  <c r="A168" i="49"/>
  <c r="B168" i="49"/>
  <c r="C168" i="49"/>
  <c r="A169" i="49"/>
  <c r="B169" i="49"/>
  <c r="C169" i="49"/>
  <c r="A170" i="49"/>
  <c r="B170" i="49"/>
  <c r="C170" i="49"/>
  <c r="A171" i="49"/>
  <c r="B171" i="49"/>
  <c r="C171" i="49"/>
  <c r="A172" i="49"/>
  <c r="B172" i="49"/>
  <c r="C172" i="49"/>
  <c r="A173" i="49"/>
  <c r="B173" i="49"/>
  <c r="C173" i="49"/>
  <c r="A174" i="49"/>
  <c r="B174" i="49"/>
  <c r="C174" i="49"/>
  <c r="A175" i="49"/>
  <c r="B175" i="49"/>
  <c r="C175" i="49"/>
  <c r="A176" i="49"/>
  <c r="B176" i="49"/>
  <c r="C176" i="49"/>
  <c r="A177" i="49"/>
  <c r="B177" i="49"/>
  <c r="C177" i="49"/>
  <c r="A178" i="49"/>
  <c r="B178" i="49"/>
  <c r="C178" i="49"/>
  <c r="A179" i="49"/>
  <c r="B179" i="49"/>
  <c r="C179" i="49"/>
  <c r="A180" i="49"/>
  <c r="B180" i="49"/>
  <c r="C180" i="49"/>
  <c r="A181" i="49"/>
  <c r="B181" i="49"/>
  <c r="C181" i="49"/>
  <c r="A182" i="49"/>
  <c r="B182" i="49"/>
  <c r="C182" i="49"/>
  <c r="A183" i="49"/>
  <c r="B183" i="49"/>
  <c r="C183" i="49"/>
  <c r="A184" i="49"/>
  <c r="B184" i="49"/>
  <c r="C184" i="49"/>
  <c r="I184" i="49" s="1"/>
  <c r="A185" i="49"/>
  <c r="B185" i="49"/>
  <c r="C185" i="49"/>
  <c r="A186" i="49"/>
  <c r="B186" i="49"/>
  <c r="C186" i="49"/>
  <c r="A187" i="49"/>
  <c r="B187" i="49"/>
  <c r="C187" i="49"/>
  <c r="A188" i="49"/>
  <c r="B188" i="49"/>
  <c r="C188" i="49"/>
  <c r="A189" i="49"/>
  <c r="B189" i="49"/>
  <c r="C189" i="49"/>
  <c r="A190" i="49"/>
  <c r="B190" i="49"/>
  <c r="C190" i="49"/>
  <c r="A191" i="49"/>
  <c r="B191" i="49"/>
  <c r="C191" i="49"/>
  <c r="A192" i="49"/>
  <c r="B192" i="49"/>
  <c r="C192" i="49"/>
  <c r="A193" i="49"/>
  <c r="B193" i="49"/>
  <c r="C193" i="49"/>
  <c r="A194" i="49"/>
  <c r="B194" i="49"/>
  <c r="C194" i="49"/>
  <c r="A195" i="49"/>
  <c r="B195" i="49"/>
  <c r="C195" i="49"/>
  <c r="I195" i="49" s="1"/>
  <c r="A196" i="49"/>
  <c r="B196" i="49"/>
  <c r="C196" i="49"/>
  <c r="I196" i="49" s="1"/>
  <c r="A197" i="49"/>
  <c r="B197" i="49"/>
  <c r="C197" i="49"/>
  <c r="A198" i="49"/>
  <c r="B198" i="49"/>
  <c r="C198" i="49"/>
  <c r="A199" i="49"/>
  <c r="B199" i="49"/>
  <c r="C199" i="49"/>
  <c r="A200" i="49"/>
  <c r="B200" i="49"/>
  <c r="C200" i="49"/>
  <c r="A201" i="49"/>
  <c r="B201" i="49"/>
  <c r="C201" i="49"/>
  <c r="A202" i="49"/>
  <c r="B202" i="49"/>
  <c r="C202" i="49"/>
  <c r="A203" i="49"/>
  <c r="B203" i="49"/>
  <c r="C203" i="49"/>
  <c r="A204" i="49"/>
  <c r="B204" i="49"/>
  <c r="C204" i="49"/>
  <c r="A205" i="49"/>
  <c r="B205" i="49"/>
  <c r="C205" i="49"/>
  <c r="A206" i="49"/>
  <c r="B206" i="49"/>
  <c r="C206" i="49"/>
  <c r="A207" i="49"/>
  <c r="B207" i="49"/>
  <c r="C207" i="49"/>
  <c r="A208" i="49"/>
  <c r="B208" i="49"/>
  <c r="C208" i="49"/>
  <c r="A209" i="49"/>
  <c r="B209" i="49"/>
  <c r="C209" i="49"/>
  <c r="A210" i="49"/>
  <c r="B210" i="49"/>
  <c r="C210" i="49"/>
  <c r="A211" i="49"/>
  <c r="B211" i="49"/>
  <c r="C211" i="49"/>
  <c r="A212" i="49"/>
  <c r="B212" i="49"/>
  <c r="C212" i="49"/>
  <c r="A213" i="49"/>
  <c r="B213" i="49"/>
  <c r="C213" i="49"/>
  <c r="A214" i="49"/>
  <c r="B214" i="49"/>
  <c r="C214" i="49"/>
  <c r="A215" i="49"/>
  <c r="B215" i="49"/>
  <c r="C215" i="49"/>
  <c r="A216" i="49"/>
  <c r="B216" i="49"/>
  <c r="C216" i="49"/>
  <c r="A217" i="49"/>
  <c r="B217" i="49"/>
  <c r="C217" i="49"/>
  <c r="I217" i="49" s="1"/>
  <c r="A218" i="49"/>
  <c r="B218" i="49"/>
  <c r="C218" i="49"/>
  <c r="I218" i="49" s="1"/>
  <c r="A219" i="49"/>
  <c r="B219" i="49"/>
  <c r="C219" i="49"/>
  <c r="A220" i="49"/>
  <c r="B220" i="49"/>
  <c r="C220" i="49"/>
  <c r="A221" i="49"/>
  <c r="B221" i="49"/>
  <c r="C221" i="49"/>
  <c r="A222" i="49"/>
  <c r="B222" i="49"/>
  <c r="C222" i="49"/>
  <c r="A223" i="49"/>
  <c r="B223" i="49"/>
  <c r="C223" i="49"/>
  <c r="A224" i="49"/>
  <c r="B224" i="49"/>
  <c r="C224" i="49"/>
  <c r="A225" i="49"/>
  <c r="B225" i="49"/>
  <c r="C225" i="49"/>
  <c r="A226" i="49"/>
  <c r="B226" i="49"/>
  <c r="C226" i="49"/>
  <c r="A227" i="49"/>
  <c r="B227" i="49"/>
  <c r="C227" i="49"/>
  <c r="A228" i="49"/>
  <c r="B228" i="49"/>
  <c r="C228" i="49"/>
  <c r="A229" i="49"/>
  <c r="B229" i="49"/>
  <c r="C229" i="49"/>
  <c r="A230" i="49"/>
  <c r="B230" i="49"/>
  <c r="C230" i="49"/>
  <c r="A231" i="49"/>
  <c r="B231" i="49"/>
  <c r="C231" i="49"/>
  <c r="A232" i="49"/>
  <c r="B232" i="49"/>
  <c r="C232" i="49"/>
  <c r="A233" i="49"/>
  <c r="B233" i="49"/>
  <c r="C233" i="49"/>
  <c r="A234" i="49"/>
  <c r="B234" i="49"/>
  <c r="C234" i="49"/>
  <c r="A235" i="49"/>
  <c r="B235" i="49"/>
  <c r="A236" i="49"/>
  <c r="B236" i="49"/>
  <c r="C236" i="49"/>
  <c r="A237" i="49"/>
  <c r="B237" i="49"/>
  <c r="C237" i="49"/>
  <c r="A238" i="49"/>
  <c r="B238" i="49"/>
  <c r="C238" i="49"/>
  <c r="A239" i="49"/>
  <c r="B239" i="49"/>
  <c r="C239" i="49"/>
  <c r="A240" i="49"/>
  <c r="B240" i="49"/>
  <c r="C240" i="49"/>
  <c r="A241" i="49"/>
  <c r="B241" i="49"/>
  <c r="C241" i="49"/>
  <c r="A242" i="49"/>
  <c r="B242" i="49"/>
  <c r="C242" i="49"/>
  <c r="A243" i="49"/>
  <c r="B243" i="49"/>
  <c r="C243" i="49"/>
  <c r="A244" i="49"/>
  <c r="B244" i="49"/>
  <c r="C244" i="49"/>
  <c r="A245" i="49"/>
  <c r="B245" i="49"/>
  <c r="C245" i="49"/>
  <c r="A246" i="49"/>
  <c r="B246" i="49"/>
  <c r="C246" i="49"/>
  <c r="A247" i="49"/>
  <c r="B247" i="49"/>
  <c r="C247" i="49"/>
  <c r="A248" i="49"/>
  <c r="B248" i="49"/>
  <c r="C248" i="49"/>
  <c r="A249" i="49"/>
  <c r="B249" i="49"/>
  <c r="C249" i="49"/>
  <c r="A250" i="49"/>
  <c r="B250" i="49"/>
  <c r="C250" i="49"/>
  <c r="A251" i="49"/>
  <c r="B251" i="49"/>
  <c r="C251" i="49"/>
  <c r="A252" i="49"/>
  <c r="B252" i="49"/>
  <c r="C252" i="49"/>
  <c r="A253" i="49"/>
  <c r="B253" i="49"/>
  <c r="C253" i="49"/>
  <c r="A254" i="49"/>
  <c r="B254" i="49"/>
  <c r="C254" i="49"/>
  <c r="A255" i="49"/>
  <c r="B255" i="49"/>
  <c r="C255" i="49"/>
  <c r="A256" i="49"/>
  <c r="B256" i="49"/>
  <c r="C256" i="49"/>
  <c r="A257" i="49"/>
  <c r="B257" i="49"/>
  <c r="C257" i="49"/>
  <c r="A258" i="49"/>
  <c r="B258" i="49"/>
  <c r="C258" i="49"/>
  <c r="A259" i="49"/>
  <c r="B259" i="49"/>
  <c r="C259" i="49"/>
  <c r="A260" i="49"/>
  <c r="B260" i="49"/>
  <c r="C260" i="49"/>
  <c r="A261" i="49"/>
  <c r="B261" i="49"/>
  <c r="C261" i="49"/>
  <c r="A262" i="49"/>
  <c r="B262" i="49"/>
  <c r="C262" i="49"/>
  <c r="A263" i="49"/>
  <c r="B263" i="49"/>
  <c r="C263" i="49"/>
  <c r="A264" i="49"/>
  <c r="B264" i="49"/>
  <c r="C264" i="49"/>
  <c r="A265" i="49"/>
  <c r="B265" i="49"/>
  <c r="C265" i="49"/>
  <c r="A266" i="49"/>
  <c r="B266" i="49"/>
  <c r="C266" i="49"/>
  <c r="A267" i="49"/>
  <c r="B267" i="49"/>
  <c r="C267" i="49"/>
  <c r="I267" i="49" s="1"/>
  <c r="A268" i="49"/>
  <c r="B268" i="49"/>
  <c r="C268" i="49"/>
  <c r="I268" i="49" s="1"/>
  <c r="A269" i="49"/>
  <c r="B269" i="49"/>
  <c r="C269" i="49"/>
  <c r="I269" i="49" s="1"/>
  <c r="A270" i="49"/>
  <c r="B270" i="49"/>
  <c r="C270" i="49"/>
  <c r="I270" i="49" s="1"/>
  <c r="A271" i="49"/>
  <c r="B271" i="49"/>
  <c r="C271" i="49"/>
  <c r="I271" i="49" s="1"/>
  <c r="A272" i="49"/>
  <c r="B272" i="49"/>
  <c r="C272" i="49"/>
  <c r="I272" i="49" s="1"/>
  <c r="A273" i="49"/>
  <c r="B273" i="49"/>
  <c r="C273" i="49"/>
  <c r="I273" i="49" s="1"/>
  <c r="A274" i="49"/>
  <c r="B274" i="49"/>
  <c r="C274" i="49"/>
  <c r="I274" i="49" s="1"/>
  <c r="A275" i="49"/>
  <c r="B275" i="49"/>
  <c r="A276" i="49"/>
  <c r="B276" i="49"/>
  <c r="C276" i="49"/>
  <c r="A277" i="49"/>
  <c r="B277" i="49"/>
  <c r="C277" i="49"/>
  <c r="A278" i="49"/>
  <c r="B278" i="49"/>
  <c r="C278" i="49"/>
  <c r="I278" i="49" s="1"/>
  <c r="A279" i="49"/>
  <c r="B279" i="49"/>
  <c r="C279" i="49"/>
  <c r="A280" i="49"/>
  <c r="B280" i="49"/>
  <c r="C280" i="49"/>
  <c r="A281" i="49"/>
  <c r="B281" i="49"/>
  <c r="C281" i="49"/>
  <c r="A282" i="49"/>
  <c r="B282" i="49"/>
  <c r="C282" i="49"/>
  <c r="I282" i="49" s="1"/>
  <c r="A283" i="49"/>
  <c r="B283" i="49"/>
  <c r="C283" i="49"/>
  <c r="A284" i="49"/>
  <c r="B284" i="49"/>
  <c r="C284" i="49"/>
  <c r="A285" i="49"/>
  <c r="B285" i="49"/>
  <c r="C285" i="49"/>
  <c r="A286" i="49"/>
  <c r="B286" i="49"/>
  <c r="C286" i="49"/>
  <c r="A287" i="49"/>
  <c r="B287" i="49"/>
  <c r="C287" i="49"/>
  <c r="I287" i="49" s="1"/>
  <c r="A288" i="49"/>
  <c r="B288" i="49"/>
  <c r="C288" i="49"/>
  <c r="I288" i="49" s="1"/>
  <c r="A289" i="49"/>
  <c r="B289" i="49"/>
  <c r="C289" i="49"/>
  <c r="A290" i="49"/>
  <c r="B290" i="49"/>
  <c r="C290" i="49"/>
  <c r="A291" i="49"/>
  <c r="B291" i="49"/>
  <c r="C291" i="49"/>
  <c r="A292" i="49"/>
  <c r="B292" i="49"/>
  <c r="C292" i="49"/>
  <c r="A293" i="49"/>
  <c r="B293" i="49"/>
  <c r="C293" i="49"/>
  <c r="A294" i="49"/>
  <c r="B294" i="49"/>
  <c r="C294" i="49"/>
  <c r="I294" i="49" s="1"/>
  <c r="A295" i="49"/>
  <c r="B295" i="49"/>
  <c r="C295" i="49"/>
  <c r="A296" i="49"/>
  <c r="B296" i="49"/>
  <c r="C296" i="49"/>
  <c r="I296" i="49" s="1"/>
  <c r="A297" i="49"/>
  <c r="B297" i="49"/>
  <c r="C297" i="49"/>
  <c r="I297" i="49" s="1"/>
  <c r="A298" i="49"/>
  <c r="B298" i="49"/>
  <c r="C298" i="49"/>
  <c r="I298" i="49" s="1"/>
  <c r="A299" i="49"/>
  <c r="B299" i="49"/>
  <c r="C299" i="49"/>
  <c r="A300" i="49"/>
  <c r="B300" i="49"/>
  <c r="C300" i="49"/>
  <c r="A301" i="49"/>
  <c r="B301" i="49"/>
  <c r="C301" i="49"/>
  <c r="A302" i="49"/>
  <c r="B302" i="49"/>
  <c r="C302" i="49"/>
  <c r="A303" i="49"/>
  <c r="B303" i="49"/>
  <c r="C303" i="49"/>
  <c r="A304" i="49"/>
  <c r="B304" i="49"/>
  <c r="C304" i="49"/>
  <c r="I304" i="49" s="1"/>
  <c r="A305" i="49"/>
  <c r="B305" i="49"/>
  <c r="C305" i="49"/>
  <c r="C68" i="49"/>
  <c r="C235" i="49"/>
  <c r="P113" i="19"/>
  <c r="R113" i="19" s="1"/>
  <c r="AC113" i="42" s="1"/>
  <c r="P143" i="19"/>
  <c r="R143" i="19" s="1"/>
  <c r="P21" i="19"/>
  <c r="R21" i="19" s="1"/>
  <c r="AL235" i="42"/>
  <c r="AD235" i="42"/>
  <c r="AL68" i="42"/>
  <c r="AD68" i="42"/>
  <c r="C155" i="49"/>
  <c r="C275" i="49"/>
  <c r="I275" i="49" s="1"/>
  <c r="AD155" i="42"/>
  <c r="AD275" i="42"/>
  <c r="AL275" i="42"/>
  <c r="AL155" i="42"/>
  <c r="AK143" i="42"/>
  <c r="AM143" i="42"/>
  <c r="AD6" i="42"/>
  <c r="B33" i="40"/>
  <c r="B56" i="40"/>
  <c r="C228" i="19"/>
  <c r="L228" i="19" s="1"/>
  <c r="AD29" i="42"/>
  <c r="A1" i="42"/>
  <c r="E12" i="9"/>
  <c r="E11" i="9"/>
  <c r="D11" i="9"/>
  <c r="D12" i="9"/>
  <c r="D312" i="9"/>
  <c r="F12" i="9"/>
  <c r="E312" i="9"/>
  <c r="D6" i="13"/>
  <c r="AJ306" i="42"/>
  <c r="B6" i="54"/>
  <c r="E63" i="48" s="1"/>
  <c r="A6" i="54"/>
  <c r="B6" i="11"/>
  <c r="C7" i="34"/>
  <c r="C6" i="34"/>
  <c r="H5" i="39"/>
  <c r="D5" i="25"/>
  <c r="D305" i="25" s="1"/>
  <c r="B5" i="25"/>
  <c r="A5" i="25"/>
  <c r="A2" i="25"/>
  <c r="A2" i="49"/>
  <c r="A2" i="13"/>
  <c r="A2" i="39"/>
  <c r="A2" i="12"/>
  <c r="A2" i="34"/>
  <c r="A2" i="11"/>
  <c r="A2" i="37"/>
  <c r="A2" i="36"/>
  <c r="A2" i="9"/>
  <c r="A2" i="33"/>
  <c r="A2" i="19"/>
  <c r="A2" i="42"/>
  <c r="E46" i="40"/>
  <c r="A32" i="40"/>
  <c r="I45" i="40"/>
  <c r="A56" i="40"/>
  <c r="D5" i="49"/>
  <c r="Q5" i="19"/>
  <c r="X5" i="42"/>
  <c r="E6" i="49"/>
  <c r="D6" i="49"/>
  <c r="D306" i="49" s="1"/>
  <c r="C6" i="49"/>
  <c r="I6" i="49" s="1"/>
  <c r="AR306" i="42"/>
  <c r="J6" i="11"/>
  <c r="E6" i="11"/>
  <c r="AN306" i="42"/>
  <c r="AL6" i="42"/>
  <c r="AH306" i="42"/>
  <c r="AG306" i="42"/>
  <c r="AB306" i="42"/>
  <c r="AF306" i="42"/>
  <c r="D6" i="33"/>
  <c r="R5" i="19"/>
  <c r="O6" i="19"/>
  <c r="O306" i="19" s="1"/>
  <c r="S306" i="42"/>
  <c r="H306" i="42"/>
  <c r="I306" i="42"/>
  <c r="J306" i="42"/>
  <c r="N306" i="42"/>
  <c r="J5" i="12"/>
  <c r="G306" i="42"/>
  <c r="K306" i="42"/>
  <c r="L306" i="42"/>
  <c r="D306" i="42"/>
  <c r="E306" i="42"/>
  <c r="C306" i="42"/>
  <c r="D6" i="19"/>
  <c r="L6" i="19" s="1"/>
  <c r="H5" i="33"/>
  <c r="I5" i="33"/>
  <c r="J5" i="33"/>
  <c r="K5" i="33"/>
  <c r="H4" i="33"/>
  <c r="I4" i="33"/>
  <c r="J4" i="33"/>
  <c r="K4" i="33"/>
  <c r="F6" i="37"/>
  <c r="Q6" i="19"/>
  <c r="C5" i="25"/>
  <c r="Z5" i="42"/>
  <c r="U306" i="42"/>
  <c r="V306" i="42"/>
  <c r="W306" i="42"/>
  <c r="A6" i="11"/>
  <c r="K6" i="19"/>
  <c r="N6" i="19"/>
  <c r="G6" i="19"/>
  <c r="F6" i="19"/>
  <c r="M6" i="19"/>
  <c r="E6" i="19"/>
  <c r="L5" i="11"/>
  <c r="G5" i="11"/>
  <c r="B6" i="49"/>
  <c r="A6" i="49"/>
  <c r="B7" i="48"/>
  <c r="F8" i="48" s="1"/>
  <c r="C33" i="40"/>
  <c r="B6" i="13"/>
  <c r="B306" i="13" s="1"/>
  <c r="A6" i="13"/>
  <c r="B6" i="39"/>
  <c r="B306" i="39" s="1"/>
  <c r="A6" i="39"/>
  <c r="B6" i="12"/>
  <c r="A6" i="12"/>
  <c r="D12" i="34"/>
  <c r="B12" i="34"/>
  <c r="B312" i="34" s="1"/>
  <c r="A12" i="34"/>
  <c r="C6" i="37"/>
  <c r="C306" i="37" s="1"/>
  <c r="B6" i="37"/>
  <c r="B306" i="37" s="1"/>
  <c r="A6" i="37"/>
  <c r="C9" i="36"/>
  <c r="E9" i="36" s="1"/>
  <c r="B9" i="36"/>
  <c r="B309" i="36" s="1"/>
  <c r="A9" i="36"/>
  <c r="B12" i="9"/>
  <c r="B312" i="9" s="1"/>
  <c r="A12" i="9"/>
  <c r="E15" i="48"/>
  <c r="E14" i="48"/>
  <c r="B306" i="12"/>
  <c r="G4" i="33"/>
  <c r="G5" i="33"/>
  <c r="B6" i="33"/>
  <c r="B306" i="33" s="1"/>
  <c r="A6" i="33"/>
  <c r="B6" i="19"/>
  <c r="A6" i="19"/>
  <c r="R306" i="42"/>
  <c r="Q306" i="42"/>
  <c r="P306" i="42"/>
  <c r="O306" i="42"/>
  <c r="B306" i="42"/>
  <c r="D34" i="57"/>
  <c r="D32" i="57"/>
  <c r="D25" i="57"/>
  <c r="E5" i="37"/>
  <c r="E8" i="36"/>
  <c r="D33" i="40"/>
  <c r="F8" i="36"/>
  <c r="E33" i="40"/>
  <c r="G8" i="36"/>
  <c r="F33" i="40"/>
  <c r="H8" i="36" s="1"/>
  <c r="G33" i="40"/>
  <c r="I8" i="36"/>
  <c r="H33" i="40"/>
  <c r="J8" i="36"/>
  <c r="D8" i="36"/>
  <c r="C6" i="19"/>
  <c r="C306" i="19" s="1"/>
  <c r="H6" i="19"/>
  <c r="I6" i="19"/>
  <c r="J6" i="19"/>
  <c r="J306" i="19" s="1"/>
  <c r="E5" i="36"/>
  <c r="G5" i="36"/>
  <c r="I5" i="36"/>
  <c r="H5" i="36"/>
  <c r="G6" i="36"/>
  <c r="D5" i="36"/>
  <c r="D6" i="36"/>
  <c r="E6" i="36"/>
  <c r="F5" i="36"/>
  <c r="F6" i="36"/>
  <c r="H6" i="36"/>
  <c r="J5" i="36"/>
  <c r="I6" i="36"/>
  <c r="Z306" i="42"/>
  <c r="E306" i="11"/>
  <c r="B306" i="11"/>
  <c r="E306" i="19"/>
  <c r="B305" i="25"/>
  <c r="E6" i="13"/>
  <c r="F306" i="42"/>
  <c r="F63" i="48"/>
  <c r="I306" i="54"/>
  <c r="D63" i="48"/>
  <c r="C306" i="54"/>
  <c r="F306" i="54"/>
  <c r="M306" i="19" l="1"/>
  <c r="E8" i="57"/>
  <c r="D13" i="57"/>
  <c r="F228" i="49"/>
  <c r="G228" i="49" s="1"/>
  <c r="P228" i="19"/>
  <c r="R228" i="19" s="1"/>
  <c r="P6" i="19"/>
  <c r="R6" i="19" s="1"/>
  <c r="F6" i="49"/>
  <c r="G6" i="49" s="1"/>
  <c r="F120" i="49"/>
  <c r="G120" i="49" s="1"/>
  <c r="P120" i="19"/>
  <c r="R120" i="19" s="1"/>
  <c r="C264" i="25"/>
  <c r="E265" i="13"/>
  <c r="F265" i="13" s="1"/>
  <c r="C233" i="25"/>
  <c r="E234" i="13"/>
  <c r="F234" i="13" s="1"/>
  <c r="C218" i="25"/>
  <c r="E219" i="13"/>
  <c r="F219" i="13" s="1"/>
  <c r="C194" i="25"/>
  <c r="E195" i="13"/>
  <c r="F195" i="13" s="1"/>
  <c r="C178" i="25"/>
  <c r="E179" i="13"/>
  <c r="F179" i="13" s="1"/>
  <c r="D306" i="19"/>
  <c r="E20" i="25"/>
  <c r="J21" i="49"/>
  <c r="C21" i="13"/>
  <c r="C21" i="39"/>
  <c r="C21" i="12"/>
  <c r="C21" i="33"/>
  <c r="C27" i="9"/>
  <c r="C304" i="25"/>
  <c r="E305" i="13"/>
  <c r="F305" i="13" s="1"/>
  <c r="C296" i="25"/>
  <c r="E297" i="13"/>
  <c r="F297" i="13" s="1"/>
  <c r="C288" i="25"/>
  <c r="E289" i="13"/>
  <c r="F289" i="13" s="1"/>
  <c r="C280" i="25"/>
  <c r="E281" i="13"/>
  <c r="F281" i="13" s="1"/>
  <c r="C272" i="25"/>
  <c r="E273" i="13"/>
  <c r="F273" i="13" s="1"/>
  <c r="C265" i="25"/>
  <c r="E266" i="13"/>
  <c r="F266" i="13" s="1"/>
  <c r="C258" i="25"/>
  <c r="E259" i="13"/>
  <c r="F259" i="13" s="1"/>
  <c r="C250" i="25"/>
  <c r="E251" i="13"/>
  <c r="F251" i="13" s="1"/>
  <c r="C242" i="25"/>
  <c r="E243" i="13"/>
  <c r="F243" i="13" s="1"/>
  <c r="C234" i="25"/>
  <c r="E235" i="13"/>
  <c r="F235" i="13" s="1"/>
  <c r="C219" i="25"/>
  <c r="E220" i="13"/>
  <c r="F220" i="13" s="1"/>
  <c r="C211" i="25"/>
  <c r="E212" i="13"/>
  <c r="F212" i="13" s="1"/>
  <c r="C203" i="25"/>
  <c r="E204" i="13"/>
  <c r="F204" i="13" s="1"/>
  <c r="C195" i="25"/>
  <c r="E196" i="13"/>
  <c r="F196" i="13" s="1"/>
  <c r="C187" i="25"/>
  <c r="E188" i="13"/>
  <c r="F188" i="13" s="1"/>
  <c r="C179" i="25"/>
  <c r="E180" i="13"/>
  <c r="F180" i="13" s="1"/>
  <c r="C287" i="25"/>
  <c r="E288" i="13"/>
  <c r="F288" i="13" s="1"/>
  <c r="C271" i="25"/>
  <c r="E272" i="13"/>
  <c r="F272" i="13" s="1"/>
  <c r="C257" i="25"/>
  <c r="E258" i="13"/>
  <c r="F258" i="13" s="1"/>
  <c r="C210" i="25"/>
  <c r="E211" i="13"/>
  <c r="F211" i="13" s="1"/>
  <c r="C202" i="25"/>
  <c r="E203" i="13"/>
  <c r="F203" i="13" s="1"/>
  <c r="C186" i="25"/>
  <c r="E187" i="13"/>
  <c r="F187" i="13" s="1"/>
  <c r="P137" i="19"/>
  <c r="R137" i="19" s="1"/>
  <c r="C297" i="25"/>
  <c r="E298" i="13"/>
  <c r="F298" i="13" s="1"/>
  <c r="C289" i="25"/>
  <c r="E290" i="13"/>
  <c r="F290" i="13" s="1"/>
  <c r="C281" i="25"/>
  <c r="E282" i="13"/>
  <c r="F282" i="13" s="1"/>
  <c r="C273" i="25"/>
  <c r="E274" i="13"/>
  <c r="F274" i="13" s="1"/>
  <c r="C266" i="25"/>
  <c r="E267" i="13"/>
  <c r="F267" i="13" s="1"/>
  <c r="C259" i="25"/>
  <c r="E260" i="13"/>
  <c r="F260" i="13" s="1"/>
  <c r="C251" i="25"/>
  <c r="E252" i="13"/>
  <c r="F252" i="13" s="1"/>
  <c r="C243" i="25"/>
  <c r="E244" i="13"/>
  <c r="F244" i="13" s="1"/>
  <c r="C235" i="25"/>
  <c r="E236" i="13"/>
  <c r="F236" i="13" s="1"/>
  <c r="C227" i="25"/>
  <c r="E228" i="13"/>
  <c r="F228" i="13" s="1"/>
  <c r="C220" i="25"/>
  <c r="E221" i="13"/>
  <c r="F221" i="13" s="1"/>
  <c r="C212" i="25"/>
  <c r="E213" i="13"/>
  <c r="F213" i="13" s="1"/>
  <c r="C204" i="25"/>
  <c r="E205" i="13"/>
  <c r="F205" i="13" s="1"/>
  <c r="C196" i="25"/>
  <c r="E197" i="13"/>
  <c r="F197" i="13" s="1"/>
  <c r="C188" i="25"/>
  <c r="E189" i="13"/>
  <c r="F189" i="13" s="1"/>
  <c r="C180" i="25"/>
  <c r="E181" i="13"/>
  <c r="F181" i="13" s="1"/>
  <c r="C226" i="25"/>
  <c r="E227" i="13"/>
  <c r="F227" i="13" s="1"/>
  <c r="C298" i="25"/>
  <c r="E299" i="13"/>
  <c r="F299" i="13" s="1"/>
  <c r="C290" i="25"/>
  <c r="E291" i="13"/>
  <c r="F291" i="13" s="1"/>
  <c r="C282" i="25"/>
  <c r="E283" i="13"/>
  <c r="F283" i="13" s="1"/>
  <c r="C274" i="25"/>
  <c r="E275" i="13"/>
  <c r="F275" i="13" s="1"/>
  <c r="C267" i="25"/>
  <c r="E268" i="13"/>
  <c r="F268" i="13" s="1"/>
  <c r="C252" i="25"/>
  <c r="E253" i="13"/>
  <c r="F253" i="13" s="1"/>
  <c r="C244" i="25"/>
  <c r="E245" i="13"/>
  <c r="F245" i="13" s="1"/>
  <c r="C236" i="25"/>
  <c r="E237" i="13"/>
  <c r="F237" i="13" s="1"/>
  <c r="C228" i="25"/>
  <c r="E229" i="13"/>
  <c r="F229" i="13" s="1"/>
  <c r="C221" i="25"/>
  <c r="E222" i="13"/>
  <c r="F222" i="13" s="1"/>
  <c r="C213" i="25"/>
  <c r="E214" i="13"/>
  <c r="F214" i="13" s="1"/>
  <c r="C205" i="25"/>
  <c r="E206" i="13"/>
  <c r="F206" i="13" s="1"/>
  <c r="C197" i="25"/>
  <c r="E198" i="13"/>
  <c r="F198" i="13" s="1"/>
  <c r="C189" i="25"/>
  <c r="E190" i="13"/>
  <c r="F190" i="13" s="1"/>
  <c r="C181" i="25"/>
  <c r="E182" i="13"/>
  <c r="F182" i="13" s="1"/>
  <c r="C166" i="25"/>
  <c r="E167" i="13"/>
  <c r="F167" i="13" s="1"/>
  <c r="C158" i="25"/>
  <c r="E159" i="13"/>
  <c r="F159" i="13" s="1"/>
  <c r="C150" i="25"/>
  <c r="E151" i="13"/>
  <c r="F151" i="13" s="1"/>
  <c r="C142" i="25"/>
  <c r="E143" i="13"/>
  <c r="F143" i="13" s="1"/>
  <c r="C128" i="25"/>
  <c r="E129" i="13"/>
  <c r="F129" i="13" s="1"/>
  <c r="C120" i="25"/>
  <c r="E121" i="13"/>
  <c r="F121" i="13" s="1"/>
  <c r="C113" i="25"/>
  <c r="E114" i="13"/>
  <c r="F114" i="13" s="1"/>
  <c r="C106" i="25"/>
  <c r="E107" i="13"/>
  <c r="F107" i="13" s="1"/>
  <c r="C98" i="25"/>
  <c r="E99" i="13"/>
  <c r="F99" i="13" s="1"/>
  <c r="C90" i="25"/>
  <c r="E91" i="13"/>
  <c r="F91" i="13" s="1"/>
  <c r="C82" i="25"/>
  <c r="E83" i="13"/>
  <c r="F83" i="13" s="1"/>
  <c r="C74" i="25"/>
  <c r="E75" i="13"/>
  <c r="F75" i="13" s="1"/>
  <c r="C66" i="25"/>
  <c r="E67" i="13"/>
  <c r="F67" i="13" s="1"/>
  <c r="C58" i="25"/>
  <c r="E59" i="13"/>
  <c r="F59" i="13" s="1"/>
  <c r="C50" i="25"/>
  <c r="E51" i="13"/>
  <c r="F51" i="13" s="1"/>
  <c r="C42" i="25"/>
  <c r="E43" i="13"/>
  <c r="F43" i="13" s="1"/>
  <c r="C34" i="25"/>
  <c r="E35" i="13"/>
  <c r="F35" i="13" s="1"/>
  <c r="C26" i="25"/>
  <c r="E27" i="13"/>
  <c r="F27" i="13" s="1"/>
  <c r="C19" i="25"/>
  <c r="E20" i="13"/>
  <c r="F20" i="13" s="1"/>
  <c r="C11" i="25"/>
  <c r="E12" i="13"/>
  <c r="F12" i="13" s="1"/>
  <c r="C279" i="25"/>
  <c r="E280" i="13"/>
  <c r="F280" i="13" s="1"/>
  <c r="C249" i="25"/>
  <c r="E250" i="13"/>
  <c r="F250" i="13" s="1"/>
  <c r="F6" i="13"/>
  <c r="B306" i="49"/>
  <c r="P175" i="19"/>
  <c r="R175" i="19" s="1"/>
  <c r="C299" i="25"/>
  <c r="E300" i="13"/>
  <c r="F300" i="13" s="1"/>
  <c r="C291" i="25"/>
  <c r="E292" i="13"/>
  <c r="F292" i="13" s="1"/>
  <c r="C283" i="25"/>
  <c r="E284" i="13"/>
  <c r="F284" i="13" s="1"/>
  <c r="C275" i="25"/>
  <c r="E276" i="13"/>
  <c r="F276" i="13" s="1"/>
  <c r="C268" i="25"/>
  <c r="E269" i="13"/>
  <c r="F269" i="13" s="1"/>
  <c r="C260" i="25"/>
  <c r="E261" i="13"/>
  <c r="F261" i="13" s="1"/>
  <c r="C253" i="25"/>
  <c r="E254" i="13"/>
  <c r="F254" i="13" s="1"/>
  <c r="C245" i="25"/>
  <c r="E246" i="13"/>
  <c r="F246" i="13" s="1"/>
  <c r="C237" i="25"/>
  <c r="E238" i="13"/>
  <c r="F238" i="13" s="1"/>
  <c r="C229" i="25"/>
  <c r="E230" i="13"/>
  <c r="F230" i="13" s="1"/>
  <c r="C222" i="25"/>
  <c r="E223" i="13"/>
  <c r="F223" i="13" s="1"/>
  <c r="C214" i="25"/>
  <c r="E215" i="13"/>
  <c r="F215" i="13" s="1"/>
  <c r="C206" i="25"/>
  <c r="E207" i="13"/>
  <c r="F207" i="13" s="1"/>
  <c r="C198" i="25"/>
  <c r="E199" i="13"/>
  <c r="F199" i="13" s="1"/>
  <c r="C190" i="25"/>
  <c r="E191" i="13"/>
  <c r="F191" i="13" s="1"/>
  <c r="C182" i="25"/>
  <c r="E183" i="13"/>
  <c r="F183" i="13" s="1"/>
  <c r="C306" i="49"/>
  <c r="E142" i="25"/>
  <c r="J143" i="49"/>
  <c r="C143" i="13"/>
  <c r="C143" i="39"/>
  <c r="C143" i="12"/>
  <c r="C143" i="33"/>
  <c r="C149" i="9"/>
  <c r="L304" i="19"/>
  <c r="F304" i="49" s="1"/>
  <c r="G304" i="49" s="1"/>
  <c r="L303" i="19"/>
  <c r="F303" i="49" s="1"/>
  <c r="G303" i="49" s="1"/>
  <c r="L301" i="19"/>
  <c r="F301" i="49" s="1"/>
  <c r="G301" i="49" s="1"/>
  <c r="L300" i="19"/>
  <c r="F300" i="49" s="1"/>
  <c r="G300" i="49" s="1"/>
  <c r="L299" i="19"/>
  <c r="F299" i="49" s="1"/>
  <c r="G299" i="49" s="1"/>
  <c r="L298" i="19"/>
  <c r="F298" i="49" s="1"/>
  <c r="G298" i="49" s="1"/>
  <c r="L295" i="19"/>
  <c r="F295" i="49" s="1"/>
  <c r="G295" i="49" s="1"/>
  <c r="L294" i="19"/>
  <c r="F294" i="49" s="1"/>
  <c r="G294" i="49" s="1"/>
  <c r="C292" i="25"/>
  <c r="E293" i="13"/>
  <c r="F293" i="13" s="1"/>
  <c r="L293" i="19"/>
  <c r="F293" i="49" s="1"/>
  <c r="G293" i="49" s="1"/>
  <c r="L292" i="19"/>
  <c r="F292" i="49" s="1"/>
  <c r="G292" i="49" s="1"/>
  <c r="L291" i="19"/>
  <c r="F291" i="49" s="1"/>
  <c r="G291" i="49" s="1"/>
  <c r="L290" i="19"/>
  <c r="F290" i="49" s="1"/>
  <c r="G290" i="49" s="1"/>
  <c r="L288" i="19"/>
  <c r="F288" i="49" s="1"/>
  <c r="G288" i="49" s="1"/>
  <c r="L287" i="19"/>
  <c r="F287" i="49" s="1"/>
  <c r="G287" i="49" s="1"/>
  <c r="L286" i="19"/>
  <c r="F286" i="49" s="1"/>
  <c r="G286" i="49" s="1"/>
  <c r="C284" i="25"/>
  <c r="E285" i="13"/>
  <c r="F285" i="13" s="1"/>
  <c r="L285" i="19"/>
  <c r="L284" i="19"/>
  <c r="F284" i="49" s="1"/>
  <c r="G284" i="49" s="1"/>
  <c r="L283" i="19"/>
  <c r="F283" i="49" s="1"/>
  <c r="G283" i="49" s="1"/>
  <c r="L282" i="19"/>
  <c r="F282" i="49" s="1"/>
  <c r="G282" i="49" s="1"/>
  <c r="L280" i="19"/>
  <c r="F280" i="49" s="1"/>
  <c r="G280" i="49" s="1"/>
  <c r="L279" i="19"/>
  <c r="F279" i="49" s="1"/>
  <c r="G279" i="49" s="1"/>
  <c r="L278" i="19"/>
  <c r="F278" i="49" s="1"/>
  <c r="G278" i="49" s="1"/>
  <c r="C276" i="25"/>
  <c r="E277" i="13"/>
  <c r="F277" i="13" s="1"/>
  <c r="L277" i="19"/>
  <c r="F277" i="49" s="1"/>
  <c r="G277" i="49" s="1"/>
  <c r="L276" i="19"/>
  <c r="F276" i="49" s="1"/>
  <c r="G276" i="49" s="1"/>
  <c r="L275" i="19"/>
  <c r="F275" i="49" s="1"/>
  <c r="G275" i="49" s="1"/>
  <c r="L274" i="19"/>
  <c r="F274" i="49" s="1"/>
  <c r="G274" i="49" s="1"/>
  <c r="L272" i="19"/>
  <c r="F272" i="49" s="1"/>
  <c r="G272" i="49" s="1"/>
  <c r="L271" i="19"/>
  <c r="C269" i="25"/>
  <c r="E270" i="13"/>
  <c r="F270" i="13" s="1"/>
  <c r="L270" i="19"/>
  <c r="F270" i="49" s="1"/>
  <c r="G270" i="49" s="1"/>
  <c r="L269" i="19"/>
  <c r="F269" i="49" s="1"/>
  <c r="G269" i="49" s="1"/>
  <c r="L268" i="19"/>
  <c r="F268" i="49" s="1"/>
  <c r="G268" i="49" s="1"/>
  <c r="L267" i="19"/>
  <c r="F267" i="49" s="1"/>
  <c r="G267" i="49" s="1"/>
  <c r="L265" i="19"/>
  <c r="F265" i="49" s="1"/>
  <c r="G265" i="49" s="1"/>
  <c r="L264" i="19"/>
  <c r="F264" i="49" s="1"/>
  <c r="G264" i="49" s="1"/>
  <c r="L263" i="19"/>
  <c r="F263" i="49" s="1"/>
  <c r="G263" i="49" s="1"/>
  <c r="C261" i="25"/>
  <c r="E262" i="13"/>
  <c r="F262" i="13" s="1"/>
  <c r="L262" i="19"/>
  <c r="F262" i="49" s="1"/>
  <c r="G262" i="49" s="1"/>
  <c r="L261" i="19"/>
  <c r="L260" i="19"/>
  <c r="F260" i="49" s="1"/>
  <c r="G260" i="49" s="1"/>
  <c r="L258" i="19"/>
  <c r="F258" i="49" s="1"/>
  <c r="G258" i="49" s="1"/>
  <c r="L257" i="19"/>
  <c r="F257" i="49" s="1"/>
  <c r="G257" i="49" s="1"/>
  <c r="L256" i="19"/>
  <c r="F256" i="49" s="1"/>
  <c r="G256" i="49" s="1"/>
  <c r="C254" i="25"/>
  <c r="E255" i="13"/>
  <c r="F255" i="13" s="1"/>
  <c r="L255" i="19"/>
  <c r="F255" i="49" s="1"/>
  <c r="G255" i="49" s="1"/>
  <c r="L254" i="19"/>
  <c r="F254" i="49" s="1"/>
  <c r="G254" i="49" s="1"/>
  <c r="L253" i="19"/>
  <c r="F253" i="49" s="1"/>
  <c r="G253" i="49" s="1"/>
  <c r="L252" i="19"/>
  <c r="F252" i="49" s="1"/>
  <c r="G252" i="49" s="1"/>
  <c r="L250" i="19"/>
  <c r="F250" i="49" s="1"/>
  <c r="G250" i="49" s="1"/>
  <c r="L249" i="19"/>
  <c r="F249" i="49" s="1"/>
  <c r="G249" i="49" s="1"/>
  <c r="L248" i="19"/>
  <c r="F248" i="49" s="1"/>
  <c r="G248" i="49" s="1"/>
  <c r="C246" i="25"/>
  <c r="E247" i="13"/>
  <c r="F247" i="13" s="1"/>
  <c r="L247" i="19"/>
  <c r="F247" i="49" s="1"/>
  <c r="G247" i="49" s="1"/>
  <c r="L246" i="19"/>
  <c r="F246" i="49" s="1"/>
  <c r="G246" i="49" s="1"/>
  <c r="L245" i="19"/>
  <c r="F245" i="49" s="1"/>
  <c r="G245" i="49" s="1"/>
  <c r="L244" i="19"/>
  <c r="F244" i="49" s="1"/>
  <c r="G244" i="49" s="1"/>
  <c r="L242" i="19"/>
  <c r="F242" i="49" s="1"/>
  <c r="G242" i="49" s="1"/>
  <c r="L241" i="19"/>
  <c r="F241" i="49" s="1"/>
  <c r="G241" i="49" s="1"/>
  <c r="L240" i="19"/>
  <c r="F240" i="49" s="1"/>
  <c r="G240" i="49" s="1"/>
  <c r="C238" i="25"/>
  <c r="E239" i="13"/>
  <c r="F239" i="13" s="1"/>
  <c r="L239" i="19"/>
  <c r="F239" i="49" s="1"/>
  <c r="G239" i="49" s="1"/>
  <c r="L238" i="19"/>
  <c r="F238" i="49" s="1"/>
  <c r="G238" i="49" s="1"/>
  <c r="L237" i="19"/>
  <c r="F237" i="49" s="1"/>
  <c r="G237" i="49" s="1"/>
  <c r="L236" i="19"/>
  <c r="F236" i="49" s="1"/>
  <c r="G236" i="49" s="1"/>
  <c r="L234" i="19"/>
  <c r="F234" i="49" s="1"/>
  <c r="G234" i="49" s="1"/>
  <c r="L233" i="19"/>
  <c r="F233" i="49" s="1"/>
  <c r="G233" i="49" s="1"/>
  <c r="L232" i="19"/>
  <c r="F232" i="49" s="1"/>
  <c r="G232" i="49" s="1"/>
  <c r="C230" i="25"/>
  <c r="E231" i="13"/>
  <c r="F231" i="13" s="1"/>
  <c r="L231" i="19"/>
  <c r="F231" i="49" s="1"/>
  <c r="G231" i="49" s="1"/>
  <c r="L230" i="19"/>
  <c r="F230" i="49" s="1"/>
  <c r="G230" i="49" s="1"/>
  <c r="L229" i="19"/>
  <c r="F229" i="49" s="1"/>
  <c r="G229" i="49" s="1"/>
  <c r="L227" i="19"/>
  <c r="F227" i="49" s="1"/>
  <c r="G227" i="49" s="1"/>
  <c r="L226" i="19"/>
  <c r="F226" i="49" s="1"/>
  <c r="G226" i="49" s="1"/>
  <c r="L225" i="19"/>
  <c r="F225" i="49" s="1"/>
  <c r="G225" i="49" s="1"/>
  <c r="C223" i="25"/>
  <c r="E224" i="13"/>
  <c r="F224" i="13" s="1"/>
  <c r="L224" i="19"/>
  <c r="F224" i="49" s="1"/>
  <c r="G224" i="49" s="1"/>
  <c r="L223" i="19"/>
  <c r="F223" i="49" s="1"/>
  <c r="G223" i="49" s="1"/>
  <c r="L222" i="19"/>
  <c r="F222" i="49" s="1"/>
  <c r="G222" i="49" s="1"/>
  <c r="L221" i="19"/>
  <c r="F221" i="49" s="1"/>
  <c r="G221" i="49" s="1"/>
  <c r="L219" i="19"/>
  <c r="F219" i="49" s="1"/>
  <c r="G219" i="49" s="1"/>
  <c r="L218" i="19"/>
  <c r="F218" i="49" s="1"/>
  <c r="G218" i="49" s="1"/>
  <c r="L217" i="19"/>
  <c r="F217" i="49" s="1"/>
  <c r="G217" i="49" s="1"/>
  <c r="C215" i="25"/>
  <c r="E216" i="13"/>
  <c r="F216" i="13" s="1"/>
  <c r="L216" i="19"/>
  <c r="F216" i="49" s="1"/>
  <c r="G216" i="49" s="1"/>
  <c r="L215" i="19"/>
  <c r="F215" i="49" s="1"/>
  <c r="G215" i="49" s="1"/>
  <c r="L214" i="19"/>
  <c r="F214" i="49" s="1"/>
  <c r="G214" i="49" s="1"/>
  <c r="L213" i="19"/>
  <c r="F213" i="49" s="1"/>
  <c r="G213" i="49" s="1"/>
  <c r="L211" i="19"/>
  <c r="F211" i="49" s="1"/>
  <c r="G211" i="49" s="1"/>
  <c r="L210" i="19"/>
  <c r="F210" i="49" s="1"/>
  <c r="G210" i="49" s="1"/>
  <c r="L209" i="19"/>
  <c r="F209" i="49" s="1"/>
  <c r="G209" i="49" s="1"/>
  <c r="C207" i="25"/>
  <c r="E208" i="13"/>
  <c r="F208" i="13" s="1"/>
  <c r="L208" i="19"/>
  <c r="F208" i="49" s="1"/>
  <c r="G208" i="49" s="1"/>
  <c r="L207" i="19"/>
  <c r="F207" i="49" s="1"/>
  <c r="G207" i="49" s="1"/>
  <c r="L206" i="19"/>
  <c r="F206" i="49" s="1"/>
  <c r="G206" i="49" s="1"/>
  <c r="L205" i="19"/>
  <c r="F205" i="49" s="1"/>
  <c r="G205" i="49" s="1"/>
  <c r="L203" i="19"/>
  <c r="F203" i="49" s="1"/>
  <c r="G203" i="49" s="1"/>
  <c r="L202" i="19"/>
  <c r="F202" i="49" s="1"/>
  <c r="G202" i="49" s="1"/>
  <c r="L201" i="19"/>
  <c r="F201" i="49" s="1"/>
  <c r="G201" i="49" s="1"/>
  <c r="C199" i="25"/>
  <c r="E200" i="13"/>
  <c r="F200" i="13" s="1"/>
  <c r="L200" i="19"/>
  <c r="F200" i="49" s="1"/>
  <c r="G200" i="49" s="1"/>
  <c r="L199" i="19"/>
  <c r="F199" i="49" s="1"/>
  <c r="G199" i="49" s="1"/>
  <c r="L198" i="19"/>
  <c r="F198" i="49" s="1"/>
  <c r="G198" i="49" s="1"/>
  <c r="L197" i="19"/>
  <c r="F197" i="49" s="1"/>
  <c r="G197" i="49" s="1"/>
  <c r="L195" i="19"/>
  <c r="F195" i="49" s="1"/>
  <c r="G195" i="49" s="1"/>
  <c r="L194" i="19"/>
  <c r="F194" i="49" s="1"/>
  <c r="G194" i="49" s="1"/>
  <c r="L193" i="19"/>
  <c r="F193" i="49" s="1"/>
  <c r="G193" i="49" s="1"/>
  <c r="C191" i="25"/>
  <c r="E192" i="13"/>
  <c r="F192" i="13" s="1"/>
  <c r="L192" i="19"/>
  <c r="F192" i="49" s="1"/>
  <c r="G192" i="49" s="1"/>
  <c r="L191" i="19"/>
  <c r="F191" i="49" s="1"/>
  <c r="G191" i="49" s="1"/>
  <c r="L190" i="19"/>
  <c r="F190" i="49" s="1"/>
  <c r="G190" i="49" s="1"/>
  <c r="L189" i="19"/>
  <c r="F189" i="49" s="1"/>
  <c r="G189" i="49" s="1"/>
  <c r="L187" i="19"/>
  <c r="F187" i="49" s="1"/>
  <c r="G187" i="49" s="1"/>
  <c r="L186" i="19"/>
  <c r="F186" i="49" s="1"/>
  <c r="G186" i="49" s="1"/>
  <c r="L185" i="19"/>
  <c r="F185" i="49" s="1"/>
  <c r="G185" i="49" s="1"/>
  <c r="C183" i="25"/>
  <c r="E184" i="13"/>
  <c r="F184" i="13" s="1"/>
  <c r="L184" i="19"/>
  <c r="F184" i="49" s="1"/>
  <c r="G184" i="49" s="1"/>
  <c r="L183" i="19"/>
  <c r="F183" i="49" s="1"/>
  <c r="G183" i="49" s="1"/>
  <c r="L182" i="19"/>
  <c r="F182" i="49" s="1"/>
  <c r="G182" i="49" s="1"/>
  <c r="L181" i="19"/>
  <c r="F181" i="49" s="1"/>
  <c r="G181" i="49" s="1"/>
  <c r="L179" i="19"/>
  <c r="F179" i="49" s="1"/>
  <c r="G179" i="49" s="1"/>
  <c r="L178" i="19"/>
  <c r="F178" i="49" s="1"/>
  <c r="G178" i="49" s="1"/>
  <c r="L177" i="19"/>
  <c r="F177" i="49" s="1"/>
  <c r="G177" i="49" s="1"/>
  <c r="C175" i="25"/>
  <c r="E176" i="13"/>
  <c r="F176" i="13" s="1"/>
  <c r="L176" i="19"/>
  <c r="F176" i="49" s="1"/>
  <c r="G176" i="49" s="1"/>
  <c r="L174" i="19"/>
  <c r="F174" i="49" s="1"/>
  <c r="G174" i="49" s="1"/>
  <c r="L172" i="19"/>
  <c r="F172" i="49" s="1"/>
  <c r="G172" i="49" s="1"/>
  <c r="L171" i="19"/>
  <c r="F171" i="49" s="1"/>
  <c r="G171" i="49" s="1"/>
  <c r="L170" i="19"/>
  <c r="F170" i="49" s="1"/>
  <c r="G170" i="49" s="1"/>
  <c r="C168" i="25"/>
  <c r="E169" i="13"/>
  <c r="F169" i="13" s="1"/>
  <c r="L169" i="19"/>
  <c r="F169" i="49" s="1"/>
  <c r="G169" i="49" s="1"/>
  <c r="L168" i="19"/>
  <c r="F168" i="49" s="1"/>
  <c r="G168" i="49" s="1"/>
  <c r="L167" i="19"/>
  <c r="F167" i="49" s="1"/>
  <c r="G167" i="49" s="1"/>
  <c r="L166" i="19"/>
  <c r="F166" i="49" s="1"/>
  <c r="G166" i="49" s="1"/>
  <c r="L164" i="19"/>
  <c r="F164" i="49" s="1"/>
  <c r="G164" i="49" s="1"/>
  <c r="L163" i="19"/>
  <c r="F163" i="49" s="1"/>
  <c r="G163" i="49" s="1"/>
  <c r="L162" i="19"/>
  <c r="F162" i="49" s="1"/>
  <c r="G162" i="49" s="1"/>
  <c r="C160" i="25"/>
  <c r="E161" i="13"/>
  <c r="F161" i="13" s="1"/>
  <c r="L161" i="19"/>
  <c r="F161" i="49" s="1"/>
  <c r="G161" i="49" s="1"/>
  <c r="L160" i="19"/>
  <c r="F160" i="49" s="1"/>
  <c r="G160" i="49" s="1"/>
  <c r="L159" i="19"/>
  <c r="F159" i="49" s="1"/>
  <c r="G159" i="49" s="1"/>
  <c r="L158" i="19"/>
  <c r="F158" i="49" s="1"/>
  <c r="G158" i="49" s="1"/>
  <c r="C295" i="25"/>
  <c r="E296" i="13"/>
  <c r="F296" i="13" s="1"/>
  <c r="E112" i="25"/>
  <c r="J113" i="49"/>
  <c r="C113" i="13"/>
  <c r="C113" i="39"/>
  <c r="C113" i="12"/>
  <c r="C119" i="9"/>
  <c r="C113" i="33"/>
  <c r="C301" i="25"/>
  <c r="E302" i="13"/>
  <c r="F302" i="13" s="1"/>
  <c r="C293" i="25"/>
  <c r="E294" i="13"/>
  <c r="F294" i="13" s="1"/>
  <c r="C285" i="25"/>
  <c r="E286" i="13"/>
  <c r="F286" i="13" s="1"/>
  <c r="C277" i="25"/>
  <c r="E278" i="13"/>
  <c r="F278" i="13" s="1"/>
  <c r="C262" i="25"/>
  <c r="E263" i="13"/>
  <c r="F263" i="13" s="1"/>
  <c r="C255" i="25"/>
  <c r="E256" i="13"/>
  <c r="F256" i="13" s="1"/>
  <c r="C247" i="25"/>
  <c r="E248" i="13"/>
  <c r="F248" i="13" s="1"/>
  <c r="C239" i="25"/>
  <c r="E240" i="13"/>
  <c r="F240" i="13" s="1"/>
  <c r="C231" i="25"/>
  <c r="E232" i="13"/>
  <c r="F232" i="13" s="1"/>
  <c r="C224" i="25"/>
  <c r="E225" i="13"/>
  <c r="F225" i="13" s="1"/>
  <c r="C216" i="25"/>
  <c r="E217" i="13"/>
  <c r="F217" i="13" s="1"/>
  <c r="C208" i="25"/>
  <c r="E209" i="13"/>
  <c r="F209" i="13" s="1"/>
  <c r="C200" i="25"/>
  <c r="E201" i="13"/>
  <c r="F201" i="13" s="1"/>
  <c r="C192" i="25"/>
  <c r="E193" i="13"/>
  <c r="F193" i="13" s="1"/>
  <c r="C184" i="25"/>
  <c r="E185" i="13"/>
  <c r="F185" i="13" s="1"/>
  <c r="C303" i="25"/>
  <c r="E304" i="13"/>
  <c r="F304" i="13" s="1"/>
  <c r="C241" i="25"/>
  <c r="E242" i="13"/>
  <c r="F242" i="13" s="1"/>
  <c r="M306" i="42"/>
  <c r="T306" i="42" s="1"/>
  <c r="AC143" i="42"/>
  <c r="C302" i="25"/>
  <c r="E303" i="13"/>
  <c r="F303" i="13" s="1"/>
  <c r="C294" i="25"/>
  <c r="E295" i="13"/>
  <c r="F295" i="13" s="1"/>
  <c r="C286" i="25"/>
  <c r="E287" i="13"/>
  <c r="F287" i="13" s="1"/>
  <c r="C278" i="25"/>
  <c r="E279" i="13"/>
  <c r="F279" i="13" s="1"/>
  <c r="C270" i="25"/>
  <c r="E271" i="13"/>
  <c r="F271" i="13" s="1"/>
  <c r="C263" i="25"/>
  <c r="E264" i="13"/>
  <c r="F264" i="13" s="1"/>
  <c r="C256" i="25"/>
  <c r="E257" i="13"/>
  <c r="F257" i="13" s="1"/>
  <c r="C248" i="25"/>
  <c r="E249" i="13"/>
  <c r="F249" i="13" s="1"/>
  <c r="C240" i="25"/>
  <c r="E241" i="13"/>
  <c r="F241" i="13" s="1"/>
  <c r="C232" i="25"/>
  <c r="E233" i="13"/>
  <c r="F233" i="13" s="1"/>
  <c r="C225" i="25"/>
  <c r="E226" i="13"/>
  <c r="F226" i="13" s="1"/>
  <c r="C217" i="25"/>
  <c r="E218" i="13"/>
  <c r="F218" i="13" s="1"/>
  <c r="C209" i="25"/>
  <c r="E210" i="13"/>
  <c r="F210" i="13" s="1"/>
  <c r="C201" i="25"/>
  <c r="E202" i="13"/>
  <c r="F202" i="13" s="1"/>
  <c r="C193" i="25"/>
  <c r="E194" i="13"/>
  <c r="F194" i="13" s="1"/>
  <c r="C185" i="25"/>
  <c r="E186" i="13"/>
  <c r="F186" i="13" s="1"/>
  <c r="C177" i="25"/>
  <c r="E178" i="13"/>
  <c r="F178" i="13" s="1"/>
  <c r="C174" i="25"/>
  <c r="E175" i="13"/>
  <c r="F175" i="13" s="1"/>
  <c r="C167" i="25"/>
  <c r="E168" i="13"/>
  <c r="F168" i="13" s="1"/>
  <c r="C159" i="25"/>
  <c r="E160" i="13"/>
  <c r="F160" i="13" s="1"/>
  <c r="C151" i="25"/>
  <c r="E152" i="13"/>
  <c r="F152" i="13" s="1"/>
  <c r="C143" i="25"/>
  <c r="E144" i="13"/>
  <c r="F144" i="13" s="1"/>
  <c r="C136" i="25"/>
  <c r="E137" i="13"/>
  <c r="F137" i="13" s="1"/>
  <c r="C129" i="25"/>
  <c r="E130" i="13"/>
  <c r="F130" i="13" s="1"/>
  <c r="C121" i="25"/>
  <c r="E122" i="13"/>
  <c r="F122" i="13" s="1"/>
  <c r="C114" i="25"/>
  <c r="E115" i="13"/>
  <c r="F115" i="13" s="1"/>
  <c r="C107" i="25"/>
  <c r="E108" i="13"/>
  <c r="F108" i="13" s="1"/>
  <c r="C99" i="25"/>
  <c r="E100" i="13"/>
  <c r="F100" i="13" s="1"/>
  <c r="C91" i="25"/>
  <c r="E92" i="13"/>
  <c r="F92" i="13" s="1"/>
  <c r="C83" i="25"/>
  <c r="E84" i="13"/>
  <c r="F84" i="13" s="1"/>
  <c r="C75" i="25"/>
  <c r="E76" i="13"/>
  <c r="F76" i="13" s="1"/>
  <c r="C67" i="25"/>
  <c r="E68" i="13"/>
  <c r="F68" i="13" s="1"/>
  <c r="C59" i="25"/>
  <c r="E60" i="13"/>
  <c r="F60" i="13" s="1"/>
  <c r="C51" i="25"/>
  <c r="E52" i="13"/>
  <c r="F52" i="13" s="1"/>
  <c r="C43" i="25"/>
  <c r="E44" i="13"/>
  <c r="F44" i="13" s="1"/>
  <c r="C35" i="25"/>
  <c r="E36" i="13"/>
  <c r="F36" i="13" s="1"/>
  <c r="C27" i="25"/>
  <c r="E28" i="13"/>
  <c r="F28" i="13" s="1"/>
  <c r="C12" i="25"/>
  <c r="E13" i="13"/>
  <c r="F13" i="13" s="1"/>
  <c r="L156" i="19"/>
  <c r="F156" i="49" s="1"/>
  <c r="G156" i="49" s="1"/>
  <c r="L155" i="19"/>
  <c r="F155" i="49" s="1"/>
  <c r="G155" i="49" s="1"/>
  <c r="L154" i="19"/>
  <c r="F154" i="49" s="1"/>
  <c r="G154" i="49" s="1"/>
  <c r="C152" i="25"/>
  <c r="E153" i="13"/>
  <c r="F153" i="13" s="1"/>
  <c r="L153" i="19"/>
  <c r="F153" i="49" s="1"/>
  <c r="G153" i="49" s="1"/>
  <c r="L152" i="19"/>
  <c r="F152" i="49" s="1"/>
  <c r="G152" i="49" s="1"/>
  <c r="L151" i="19"/>
  <c r="F151" i="49" s="1"/>
  <c r="G151" i="49" s="1"/>
  <c r="L150" i="19"/>
  <c r="F150" i="49" s="1"/>
  <c r="G150" i="49" s="1"/>
  <c r="L148" i="19"/>
  <c r="F148" i="49" s="1"/>
  <c r="G148" i="49" s="1"/>
  <c r="L147" i="19"/>
  <c r="F147" i="49" s="1"/>
  <c r="G147" i="49" s="1"/>
  <c r="L146" i="19"/>
  <c r="F146" i="49" s="1"/>
  <c r="G146" i="49" s="1"/>
  <c r="C144" i="25"/>
  <c r="E145" i="13"/>
  <c r="F145" i="13" s="1"/>
  <c r="L145" i="19"/>
  <c r="F145" i="49" s="1"/>
  <c r="G145" i="49" s="1"/>
  <c r="L144" i="19"/>
  <c r="F144" i="49" s="1"/>
  <c r="G144" i="49" s="1"/>
  <c r="L141" i="19"/>
  <c r="F141" i="49" s="1"/>
  <c r="G141" i="49" s="1"/>
  <c r="L140" i="19"/>
  <c r="F140" i="49" s="1"/>
  <c r="G140" i="49" s="1"/>
  <c r="L139" i="19"/>
  <c r="F139" i="49" s="1"/>
  <c r="G139" i="49" s="1"/>
  <c r="C137" i="25"/>
  <c r="E138" i="13"/>
  <c r="F138" i="13" s="1"/>
  <c r="L138" i="19"/>
  <c r="F138" i="49" s="1"/>
  <c r="G138" i="49" s="1"/>
  <c r="L136" i="19"/>
  <c r="F136" i="49" s="1"/>
  <c r="G136" i="49" s="1"/>
  <c r="L134" i="19"/>
  <c r="F134" i="49" s="1"/>
  <c r="G134" i="49" s="1"/>
  <c r="L133" i="19"/>
  <c r="F133" i="49" s="1"/>
  <c r="G133" i="49" s="1"/>
  <c r="L132" i="19"/>
  <c r="F132" i="49" s="1"/>
  <c r="G132" i="49" s="1"/>
  <c r="C130" i="25"/>
  <c r="E131" i="13"/>
  <c r="F131" i="13" s="1"/>
  <c r="L131" i="19"/>
  <c r="F131" i="49" s="1"/>
  <c r="G131" i="49" s="1"/>
  <c r="L130" i="19"/>
  <c r="F130" i="49" s="1"/>
  <c r="G130" i="49" s="1"/>
  <c r="L129" i="19"/>
  <c r="F129" i="49" s="1"/>
  <c r="G129" i="49" s="1"/>
  <c r="L128" i="19"/>
  <c r="F128" i="49" s="1"/>
  <c r="G128" i="49" s="1"/>
  <c r="L126" i="19"/>
  <c r="F126" i="49" s="1"/>
  <c r="G126" i="49" s="1"/>
  <c r="L125" i="19"/>
  <c r="F125" i="49" s="1"/>
  <c r="G125" i="49" s="1"/>
  <c r="L124" i="19"/>
  <c r="F124" i="49" s="1"/>
  <c r="G124" i="49" s="1"/>
  <c r="C122" i="25"/>
  <c r="E123" i="13"/>
  <c r="F123" i="13" s="1"/>
  <c r="L123" i="19"/>
  <c r="F123" i="49" s="1"/>
  <c r="G123" i="49" s="1"/>
  <c r="L122" i="19"/>
  <c r="F122" i="49" s="1"/>
  <c r="G122" i="49" s="1"/>
  <c r="L121" i="19"/>
  <c r="F121" i="49" s="1"/>
  <c r="G121" i="49" s="1"/>
  <c r="L119" i="19"/>
  <c r="F119" i="49" s="1"/>
  <c r="G119" i="49" s="1"/>
  <c r="L118" i="19"/>
  <c r="F118" i="49" s="1"/>
  <c r="G118" i="49" s="1"/>
  <c r="L117" i="19"/>
  <c r="F117" i="49" s="1"/>
  <c r="G117" i="49" s="1"/>
  <c r="C115" i="25"/>
  <c r="E116" i="13"/>
  <c r="F116" i="13" s="1"/>
  <c r="L116" i="19"/>
  <c r="F116" i="49" s="1"/>
  <c r="G116" i="49" s="1"/>
  <c r="L115" i="19"/>
  <c r="F115" i="49" s="1"/>
  <c r="G115" i="49" s="1"/>
  <c r="L114" i="19"/>
  <c r="F114" i="49" s="1"/>
  <c r="G114" i="49" s="1"/>
  <c r="L112" i="19"/>
  <c r="F112" i="49" s="1"/>
  <c r="G112" i="49" s="1"/>
  <c r="L111" i="19"/>
  <c r="F111" i="49" s="1"/>
  <c r="G111" i="49" s="1"/>
  <c r="L110" i="19"/>
  <c r="F110" i="49" s="1"/>
  <c r="G110" i="49" s="1"/>
  <c r="C108" i="25"/>
  <c r="E109" i="13"/>
  <c r="F109" i="13" s="1"/>
  <c r="L109" i="19"/>
  <c r="F109" i="49" s="1"/>
  <c r="G109" i="49" s="1"/>
  <c r="L108" i="19"/>
  <c r="F108" i="49" s="1"/>
  <c r="G108" i="49" s="1"/>
  <c r="L107" i="19"/>
  <c r="F107" i="49" s="1"/>
  <c r="G107" i="49" s="1"/>
  <c r="L106" i="19"/>
  <c r="F106" i="49" s="1"/>
  <c r="G106" i="49" s="1"/>
  <c r="L104" i="19"/>
  <c r="F104" i="49" s="1"/>
  <c r="G104" i="49" s="1"/>
  <c r="L103" i="19"/>
  <c r="F103" i="49" s="1"/>
  <c r="G103" i="49" s="1"/>
  <c r="L102" i="19"/>
  <c r="F102" i="49" s="1"/>
  <c r="G102" i="49" s="1"/>
  <c r="C100" i="25"/>
  <c r="E101" i="13"/>
  <c r="F101" i="13" s="1"/>
  <c r="L101" i="19"/>
  <c r="F101" i="49" s="1"/>
  <c r="G101" i="49" s="1"/>
  <c r="L100" i="19"/>
  <c r="F100" i="49" s="1"/>
  <c r="G100" i="49" s="1"/>
  <c r="L99" i="19"/>
  <c r="F99" i="49" s="1"/>
  <c r="G99" i="49" s="1"/>
  <c r="L98" i="19"/>
  <c r="F98" i="49" s="1"/>
  <c r="G98" i="49" s="1"/>
  <c r="L96" i="19"/>
  <c r="F96" i="49" s="1"/>
  <c r="G96" i="49" s="1"/>
  <c r="L95" i="19"/>
  <c r="F95" i="49" s="1"/>
  <c r="G95" i="49" s="1"/>
  <c r="L94" i="19"/>
  <c r="C92" i="25"/>
  <c r="E93" i="13"/>
  <c r="F93" i="13" s="1"/>
  <c r="L93" i="19"/>
  <c r="F93" i="49" s="1"/>
  <c r="G93" i="49" s="1"/>
  <c r="L92" i="19"/>
  <c r="F92" i="49" s="1"/>
  <c r="G92" i="49" s="1"/>
  <c r="L91" i="19"/>
  <c r="F91" i="49" s="1"/>
  <c r="G91" i="49" s="1"/>
  <c r="L90" i="19"/>
  <c r="F90" i="49" s="1"/>
  <c r="G90" i="49" s="1"/>
  <c r="L88" i="19"/>
  <c r="F88" i="49" s="1"/>
  <c r="G88" i="49" s="1"/>
  <c r="L87" i="19"/>
  <c r="F87" i="49" s="1"/>
  <c r="G87" i="49" s="1"/>
  <c r="L86" i="19"/>
  <c r="F86" i="49" s="1"/>
  <c r="G86" i="49" s="1"/>
  <c r="C84" i="25"/>
  <c r="E85" i="13"/>
  <c r="F85" i="13" s="1"/>
  <c r="L85" i="19"/>
  <c r="F85" i="49" s="1"/>
  <c r="G85" i="49" s="1"/>
  <c r="L84" i="19"/>
  <c r="F84" i="49" s="1"/>
  <c r="G84" i="49" s="1"/>
  <c r="L83" i="19"/>
  <c r="F83" i="49" s="1"/>
  <c r="G83" i="49" s="1"/>
  <c r="L82" i="19"/>
  <c r="F82" i="49" s="1"/>
  <c r="G82" i="49" s="1"/>
  <c r="L79" i="19"/>
  <c r="F79" i="49" s="1"/>
  <c r="G79" i="49" s="1"/>
  <c r="L78" i="19"/>
  <c r="F78" i="49" s="1"/>
  <c r="G78" i="49" s="1"/>
  <c r="C76" i="25"/>
  <c r="E77" i="13"/>
  <c r="F77" i="13" s="1"/>
  <c r="L77" i="19"/>
  <c r="F77" i="49" s="1"/>
  <c r="G77" i="49" s="1"/>
  <c r="L76" i="19"/>
  <c r="F76" i="49" s="1"/>
  <c r="G76" i="49" s="1"/>
  <c r="L75" i="19"/>
  <c r="F75" i="49" s="1"/>
  <c r="G75" i="49" s="1"/>
  <c r="L74" i="19"/>
  <c r="F74" i="49" s="1"/>
  <c r="G74" i="49" s="1"/>
  <c r="L72" i="19"/>
  <c r="L71" i="19"/>
  <c r="F71" i="49" s="1"/>
  <c r="G71" i="49" s="1"/>
  <c r="L70" i="19"/>
  <c r="F70" i="49" s="1"/>
  <c r="G70" i="49" s="1"/>
  <c r="C68" i="25"/>
  <c r="E69" i="13"/>
  <c r="F69" i="13" s="1"/>
  <c r="L69" i="19"/>
  <c r="F69" i="49" s="1"/>
  <c r="G69" i="49" s="1"/>
  <c r="L68" i="19"/>
  <c r="F68" i="49" s="1"/>
  <c r="G68" i="49" s="1"/>
  <c r="L67" i="19"/>
  <c r="F67" i="49" s="1"/>
  <c r="G67" i="49" s="1"/>
  <c r="L66" i="19"/>
  <c r="F66" i="49" s="1"/>
  <c r="G66" i="49" s="1"/>
  <c r="L64" i="19"/>
  <c r="F64" i="49" s="1"/>
  <c r="G64" i="49" s="1"/>
  <c r="L63" i="19"/>
  <c r="F63" i="49" s="1"/>
  <c r="G63" i="49" s="1"/>
  <c r="L62" i="19"/>
  <c r="F62" i="49" s="1"/>
  <c r="G62" i="49" s="1"/>
  <c r="C60" i="25"/>
  <c r="E61" i="13"/>
  <c r="F61" i="13" s="1"/>
  <c r="L61" i="19"/>
  <c r="F61" i="49" s="1"/>
  <c r="G61" i="49" s="1"/>
  <c r="L60" i="19"/>
  <c r="F60" i="49" s="1"/>
  <c r="G60" i="49" s="1"/>
  <c r="L59" i="19"/>
  <c r="F59" i="49" s="1"/>
  <c r="G59" i="49" s="1"/>
  <c r="L58" i="19"/>
  <c r="F58" i="49" s="1"/>
  <c r="G58" i="49" s="1"/>
  <c r="L56" i="19"/>
  <c r="F56" i="49" s="1"/>
  <c r="G56" i="49" s="1"/>
  <c r="L55" i="19"/>
  <c r="F55" i="49" s="1"/>
  <c r="G55" i="49" s="1"/>
  <c r="L54" i="19"/>
  <c r="F54" i="49" s="1"/>
  <c r="G54" i="49" s="1"/>
  <c r="C52" i="25"/>
  <c r="E53" i="13"/>
  <c r="F53" i="13" s="1"/>
  <c r="L53" i="19"/>
  <c r="F53" i="49" s="1"/>
  <c r="G53" i="49" s="1"/>
  <c r="L52" i="19"/>
  <c r="F52" i="49" s="1"/>
  <c r="G52" i="49" s="1"/>
  <c r="L51" i="19"/>
  <c r="F51" i="49" s="1"/>
  <c r="G51" i="49" s="1"/>
  <c r="L50" i="19"/>
  <c r="F50" i="49" s="1"/>
  <c r="G50" i="49" s="1"/>
  <c r="L48" i="19"/>
  <c r="F48" i="49" s="1"/>
  <c r="G48" i="49" s="1"/>
  <c r="L47" i="19"/>
  <c r="F47" i="49" s="1"/>
  <c r="G47" i="49" s="1"/>
  <c r="L46" i="19"/>
  <c r="F46" i="49" s="1"/>
  <c r="G46" i="49" s="1"/>
  <c r="C44" i="25"/>
  <c r="E45" i="13"/>
  <c r="F45" i="13" s="1"/>
  <c r="L45" i="19"/>
  <c r="F45" i="49" s="1"/>
  <c r="G45" i="49" s="1"/>
  <c r="L44" i="19"/>
  <c r="F44" i="49" s="1"/>
  <c r="G44" i="49" s="1"/>
  <c r="L43" i="19"/>
  <c r="F43" i="49" s="1"/>
  <c r="G43" i="49" s="1"/>
  <c r="L42" i="19"/>
  <c r="F42" i="49" s="1"/>
  <c r="G42" i="49" s="1"/>
  <c r="L40" i="19"/>
  <c r="L39" i="19"/>
  <c r="F39" i="49" s="1"/>
  <c r="G39" i="49" s="1"/>
  <c r="L38" i="19"/>
  <c r="F38" i="49" s="1"/>
  <c r="G38" i="49" s="1"/>
  <c r="C36" i="25"/>
  <c r="E37" i="13"/>
  <c r="F37" i="13" s="1"/>
  <c r="L37" i="19"/>
  <c r="F37" i="49" s="1"/>
  <c r="G37" i="49" s="1"/>
  <c r="L36" i="19"/>
  <c r="F36" i="49" s="1"/>
  <c r="G36" i="49" s="1"/>
  <c r="L35" i="19"/>
  <c r="F35" i="49" s="1"/>
  <c r="G35" i="49" s="1"/>
  <c r="L34" i="19"/>
  <c r="F34" i="49" s="1"/>
  <c r="G34" i="49" s="1"/>
  <c r="L32" i="19"/>
  <c r="F32" i="49" s="1"/>
  <c r="G32" i="49" s="1"/>
  <c r="L31" i="19"/>
  <c r="F31" i="49" s="1"/>
  <c r="G31" i="49" s="1"/>
  <c r="L30" i="19"/>
  <c r="F30" i="49" s="1"/>
  <c r="G30" i="49" s="1"/>
  <c r="C28" i="25"/>
  <c r="E29" i="13"/>
  <c r="F29" i="13" s="1"/>
  <c r="L29" i="19"/>
  <c r="F29" i="49" s="1"/>
  <c r="G29" i="49" s="1"/>
  <c r="L28" i="19"/>
  <c r="F28" i="49" s="1"/>
  <c r="G28" i="49" s="1"/>
  <c r="L27" i="19"/>
  <c r="F27" i="49" s="1"/>
  <c r="G27" i="49" s="1"/>
  <c r="L26" i="19"/>
  <c r="F26" i="49" s="1"/>
  <c r="G26" i="49" s="1"/>
  <c r="L24" i="19"/>
  <c r="F24" i="49" s="1"/>
  <c r="G24" i="49" s="1"/>
  <c r="L23" i="19"/>
  <c r="F23" i="49" s="1"/>
  <c r="G23" i="49" s="1"/>
  <c r="L22" i="19"/>
  <c r="F22" i="49" s="1"/>
  <c r="G22" i="49" s="1"/>
  <c r="C20" i="25"/>
  <c r="E21" i="13"/>
  <c r="F21" i="13" s="1"/>
  <c r="L20" i="19"/>
  <c r="F20" i="49" s="1"/>
  <c r="G20" i="49" s="1"/>
  <c r="L19" i="19"/>
  <c r="F19" i="49" s="1"/>
  <c r="G19" i="49" s="1"/>
  <c r="L17" i="19"/>
  <c r="F17" i="49" s="1"/>
  <c r="G17" i="49" s="1"/>
  <c r="L16" i="19"/>
  <c r="F16" i="49" s="1"/>
  <c r="G16" i="49" s="1"/>
  <c r="L15" i="19"/>
  <c r="F15" i="49" s="1"/>
  <c r="G15" i="49" s="1"/>
  <c r="C13" i="25"/>
  <c r="E14" i="13"/>
  <c r="F14" i="13" s="1"/>
  <c r="L14" i="19"/>
  <c r="F14" i="49" s="1"/>
  <c r="G14" i="49" s="1"/>
  <c r="L13" i="19"/>
  <c r="F13" i="49" s="1"/>
  <c r="G13" i="49" s="1"/>
  <c r="L12" i="19"/>
  <c r="F12" i="49" s="1"/>
  <c r="G12" i="49" s="1"/>
  <c r="L11" i="19"/>
  <c r="F11" i="49" s="1"/>
  <c r="G11" i="49" s="1"/>
  <c r="L9" i="19"/>
  <c r="F9" i="49" s="1"/>
  <c r="G9" i="49" s="1"/>
  <c r="L8" i="19"/>
  <c r="F8" i="49" s="1"/>
  <c r="G8" i="49" s="1"/>
  <c r="L7" i="19"/>
  <c r="F7" i="49" s="1"/>
  <c r="G7" i="49" s="1"/>
  <c r="C176" i="25"/>
  <c r="E177" i="13"/>
  <c r="F177" i="13" s="1"/>
  <c r="C169" i="25"/>
  <c r="E170" i="13"/>
  <c r="F170" i="13" s="1"/>
  <c r="C161" i="25"/>
  <c r="E162" i="13"/>
  <c r="F162" i="13" s="1"/>
  <c r="C153" i="25"/>
  <c r="E154" i="13"/>
  <c r="F154" i="13" s="1"/>
  <c r="C145" i="25"/>
  <c r="E146" i="13"/>
  <c r="F146" i="13" s="1"/>
  <c r="C138" i="25"/>
  <c r="E139" i="13"/>
  <c r="F139" i="13" s="1"/>
  <c r="C131" i="25"/>
  <c r="E132" i="13"/>
  <c r="F132" i="13" s="1"/>
  <c r="C123" i="25"/>
  <c r="E124" i="13"/>
  <c r="F124" i="13" s="1"/>
  <c r="C116" i="25"/>
  <c r="E117" i="13"/>
  <c r="F117" i="13" s="1"/>
  <c r="C109" i="25"/>
  <c r="E110" i="13"/>
  <c r="F110" i="13" s="1"/>
  <c r="C101" i="25"/>
  <c r="E102" i="13"/>
  <c r="F102" i="13" s="1"/>
  <c r="C93" i="25"/>
  <c r="E94" i="13"/>
  <c r="F94" i="13" s="1"/>
  <c r="C85" i="25"/>
  <c r="E86" i="13"/>
  <c r="F86" i="13" s="1"/>
  <c r="C77" i="25"/>
  <c r="E78" i="13"/>
  <c r="F78" i="13" s="1"/>
  <c r="C69" i="25"/>
  <c r="E70" i="13"/>
  <c r="F70" i="13" s="1"/>
  <c r="C61" i="25"/>
  <c r="E62" i="13"/>
  <c r="F62" i="13" s="1"/>
  <c r="C53" i="25"/>
  <c r="E54" i="13"/>
  <c r="F54" i="13" s="1"/>
  <c r="C45" i="25"/>
  <c r="E46" i="13"/>
  <c r="F46" i="13" s="1"/>
  <c r="C37" i="25"/>
  <c r="E38" i="13"/>
  <c r="F38" i="13" s="1"/>
  <c r="C29" i="25"/>
  <c r="E30" i="13"/>
  <c r="F30" i="13" s="1"/>
  <c r="C21" i="25"/>
  <c r="E22" i="13"/>
  <c r="F22" i="13" s="1"/>
  <c r="C14" i="25"/>
  <c r="E15" i="13"/>
  <c r="F15" i="13" s="1"/>
  <c r="C6" i="25"/>
  <c r="E7" i="13"/>
  <c r="F7" i="13" s="1"/>
  <c r="C170" i="25"/>
  <c r="E171" i="13"/>
  <c r="F171" i="13" s="1"/>
  <c r="C162" i="25"/>
  <c r="E163" i="13"/>
  <c r="F163" i="13" s="1"/>
  <c r="C154" i="25"/>
  <c r="E155" i="13"/>
  <c r="F155" i="13" s="1"/>
  <c r="C146" i="25"/>
  <c r="E147" i="13"/>
  <c r="F147" i="13" s="1"/>
  <c r="C139" i="25"/>
  <c r="E140" i="13"/>
  <c r="F140" i="13" s="1"/>
  <c r="C132" i="25"/>
  <c r="E133" i="13"/>
  <c r="F133" i="13" s="1"/>
  <c r="C124" i="25"/>
  <c r="E125" i="13"/>
  <c r="F125" i="13" s="1"/>
  <c r="C117" i="25"/>
  <c r="E118" i="13"/>
  <c r="F118" i="13" s="1"/>
  <c r="C110" i="25"/>
  <c r="E111" i="13"/>
  <c r="F111" i="13" s="1"/>
  <c r="C102" i="25"/>
  <c r="E103" i="13"/>
  <c r="F103" i="13" s="1"/>
  <c r="C94" i="25"/>
  <c r="E95" i="13"/>
  <c r="F95" i="13" s="1"/>
  <c r="C86" i="25"/>
  <c r="E87" i="13"/>
  <c r="F87" i="13" s="1"/>
  <c r="C78" i="25"/>
  <c r="E79" i="13"/>
  <c r="F79" i="13" s="1"/>
  <c r="C70" i="25"/>
  <c r="E71" i="13"/>
  <c r="F71" i="13" s="1"/>
  <c r="C62" i="25"/>
  <c r="E63" i="13"/>
  <c r="F63" i="13" s="1"/>
  <c r="C54" i="25"/>
  <c r="E55" i="13"/>
  <c r="F55" i="13" s="1"/>
  <c r="C46" i="25"/>
  <c r="E47" i="13"/>
  <c r="F47" i="13" s="1"/>
  <c r="C38" i="25"/>
  <c r="E39" i="13"/>
  <c r="F39" i="13" s="1"/>
  <c r="C30" i="25"/>
  <c r="E31" i="13"/>
  <c r="F31" i="13" s="1"/>
  <c r="C22" i="25"/>
  <c r="E23" i="13"/>
  <c r="F23" i="13" s="1"/>
  <c r="C15" i="25"/>
  <c r="E16" i="13"/>
  <c r="F16" i="13" s="1"/>
  <c r="C7" i="25"/>
  <c r="E8" i="13"/>
  <c r="F8" i="13" s="1"/>
  <c r="C171" i="25"/>
  <c r="E172" i="13"/>
  <c r="F172" i="13" s="1"/>
  <c r="C163" i="25"/>
  <c r="E164" i="13"/>
  <c r="F164" i="13" s="1"/>
  <c r="C155" i="25"/>
  <c r="E156" i="13"/>
  <c r="F156" i="13" s="1"/>
  <c r="C147" i="25"/>
  <c r="E148" i="13"/>
  <c r="F148" i="13" s="1"/>
  <c r="C140" i="25"/>
  <c r="E141" i="13"/>
  <c r="F141" i="13" s="1"/>
  <c r="C133" i="25"/>
  <c r="E134" i="13"/>
  <c r="F134" i="13" s="1"/>
  <c r="C125" i="25"/>
  <c r="E126" i="13"/>
  <c r="F126" i="13" s="1"/>
  <c r="C118" i="25"/>
  <c r="E119" i="13"/>
  <c r="F119" i="13" s="1"/>
  <c r="C111" i="25"/>
  <c r="E112" i="13"/>
  <c r="F112" i="13" s="1"/>
  <c r="C103" i="25"/>
  <c r="E104" i="13"/>
  <c r="F104" i="13" s="1"/>
  <c r="C95" i="25"/>
  <c r="E96" i="13"/>
  <c r="F96" i="13" s="1"/>
  <c r="C87" i="25"/>
  <c r="E88" i="13"/>
  <c r="F88" i="13" s="1"/>
  <c r="C79" i="25"/>
  <c r="E80" i="13"/>
  <c r="F80" i="13" s="1"/>
  <c r="C71" i="25"/>
  <c r="E72" i="13"/>
  <c r="F72" i="13" s="1"/>
  <c r="C63" i="25"/>
  <c r="E64" i="13"/>
  <c r="F64" i="13" s="1"/>
  <c r="C55" i="25"/>
  <c r="E56" i="13"/>
  <c r="F56" i="13" s="1"/>
  <c r="C47" i="25"/>
  <c r="E48" i="13"/>
  <c r="F48" i="13" s="1"/>
  <c r="C39" i="25"/>
  <c r="E40" i="13"/>
  <c r="F40" i="13" s="1"/>
  <c r="C31" i="25"/>
  <c r="E32" i="13"/>
  <c r="F32" i="13" s="1"/>
  <c r="C23" i="25"/>
  <c r="E24" i="13"/>
  <c r="F24" i="13" s="1"/>
  <c r="C16" i="25"/>
  <c r="E17" i="13"/>
  <c r="F17" i="13" s="1"/>
  <c r="C8" i="25"/>
  <c r="E9" i="13"/>
  <c r="F9" i="13" s="1"/>
  <c r="C172" i="25"/>
  <c r="E173" i="13"/>
  <c r="F173" i="13" s="1"/>
  <c r="C164" i="25"/>
  <c r="E165" i="13"/>
  <c r="F165" i="13" s="1"/>
  <c r="C156" i="25"/>
  <c r="E157" i="13"/>
  <c r="F157" i="13" s="1"/>
  <c r="C148" i="25"/>
  <c r="E149" i="13"/>
  <c r="F149" i="13" s="1"/>
  <c r="C141" i="25"/>
  <c r="E142" i="13"/>
  <c r="F142" i="13" s="1"/>
  <c r="C134" i="25"/>
  <c r="E135" i="13"/>
  <c r="F135" i="13" s="1"/>
  <c r="C126" i="25"/>
  <c r="E127" i="13"/>
  <c r="F127" i="13" s="1"/>
  <c r="C104" i="25"/>
  <c r="E105" i="13"/>
  <c r="F105" i="13" s="1"/>
  <c r="C96" i="25"/>
  <c r="E97" i="13"/>
  <c r="F97" i="13" s="1"/>
  <c r="C88" i="25"/>
  <c r="E89" i="13"/>
  <c r="F89" i="13" s="1"/>
  <c r="C80" i="25"/>
  <c r="E81" i="13"/>
  <c r="F81" i="13" s="1"/>
  <c r="C72" i="25"/>
  <c r="E73" i="13"/>
  <c r="F73" i="13" s="1"/>
  <c r="C64" i="25"/>
  <c r="E65" i="13"/>
  <c r="F65" i="13" s="1"/>
  <c r="C56" i="25"/>
  <c r="E57" i="13"/>
  <c r="F57" i="13" s="1"/>
  <c r="C48" i="25"/>
  <c r="E49" i="13"/>
  <c r="F49" i="13" s="1"/>
  <c r="C40" i="25"/>
  <c r="E41" i="13"/>
  <c r="F41" i="13" s="1"/>
  <c r="C32" i="25"/>
  <c r="E33" i="13"/>
  <c r="F33" i="13" s="1"/>
  <c r="C24" i="25"/>
  <c r="E25" i="13"/>
  <c r="F25" i="13" s="1"/>
  <c r="C17" i="25"/>
  <c r="E18" i="13"/>
  <c r="F18" i="13" s="1"/>
  <c r="C9" i="25"/>
  <c r="E10" i="13"/>
  <c r="F10" i="13" s="1"/>
  <c r="C173" i="25"/>
  <c r="E174" i="13"/>
  <c r="F174" i="13" s="1"/>
  <c r="C165" i="25"/>
  <c r="E166" i="13"/>
  <c r="F166" i="13" s="1"/>
  <c r="C157" i="25"/>
  <c r="E158" i="13"/>
  <c r="F158" i="13" s="1"/>
  <c r="C149" i="25"/>
  <c r="E150" i="13"/>
  <c r="F150" i="13" s="1"/>
  <c r="C135" i="25"/>
  <c r="E136" i="13"/>
  <c r="F136" i="13" s="1"/>
  <c r="C127" i="25"/>
  <c r="E128" i="13"/>
  <c r="F128" i="13" s="1"/>
  <c r="C119" i="25"/>
  <c r="E120" i="13"/>
  <c r="F120" i="13" s="1"/>
  <c r="C112" i="25"/>
  <c r="E113" i="13"/>
  <c r="F113" i="13" s="1"/>
  <c r="C105" i="25"/>
  <c r="E106" i="13"/>
  <c r="F106" i="13" s="1"/>
  <c r="C97" i="25"/>
  <c r="E98" i="13"/>
  <c r="F98" i="13" s="1"/>
  <c r="C89" i="25"/>
  <c r="E90" i="13"/>
  <c r="F90" i="13" s="1"/>
  <c r="C81" i="25"/>
  <c r="E82" i="13"/>
  <c r="F82" i="13" s="1"/>
  <c r="C73" i="25"/>
  <c r="E74" i="13"/>
  <c r="F74" i="13" s="1"/>
  <c r="C65" i="25"/>
  <c r="E66" i="13"/>
  <c r="F66" i="13" s="1"/>
  <c r="C57" i="25"/>
  <c r="E58" i="13"/>
  <c r="F58" i="13" s="1"/>
  <c r="C49" i="25"/>
  <c r="E50" i="13"/>
  <c r="F50" i="13" s="1"/>
  <c r="C41" i="25"/>
  <c r="E42" i="13"/>
  <c r="F42" i="13" s="1"/>
  <c r="C33" i="25"/>
  <c r="E34" i="13"/>
  <c r="F34" i="13" s="1"/>
  <c r="C25" i="25"/>
  <c r="E26" i="13"/>
  <c r="F26" i="13" s="1"/>
  <c r="C18" i="25"/>
  <c r="E19" i="13"/>
  <c r="F19" i="13" s="1"/>
  <c r="C10" i="25"/>
  <c r="E11" i="13"/>
  <c r="F11" i="13" s="1"/>
  <c r="AD306" i="42"/>
  <c r="H9" i="36"/>
  <c r="H309" i="36" s="1"/>
  <c r="K23" i="36"/>
  <c r="E26" i="34" s="1"/>
  <c r="K272" i="36"/>
  <c r="E275" i="34" s="1"/>
  <c r="K183" i="36"/>
  <c r="E186" i="34" s="1"/>
  <c r="K28" i="36"/>
  <c r="E31" i="34" s="1"/>
  <c r="K106" i="36"/>
  <c r="E109" i="34" s="1"/>
  <c r="K59" i="36"/>
  <c r="E62" i="34" s="1"/>
  <c r="K294" i="36"/>
  <c r="E297" i="34" s="1"/>
  <c r="K279" i="36"/>
  <c r="E282" i="34" s="1"/>
  <c r="K68" i="36"/>
  <c r="E71" i="34" s="1"/>
  <c r="K84" i="36"/>
  <c r="E87" i="34" s="1"/>
  <c r="K172" i="36"/>
  <c r="E175" i="34" s="1"/>
  <c r="K219" i="36"/>
  <c r="E222" i="34" s="1"/>
  <c r="K34" i="36"/>
  <c r="E37" i="34" s="1"/>
  <c r="K221" i="36"/>
  <c r="E224" i="34" s="1"/>
  <c r="K12" i="36"/>
  <c r="E15" i="34" s="1"/>
  <c r="K295" i="36"/>
  <c r="E298" i="34" s="1"/>
  <c r="K237" i="36"/>
  <c r="E240" i="34" s="1"/>
  <c r="K24" i="36"/>
  <c r="E27" i="34" s="1"/>
  <c r="E21" i="12" s="1"/>
  <c r="K35" i="36"/>
  <c r="E38" i="34" s="1"/>
  <c r="K217" i="36"/>
  <c r="E220" i="34" s="1"/>
  <c r="K206" i="36"/>
  <c r="E209" i="34" s="1"/>
  <c r="K194" i="36"/>
  <c r="E197" i="34" s="1"/>
  <c r="K147" i="36"/>
  <c r="E150" i="34" s="1"/>
  <c r="K260" i="36"/>
  <c r="E263" i="34" s="1"/>
  <c r="K76" i="36"/>
  <c r="E79" i="34" s="1"/>
  <c r="K49" i="36"/>
  <c r="E52" i="34" s="1"/>
  <c r="K144" i="36"/>
  <c r="E147" i="34" s="1"/>
  <c r="K73" i="36"/>
  <c r="E76" i="34" s="1"/>
  <c r="K274" i="36"/>
  <c r="E277" i="34" s="1"/>
  <c r="K302" i="36"/>
  <c r="E305" i="34" s="1"/>
  <c r="K252" i="36"/>
  <c r="E255" i="34" s="1"/>
  <c r="K155" i="36"/>
  <c r="E158" i="34" s="1"/>
  <c r="K296" i="36"/>
  <c r="E299" i="34" s="1"/>
  <c r="K240" i="36"/>
  <c r="E243" i="34" s="1"/>
  <c r="K120" i="36"/>
  <c r="E123" i="34" s="1"/>
  <c r="K200" i="36"/>
  <c r="E203" i="34" s="1"/>
  <c r="K247" i="36"/>
  <c r="E250" i="34" s="1"/>
  <c r="K273" i="36"/>
  <c r="E276" i="34" s="1"/>
  <c r="K29" i="36"/>
  <c r="E32" i="34" s="1"/>
  <c r="K198" i="36"/>
  <c r="E201" i="34" s="1"/>
  <c r="K167" i="36"/>
  <c r="E170" i="34" s="1"/>
  <c r="K185" i="36"/>
  <c r="E188" i="34" s="1"/>
  <c r="K26" i="36"/>
  <c r="E29" i="34" s="1"/>
  <c r="K40" i="36"/>
  <c r="E43" i="34" s="1"/>
  <c r="K161" i="36"/>
  <c r="E164" i="34" s="1"/>
  <c r="K79" i="36"/>
  <c r="E82" i="34" s="1"/>
  <c r="K261" i="36"/>
  <c r="E264" i="34" s="1"/>
  <c r="K188" i="36"/>
  <c r="E191" i="34" s="1"/>
  <c r="K243" i="36"/>
  <c r="E246" i="34" s="1"/>
  <c r="K99" i="36"/>
  <c r="E102" i="34" s="1"/>
  <c r="K98" i="36"/>
  <c r="E101" i="34" s="1"/>
  <c r="K225" i="36"/>
  <c r="E228" i="34" s="1"/>
  <c r="K306" i="36"/>
  <c r="E309" i="34" s="1"/>
  <c r="K298" i="36"/>
  <c r="E301" i="34" s="1"/>
  <c r="K226" i="36"/>
  <c r="E229" i="34" s="1"/>
  <c r="K42" i="36"/>
  <c r="E45" i="34" s="1"/>
  <c r="K233" i="36"/>
  <c r="E236" i="34" s="1"/>
  <c r="K287" i="36"/>
  <c r="E290" i="34" s="1"/>
  <c r="K251" i="36"/>
  <c r="E254" i="34" s="1"/>
  <c r="K103" i="36"/>
  <c r="E106" i="34" s="1"/>
  <c r="K39" i="36"/>
  <c r="E42" i="34" s="1"/>
  <c r="K259" i="36"/>
  <c r="E262" i="34" s="1"/>
  <c r="K66" i="36"/>
  <c r="E69" i="34" s="1"/>
  <c r="K249" i="36"/>
  <c r="E252" i="34" s="1"/>
  <c r="K121" i="36"/>
  <c r="E124" i="34" s="1"/>
  <c r="K284" i="36"/>
  <c r="E287" i="34" s="1"/>
  <c r="K204" i="36"/>
  <c r="E207" i="34" s="1"/>
  <c r="K156" i="36"/>
  <c r="E159" i="34" s="1"/>
  <c r="K203" i="36"/>
  <c r="E206" i="34" s="1"/>
  <c r="K72" i="36"/>
  <c r="E75" i="34" s="1"/>
  <c r="K119" i="36"/>
  <c r="E122" i="34" s="1"/>
  <c r="K164" i="36"/>
  <c r="E167" i="34" s="1"/>
  <c r="K36" i="36"/>
  <c r="E39" i="34" s="1"/>
  <c r="K131" i="36"/>
  <c r="E134" i="34" s="1"/>
  <c r="K19" i="36"/>
  <c r="E22" i="34" s="1"/>
  <c r="K202" i="36"/>
  <c r="E205" i="34" s="1"/>
  <c r="K222" i="36"/>
  <c r="E225" i="34" s="1"/>
  <c r="K38" i="36"/>
  <c r="E41" i="34" s="1"/>
  <c r="K189" i="36"/>
  <c r="E192" i="34" s="1"/>
  <c r="K133" i="36"/>
  <c r="E136" i="34" s="1"/>
  <c r="K146" i="36"/>
  <c r="E149" i="34" s="1"/>
  <c r="E143" i="12" s="1"/>
  <c r="K71" i="36"/>
  <c r="E74" i="34" s="1"/>
  <c r="K230" i="36"/>
  <c r="E233" i="34" s="1"/>
  <c r="K85" i="36"/>
  <c r="E88" i="34" s="1"/>
  <c r="K77" i="36"/>
  <c r="E80" i="34" s="1"/>
  <c r="K244" i="36"/>
  <c r="E247" i="34" s="1"/>
  <c r="K180" i="36"/>
  <c r="E183" i="34" s="1"/>
  <c r="K90" i="36"/>
  <c r="E93" i="34" s="1"/>
  <c r="K104" i="36"/>
  <c r="E107" i="34" s="1"/>
  <c r="K135" i="36"/>
  <c r="E138" i="34" s="1"/>
  <c r="K54" i="36"/>
  <c r="E57" i="34" s="1"/>
  <c r="K269" i="36"/>
  <c r="E272" i="34" s="1"/>
  <c r="K205" i="36"/>
  <c r="E208" i="34" s="1"/>
  <c r="K141" i="36"/>
  <c r="E144" i="34" s="1"/>
  <c r="K60" i="36"/>
  <c r="E63" i="34" s="1"/>
  <c r="K171" i="36"/>
  <c r="E174" i="34" s="1"/>
  <c r="K115" i="36"/>
  <c r="E118" i="34" s="1"/>
  <c r="K162" i="36"/>
  <c r="E165" i="34" s="1"/>
  <c r="K176" i="36"/>
  <c r="E179" i="34" s="1"/>
  <c r="K112" i="36"/>
  <c r="E115" i="34" s="1"/>
  <c r="K56" i="36"/>
  <c r="E59" i="34" s="1"/>
  <c r="K190" i="36"/>
  <c r="E193" i="34" s="1"/>
  <c r="K126" i="36"/>
  <c r="E129" i="34" s="1"/>
  <c r="K157" i="36"/>
  <c r="E160" i="34" s="1"/>
  <c r="K196" i="36"/>
  <c r="E199" i="34" s="1"/>
  <c r="K132" i="36"/>
  <c r="E135" i="34" s="1"/>
  <c r="K170" i="36"/>
  <c r="E173" i="34" s="1"/>
  <c r="K262" i="36"/>
  <c r="E265" i="34" s="1"/>
  <c r="K277" i="36"/>
  <c r="E280" i="34" s="1"/>
  <c r="K109" i="36"/>
  <c r="E112" i="34" s="1"/>
  <c r="K231" i="36"/>
  <c r="E234" i="34" s="1"/>
  <c r="K173" i="36"/>
  <c r="E176" i="34" s="1"/>
  <c r="K293" i="36"/>
  <c r="E296" i="34" s="1"/>
  <c r="K303" i="36"/>
  <c r="E306" i="34" s="1"/>
  <c r="K47" i="36"/>
  <c r="E50" i="34" s="1"/>
  <c r="K75" i="36"/>
  <c r="E78" i="34" s="1"/>
  <c r="K258" i="36"/>
  <c r="E261" i="34" s="1"/>
  <c r="K83" i="36"/>
  <c r="E86" i="34" s="1"/>
  <c r="K216" i="36"/>
  <c r="E219" i="34" s="1"/>
  <c r="K88" i="36"/>
  <c r="E91" i="34" s="1"/>
  <c r="K63" i="36"/>
  <c r="E66" i="34" s="1"/>
  <c r="K209" i="36"/>
  <c r="E212" i="34" s="1"/>
  <c r="K145" i="36"/>
  <c r="E148" i="34" s="1"/>
  <c r="K224" i="36"/>
  <c r="E227" i="34" s="1"/>
  <c r="K32" i="36"/>
  <c r="E35" i="34" s="1"/>
  <c r="K191" i="36"/>
  <c r="E194" i="34" s="1"/>
  <c r="K236" i="36"/>
  <c r="E239" i="34" s="1"/>
  <c r="K149" i="36"/>
  <c r="E152" i="34" s="1"/>
  <c r="K124" i="36"/>
  <c r="E127" i="34" s="1"/>
  <c r="K97" i="36"/>
  <c r="E100" i="34" s="1"/>
  <c r="K304" i="36"/>
  <c r="E307" i="34" s="1"/>
  <c r="K151" i="36"/>
  <c r="E154" i="34" s="1"/>
  <c r="K179" i="36"/>
  <c r="E182" i="34" s="1"/>
  <c r="K234" i="36"/>
  <c r="E237" i="34" s="1"/>
  <c r="K292" i="36"/>
  <c r="E295" i="34" s="1"/>
  <c r="K223" i="36"/>
  <c r="E226" i="34" s="1"/>
  <c r="K31" i="36"/>
  <c r="E34" i="34" s="1"/>
  <c r="K213" i="36"/>
  <c r="E216" i="34" s="1"/>
  <c r="K140" i="36"/>
  <c r="E143" i="34" s="1"/>
  <c r="K241" i="36"/>
  <c r="E244" i="34" s="1"/>
  <c r="K113" i="36"/>
  <c r="E116" i="34" s="1"/>
  <c r="K193" i="36"/>
  <c r="E196" i="34" s="1"/>
  <c r="K239" i="36"/>
  <c r="E242" i="34" s="1"/>
  <c r="K165" i="36"/>
  <c r="E168" i="34" s="1"/>
  <c r="K67" i="36"/>
  <c r="E70" i="34" s="1"/>
  <c r="K129" i="36"/>
  <c r="E132" i="34" s="1"/>
  <c r="K53" i="36"/>
  <c r="E56" i="34" s="1"/>
  <c r="K20" i="36"/>
  <c r="E23" i="34" s="1"/>
  <c r="K257" i="36"/>
  <c r="E260" i="34" s="1"/>
  <c r="K65" i="36"/>
  <c r="E68" i="34" s="1"/>
  <c r="K208" i="36"/>
  <c r="E211" i="34" s="1"/>
  <c r="K16" i="36"/>
  <c r="E19" i="34" s="1"/>
  <c r="K308" i="36"/>
  <c r="E311" i="34" s="1"/>
  <c r="K275" i="36"/>
  <c r="E278" i="34" s="1"/>
  <c r="K265" i="36"/>
  <c r="E268" i="34" s="1"/>
  <c r="K255" i="36"/>
  <c r="E258" i="34" s="1"/>
  <c r="K283" i="36"/>
  <c r="E286" i="34" s="1"/>
  <c r="K17" i="36"/>
  <c r="E20" i="34" s="1"/>
  <c r="K207" i="36"/>
  <c r="E210" i="34" s="1"/>
  <c r="K174" i="36"/>
  <c r="E177" i="34" s="1"/>
  <c r="K253" i="36"/>
  <c r="E256" i="34" s="1"/>
  <c r="K197" i="36"/>
  <c r="E200" i="34" s="1"/>
  <c r="K181" i="36"/>
  <c r="E184" i="34" s="1"/>
  <c r="K25" i="36"/>
  <c r="E28" i="34" s="1"/>
  <c r="K271" i="36"/>
  <c r="E274" i="34" s="1"/>
  <c r="K143" i="36"/>
  <c r="E146" i="34" s="1"/>
  <c r="K246" i="36"/>
  <c r="E249" i="34" s="1"/>
  <c r="K182" i="36"/>
  <c r="E185" i="34" s="1"/>
  <c r="K254" i="36"/>
  <c r="E257" i="34" s="1"/>
  <c r="K101" i="36"/>
  <c r="E104" i="34" s="1"/>
  <c r="K169" i="36"/>
  <c r="E172" i="34" s="1"/>
  <c r="K268" i="36"/>
  <c r="E271" i="34" s="1"/>
  <c r="K128" i="36"/>
  <c r="E131" i="34" s="1"/>
  <c r="K212" i="36"/>
  <c r="E215" i="34" s="1"/>
  <c r="K148" i="36"/>
  <c r="E151" i="34" s="1"/>
  <c r="K300" i="36"/>
  <c r="E303" i="34" s="1"/>
  <c r="K242" i="36"/>
  <c r="E245" i="34" s="1"/>
  <c r="K186" i="36"/>
  <c r="E189" i="34" s="1"/>
  <c r="K178" i="36"/>
  <c r="E181" i="34" s="1"/>
  <c r="K57" i="36"/>
  <c r="E60" i="34" s="1"/>
  <c r="K175" i="36"/>
  <c r="E178" i="34" s="1"/>
  <c r="K150" i="36"/>
  <c r="E153" i="34" s="1"/>
  <c r="K61" i="36"/>
  <c r="E64" i="34" s="1"/>
  <c r="K220" i="36"/>
  <c r="E223" i="34" s="1"/>
  <c r="K201" i="36"/>
  <c r="E204" i="34" s="1"/>
  <c r="K125" i="36"/>
  <c r="E128" i="34" s="1"/>
  <c r="K117" i="36"/>
  <c r="E120" i="34" s="1"/>
  <c r="K211" i="36"/>
  <c r="E214" i="34" s="1"/>
  <c r="K96" i="36"/>
  <c r="E99" i="34" s="1"/>
  <c r="K263" i="36"/>
  <c r="E266" i="34" s="1"/>
  <c r="K199" i="36"/>
  <c r="E202" i="34" s="1"/>
  <c r="K232" i="36"/>
  <c r="E235" i="34" s="1"/>
  <c r="K168" i="36"/>
  <c r="E171" i="34" s="1"/>
  <c r="K15" i="36"/>
  <c r="E18" i="34" s="1"/>
  <c r="K118" i="36"/>
  <c r="E121" i="34" s="1"/>
  <c r="K116" i="36"/>
  <c r="E119" i="34" s="1"/>
  <c r="E113" i="12" s="1"/>
  <c r="K51" i="36"/>
  <c r="E54" i="34" s="1"/>
  <c r="K289" i="36"/>
  <c r="E292" i="34" s="1"/>
  <c r="K37" i="36"/>
  <c r="E40" i="34" s="1"/>
  <c r="K187" i="36"/>
  <c r="E190" i="34" s="1"/>
  <c r="K297" i="36"/>
  <c r="E300" i="34" s="1"/>
  <c r="K307" i="36"/>
  <c r="E310" i="34" s="1"/>
  <c r="K192" i="36"/>
  <c r="E195" i="34" s="1"/>
  <c r="K134" i="36"/>
  <c r="E137" i="34" s="1"/>
  <c r="K14" i="36"/>
  <c r="E17" i="34" s="1"/>
  <c r="K229" i="36"/>
  <c r="E232" i="34" s="1"/>
  <c r="K195" i="36"/>
  <c r="E198" i="34" s="1"/>
  <c r="K250" i="36"/>
  <c r="E253" i="34" s="1"/>
  <c r="K177" i="36"/>
  <c r="E180" i="34" s="1"/>
  <c r="K136" i="36"/>
  <c r="E139" i="34" s="1"/>
  <c r="K111" i="36"/>
  <c r="E114" i="34" s="1"/>
  <c r="K58" i="36"/>
  <c r="E61" i="34" s="1"/>
  <c r="K80" i="36"/>
  <c r="E83" i="34" s="1"/>
  <c r="K30" i="36"/>
  <c r="E33" i="34" s="1"/>
  <c r="K108" i="36"/>
  <c r="E111" i="34" s="1"/>
  <c r="K100" i="36"/>
  <c r="E103" i="34" s="1"/>
  <c r="K266" i="36"/>
  <c r="E269" i="34" s="1"/>
  <c r="K74" i="36"/>
  <c r="E77" i="34" s="1"/>
  <c r="K10" i="36"/>
  <c r="E13" i="34" s="1"/>
  <c r="K81" i="36"/>
  <c r="E84" i="34" s="1"/>
  <c r="K280" i="36"/>
  <c r="E283" i="34" s="1"/>
  <c r="K152" i="36"/>
  <c r="E155" i="34" s="1"/>
  <c r="K94" i="36"/>
  <c r="E97" i="34" s="1"/>
  <c r="K46" i="36"/>
  <c r="E49" i="34" s="1"/>
  <c r="K245" i="36"/>
  <c r="E248" i="34" s="1"/>
  <c r="K44" i="36"/>
  <c r="E47" i="34" s="1"/>
  <c r="K91" i="36"/>
  <c r="E94" i="34" s="1"/>
  <c r="K210" i="36"/>
  <c r="E213" i="34" s="1"/>
  <c r="K288" i="36"/>
  <c r="E291" i="34" s="1"/>
  <c r="K160" i="36"/>
  <c r="E163" i="34" s="1"/>
  <c r="K127" i="36"/>
  <c r="E130" i="34" s="1"/>
  <c r="K102" i="36"/>
  <c r="E105" i="34" s="1"/>
  <c r="K291" i="36"/>
  <c r="E294" i="34" s="1"/>
  <c r="K107" i="36"/>
  <c r="E110" i="34" s="1"/>
  <c r="K282" i="36"/>
  <c r="E285" i="34" s="1"/>
  <c r="K218" i="36"/>
  <c r="E221" i="34" s="1"/>
  <c r="K33" i="36"/>
  <c r="E36" i="34" s="1"/>
  <c r="K299" i="36"/>
  <c r="E302" i="34" s="1"/>
  <c r="K43" i="36"/>
  <c r="E46" i="34" s="1"/>
  <c r="K290" i="36"/>
  <c r="E293" i="34" s="1"/>
  <c r="K45" i="36"/>
  <c r="E48" i="34" s="1"/>
  <c r="K285" i="36"/>
  <c r="E288" i="34" s="1"/>
  <c r="K184" i="36"/>
  <c r="E187" i="34" s="1"/>
  <c r="K48" i="36"/>
  <c r="E51" i="34" s="1"/>
  <c r="K70" i="36"/>
  <c r="E73" i="34" s="1"/>
  <c r="K305" i="36"/>
  <c r="E308" i="34" s="1"/>
  <c r="K105" i="36"/>
  <c r="E108" i="34" s="1"/>
  <c r="K286" i="36"/>
  <c r="E289" i="34" s="1"/>
  <c r="K278" i="36"/>
  <c r="E281" i="34" s="1"/>
  <c r="K86" i="36"/>
  <c r="E89" i="34" s="1"/>
  <c r="K22" i="36"/>
  <c r="E25" i="34" s="1"/>
  <c r="K139" i="36"/>
  <c r="E142" i="34" s="1"/>
  <c r="K11" i="36"/>
  <c r="E14" i="34" s="1"/>
  <c r="K55" i="36"/>
  <c r="E58" i="34" s="1"/>
  <c r="K13" i="36"/>
  <c r="E16" i="34" s="1"/>
  <c r="K138" i="36"/>
  <c r="E141" i="34" s="1"/>
  <c r="K21" i="36"/>
  <c r="E24" i="34" s="1"/>
  <c r="K238" i="36"/>
  <c r="E241" i="34" s="1"/>
  <c r="K110" i="36"/>
  <c r="E113" i="34" s="1"/>
  <c r="K27" i="36"/>
  <c r="E30" i="34" s="1"/>
  <c r="K154" i="36"/>
  <c r="E157" i="34" s="1"/>
  <c r="K281" i="36"/>
  <c r="E284" i="34" s="1"/>
  <c r="K93" i="36"/>
  <c r="E96" i="34" s="1"/>
  <c r="K235" i="36"/>
  <c r="E238" i="34" s="1"/>
  <c r="K62" i="36"/>
  <c r="E65" i="34" s="1"/>
  <c r="K114" i="36"/>
  <c r="E117" i="34" s="1"/>
  <c r="K41" i="36"/>
  <c r="E44" i="34" s="1"/>
  <c r="K301" i="36"/>
  <c r="E304" i="34" s="1"/>
  <c r="K248" i="36"/>
  <c r="E251" i="34" s="1"/>
  <c r="K215" i="36"/>
  <c r="E218" i="34" s="1"/>
  <c r="K159" i="36"/>
  <c r="E162" i="34" s="1"/>
  <c r="K95" i="36"/>
  <c r="E98" i="34" s="1"/>
  <c r="K87" i="36"/>
  <c r="E90" i="34" s="1"/>
  <c r="K123" i="36"/>
  <c r="E126" i="34" s="1"/>
  <c r="K256" i="36"/>
  <c r="E259" i="34" s="1"/>
  <c r="K270" i="36"/>
  <c r="E273" i="34" s="1"/>
  <c r="K142" i="36"/>
  <c r="E145" i="34" s="1"/>
  <c r="K276" i="36"/>
  <c r="E279" i="34" s="1"/>
  <c r="K122" i="36"/>
  <c r="E125" i="34" s="1"/>
  <c r="K50" i="36"/>
  <c r="E53" i="34" s="1"/>
  <c r="K264" i="36"/>
  <c r="E267" i="34" s="1"/>
  <c r="K64" i="36"/>
  <c r="E67" i="34" s="1"/>
  <c r="K214" i="36"/>
  <c r="E217" i="34" s="1"/>
  <c r="K78" i="36"/>
  <c r="E81" i="34" s="1"/>
  <c r="K92" i="36"/>
  <c r="E95" i="34" s="1"/>
  <c r="K267" i="36"/>
  <c r="E270" i="34" s="1"/>
  <c r="K130" i="36"/>
  <c r="E133" i="34" s="1"/>
  <c r="K158" i="36"/>
  <c r="E161" i="34" s="1"/>
  <c r="K69" i="36"/>
  <c r="E72" i="34" s="1"/>
  <c r="K228" i="36"/>
  <c r="E231" i="34" s="1"/>
  <c r="K137" i="36"/>
  <c r="E140" i="34" s="1"/>
  <c r="K166" i="36"/>
  <c r="E169" i="34" s="1"/>
  <c r="K82" i="36"/>
  <c r="E85" i="34" s="1"/>
  <c r="K18" i="36"/>
  <c r="E21" i="34" s="1"/>
  <c r="K89" i="36"/>
  <c r="E92" i="34" s="1"/>
  <c r="K52" i="36"/>
  <c r="E55" i="34" s="1"/>
  <c r="K227" i="36"/>
  <c r="E230" i="34" s="1"/>
  <c r="K163" i="36"/>
  <c r="E166" i="34" s="1"/>
  <c r="K153" i="36"/>
  <c r="E156" i="34" s="1"/>
  <c r="F312" i="9"/>
  <c r="C6" i="9" s="1"/>
  <c r="D27" i="57"/>
  <c r="D22" i="57"/>
  <c r="D11" i="57"/>
  <c r="D39" i="57"/>
  <c r="D12" i="57"/>
  <c r="D14" i="57"/>
  <c r="D16" i="57"/>
  <c r="D40" i="57"/>
  <c r="D33" i="57"/>
  <c r="D38" i="57"/>
  <c r="D15" i="57"/>
  <c r="D18" i="57"/>
  <c r="D19" i="57"/>
  <c r="D17" i="57"/>
  <c r="B45" i="57"/>
  <c r="D26" i="57"/>
  <c r="D23" i="57"/>
  <c r="D24" i="57"/>
  <c r="F15" i="48"/>
  <c r="F9" i="36"/>
  <c r="I9" i="36"/>
  <c r="J9" i="36"/>
  <c r="D9" i="36"/>
  <c r="D309" i="36" s="1"/>
  <c r="G9" i="36"/>
  <c r="G309" i="36" s="1"/>
  <c r="C309" i="36"/>
  <c r="D306" i="33"/>
  <c r="D312" i="34"/>
  <c r="AL306" i="42"/>
  <c r="J306" i="11"/>
  <c r="C63" i="48"/>
  <c r="L80" i="19"/>
  <c r="F80" i="49" s="1"/>
  <c r="G80" i="49" s="1"/>
  <c r="E5" i="25"/>
  <c r="C6" i="33"/>
  <c r="B8" i="48"/>
  <c r="B9" i="48"/>
  <c r="AK21" i="42"/>
  <c r="AC21" i="42"/>
  <c r="AE21" i="42"/>
  <c r="AM21" i="42"/>
  <c r="AM113" i="42"/>
  <c r="AE113" i="42"/>
  <c r="AK113" i="42"/>
  <c r="L305" i="19"/>
  <c r="F305" i="49" s="1"/>
  <c r="G305" i="49" s="1"/>
  <c r="P303" i="19"/>
  <c r="R303" i="19" s="1"/>
  <c r="E301" i="13"/>
  <c r="F301" i="13" s="1"/>
  <c r="P301" i="19"/>
  <c r="R301" i="19" s="1"/>
  <c r="P300" i="19"/>
  <c r="R300" i="19" s="1"/>
  <c r="P299" i="19"/>
  <c r="R299" i="19" s="1"/>
  <c r="P298" i="19"/>
  <c r="R298" i="19" s="1"/>
  <c r="L297" i="19"/>
  <c r="F297" i="49" s="1"/>
  <c r="G297" i="49" s="1"/>
  <c r="P295" i="19"/>
  <c r="R295" i="19" s="1"/>
  <c r="P294" i="19"/>
  <c r="R294" i="19" s="1"/>
  <c r="P293" i="19"/>
  <c r="R293" i="19" s="1"/>
  <c r="P292" i="19"/>
  <c r="R292" i="19" s="1"/>
  <c r="P291" i="19"/>
  <c r="R291" i="19" s="1"/>
  <c r="P290" i="19"/>
  <c r="R290" i="19" s="1"/>
  <c r="L289" i="19"/>
  <c r="F289" i="49" s="1"/>
  <c r="G289" i="49" s="1"/>
  <c r="P288" i="19"/>
  <c r="R288" i="19" s="1"/>
  <c r="P287" i="19"/>
  <c r="R287" i="19" s="1"/>
  <c r="P284" i="19"/>
  <c r="R284" i="19" s="1"/>
  <c r="P283" i="19"/>
  <c r="R283" i="19" s="1"/>
  <c r="P282" i="19"/>
  <c r="R282" i="19" s="1"/>
  <c r="L281" i="19"/>
  <c r="F281" i="49" s="1"/>
  <c r="G281" i="49" s="1"/>
  <c r="P280" i="19"/>
  <c r="R280" i="19" s="1"/>
  <c r="P278" i="19"/>
  <c r="R278" i="19" s="1"/>
  <c r="P277" i="19"/>
  <c r="R277" i="19" s="1"/>
  <c r="P276" i="19"/>
  <c r="R276" i="19" s="1"/>
  <c r="P275" i="19"/>
  <c r="R275" i="19" s="1"/>
  <c r="P274" i="19"/>
  <c r="R274" i="19" s="1"/>
  <c r="L273" i="19"/>
  <c r="F273" i="49" s="1"/>
  <c r="G273" i="49" s="1"/>
  <c r="P270" i="19"/>
  <c r="R270" i="19" s="1"/>
  <c r="P269" i="19"/>
  <c r="R269" i="19" s="1"/>
  <c r="P268" i="19"/>
  <c r="R268" i="19" s="1"/>
  <c r="P267" i="19"/>
  <c r="R267" i="19" s="1"/>
  <c r="L266" i="19"/>
  <c r="F266" i="49" s="1"/>
  <c r="G266" i="49" s="1"/>
  <c r="P264" i="19"/>
  <c r="R264" i="19" s="1"/>
  <c r="P263" i="19"/>
  <c r="R263" i="19" s="1"/>
  <c r="P262" i="19"/>
  <c r="R262" i="19" s="1"/>
  <c r="P260" i="19"/>
  <c r="R260" i="19" s="1"/>
  <c r="L259" i="19"/>
  <c r="F259" i="49" s="1"/>
  <c r="G259" i="49" s="1"/>
  <c r="P257" i="19"/>
  <c r="R257" i="19" s="1"/>
  <c r="P256" i="19"/>
  <c r="R256" i="19" s="1"/>
  <c r="P255" i="19"/>
  <c r="R255" i="19" s="1"/>
  <c r="P254" i="19"/>
  <c r="R254" i="19" s="1"/>
  <c r="P253" i="19"/>
  <c r="R253" i="19" s="1"/>
  <c r="L251" i="19"/>
  <c r="F251" i="49" s="1"/>
  <c r="G251" i="49" s="1"/>
  <c r="P250" i="19"/>
  <c r="R250" i="19" s="1"/>
  <c r="P249" i="19"/>
  <c r="R249" i="19" s="1"/>
  <c r="P248" i="19"/>
  <c r="R248" i="19" s="1"/>
  <c r="P247" i="19"/>
  <c r="R247" i="19" s="1"/>
  <c r="P246" i="19"/>
  <c r="R246" i="19" s="1"/>
  <c r="P244" i="19"/>
  <c r="R244" i="19" s="1"/>
  <c r="L243" i="19"/>
  <c r="F243" i="49" s="1"/>
  <c r="G243" i="49" s="1"/>
  <c r="P242" i="19"/>
  <c r="R242" i="19" s="1"/>
  <c r="P241" i="19"/>
  <c r="R241" i="19" s="1"/>
  <c r="P240" i="19"/>
  <c r="R240" i="19" s="1"/>
  <c r="P239" i="19"/>
  <c r="R239" i="19" s="1"/>
  <c r="P237" i="19"/>
  <c r="R237" i="19" s="1"/>
  <c r="P236" i="19"/>
  <c r="R236" i="19" s="1"/>
  <c r="L235" i="19"/>
  <c r="F235" i="49" s="1"/>
  <c r="G235" i="49" s="1"/>
  <c r="P234" i="19"/>
  <c r="R234" i="19" s="1"/>
  <c r="P233" i="19"/>
  <c r="R233" i="19" s="1"/>
  <c r="P232" i="19"/>
  <c r="R232" i="19" s="1"/>
  <c r="P231" i="19"/>
  <c r="R231" i="19" s="1"/>
  <c r="P230" i="19"/>
  <c r="R230" i="19" s="1"/>
  <c r="P229" i="19"/>
  <c r="R229" i="19" s="1"/>
  <c r="AE229" i="42" s="1"/>
  <c r="P227" i="19"/>
  <c r="R227" i="19" s="1"/>
  <c r="P226" i="19"/>
  <c r="R226" i="19" s="1"/>
  <c r="P225" i="19"/>
  <c r="R225" i="19" s="1"/>
  <c r="P223" i="19"/>
  <c r="R223" i="19" s="1"/>
  <c r="P222" i="19"/>
  <c r="R222" i="19" s="1"/>
  <c r="P221" i="19"/>
  <c r="R221" i="19" s="1"/>
  <c r="L220" i="19"/>
  <c r="F220" i="49" s="1"/>
  <c r="G220" i="49" s="1"/>
  <c r="P219" i="19"/>
  <c r="R219" i="19" s="1"/>
  <c r="P218" i="19"/>
  <c r="R218" i="19" s="1"/>
  <c r="P217" i="19"/>
  <c r="R217" i="19" s="1"/>
  <c r="P216" i="19"/>
  <c r="R216" i="19" s="1"/>
  <c r="P215" i="19"/>
  <c r="R215" i="19" s="1"/>
  <c r="P214" i="19"/>
  <c r="R214" i="19" s="1"/>
  <c r="P213" i="19"/>
  <c r="R213" i="19" s="1"/>
  <c r="L212" i="19"/>
  <c r="F212" i="49" s="1"/>
  <c r="G212" i="49" s="1"/>
  <c r="P211" i="19"/>
  <c r="R211" i="19" s="1"/>
  <c r="P210" i="19"/>
  <c r="R210" i="19" s="1"/>
  <c r="P209" i="19"/>
  <c r="R209" i="19" s="1"/>
  <c r="P208" i="19"/>
  <c r="R208" i="19" s="1"/>
  <c r="P207" i="19"/>
  <c r="R207" i="19" s="1"/>
  <c r="P206" i="19"/>
  <c r="R206" i="19" s="1"/>
  <c r="P205" i="19"/>
  <c r="R205" i="19" s="1"/>
  <c r="L204" i="19"/>
  <c r="F204" i="49" s="1"/>
  <c r="G204" i="49" s="1"/>
  <c r="P203" i="19"/>
  <c r="R203" i="19" s="1"/>
  <c r="P202" i="19"/>
  <c r="R202" i="19" s="1"/>
  <c r="P200" i="19"/>
  <c r="R200" i="19" s="1"/>
  <c r="P199" i="19"/>
  <c r="R199" i="19" s="1"/>
  <c r="P198" i="19"/>
  <c r="R198" i="19" s="1"/>
  <c r="P197" i="19"/>
  <c r="R197" i="19" s="1"/>
  <c r="L196" i="19"/>
  <c r="F196" i="49" s="1"/>
  <c r="G196" i="49" s="1"/>
  <c r="P195" i="19"/>
  <c r="R195" i="19" s="1"/>
  <c r="P193" i="19"/>
  <c r="R193" i="19" s="1"/>
  <c r="P192" i="19"/>
  <c r="R192" i="19" s="1"/>
  <c r="P191" i="19"/>
  <c r="R191" i="19" s="1"/>
  <c r="P190" i="19"/>
  <c r="R190" i="19" s="1"/>
  <c r="P189" i="19"/>
  <c r="R189" i="19" s="1"/>
  <c r="L188" i="19"/>
  <c r="F188" i="49" s="1"/>
  <c r="G188" i="49" s="1"/>
  <c r="P186" i="19"/>
  <c r="R186" i="19" s="1"/>
  <c r="P185" i="19"/>
  <c r="R185" i="19" s="1"/>
  <c r="P184" i="19"/>
  <c r="R184" i="19" s="1"/>
  <c r="P183" i="19"/>
  <c r="R183" i="19" s="1"/>
  <c r="P182" i="19"/>
  <c r="R182" i="19" s="1"/>
  <c r="L180" i="19"/>
  <c r="F180" i="49" s="1"/>
  <c r="G180" i="49" s="1"/>
  <c r="P179" i="19"/>
  <c r="R179" i="19" s="1"/>
  <c r="P178" i="19"/>
  <c r="R178" i="19" s="1"/>
  <c r="P177" i="19"/>
  <c r="R177" i="19" s="1"/>
  <c r="P176" i="19"/>
  <c r="R176" i="19" s="1"/>
  <c r="P174" i="19"/>
  <c r="R174" i="19" s="1"/>
  <c r="L173" i="19"/>
  <c r="F173" i="49" s="1"/>
  <c r="G173" i="49" s="1"/>
  <c r="P171" i="19"/>
  <c r="R171" i="19" s="1"/>
  <c r="P170" i="19"/>
  <c r="R170" i="19" s="1"/>
  <c r="L302" i="19"/>
  <c r="F302" i="49" s="1"/>
  <c r="G302" i="49" s="1"/>
  <c r="L296" i="19"/>
  <c r="F296" i="49" s="1"/>
  <c r="G296" i="49" s="1"/>
  <c r="P95" i="19"/>
  <c r="R95" i="19" s="1"/>
  <c r="P169" i="19"/>
  <c r="R169" i="19" s="1"/>
  <c r="P168" i="19"/>
  <c r="R168" i="19" s="1"/>
  <c r="P167" i="19"/>
  <c r="R167" i="19" s="1"/>
  <c r="L165" i="19"/>
  <c r="F165" i="49" s="1"/>
  <c r="G165" i="49" s="1"/>
  <c r="P164" i="19"/>
  <c r="R164" i="19" s="1"/>
  <c r="P163" i="19"/>
  <c r="R163" i="19" s="1"/>
  <c r="P162" i="19"/>
  <c r="R162" i="19" s="1"/>
  <c r="P161" i="19"/>
  <c r="R161" i="19" s="1"/>
  <c r="P160" i="19"/>
  <c r="R160" i="19" s="1"/>
  <c r="P158" i="19"/>
  <c r="R158" i="19" s="1"/>
  <c r="L157" i="19"/>
  <c r="F157" i="49" s="1"/>
  <c r="G157" i="49" s="1"/>
  <c r="P156" i="19"/>
  <c r="R156" i="19" s="1"/>
  <c r="P155" i="19"/>
  <c r="R155" i="19" s="1"/>
  <c r="P154" i="19"/>
  <c r="R154" i="19" s="1"/>
  <c r="P153" i="19"/>
  <c r="R153" i="19" s="1"/>
  <c r="P152" i="19"/>
  <c r="R152" i="19" s="1"/>
  <c r="P151" i="19"/>
  <c r="R151" i="19" s="1"/>
  <c r="P150" i="19"/>
  <c r="R150" i="19" s="1"/>
  <c r="L149" i="19"/>
  <c r="F149" i="49" s="1"/>
  <c r="G149" i="49" s="1"/>
  <c r="P148" i="19"/>
  <c r="R148" i="19" s="1"/>
  <c r="P147" i="19"/>
  <c r="R147" i="19" s="1"/>
  <c r="P146" i="19"/>
  <c r="R146" i="19" s="1"/>
  <c r="P145" i="19"/>
  <c r="R145" i="19" s="1"/>
  <c r="P144" i="19"/>
  <c r="R144" i="19" s="1"/>
  <c r="L142" i="19"/>
  <c r="F142" i="49" s="1"/>
  <c r="G142" i="49" s="1"/>
  <c r="P141" i="19"/>
  <c r="R141" i="19" s="1"/>
  <c r="P140" i="19"/>
  <c r="R140" i="19" s="1"/>
  <c r="P139" i="19"/>
  <c r="R139" i="19" s="1"/>
  <c r="P138" i="19"/>
  <c r="R138" i="19" s="1"/>
  <c r="P136" i="19"/>
  <c r="R136" i="19" s="1"/>
  <c r="L135" i="19"/>
  <c r="F135" i="49" s="1"/>
  <c r="G135" i="49" s="1"/>
  <c r="P134" i="19"/>
  <c r="R134" i="19" s="1"/>
  <c r="P133" i="19"/>
  <c r="R133" i="19" s="1"/>
  <c r="P132" i="19"/>
  <c r="R132" i="19" s="1"/>
  <c r="P130" i="19"/>
  <c r="R130" i="19" s="1"/>
  <c r="P129" i="19"/>
  <c r="R129" i="19" s="1"/>
  <c r="P128" i="19"/>
  <c r="R128" i="19" s="1"/>
  <c r="L127" i="19"/>
  <c r="F127" i="49" s="1"/>
  <c r="G127" i="49" s="1"/>
  <c r="P126" i="19"/>
  <c r="R126" i="19" s="1"/>
  <c r="P125" i="19"/>
  <c r="R125" i="19" s="1"/>
  <c r="P124" i="19"/>
  <c r="R124" i="19" s="1"/>
  <c r="P123" i="19"/>
  <c r="R123" i="19" s="1"/>
  <c r="P122" i="19"/>
  <c r="R122" i="19" s="1"/>
  <c r="P121" i="19"/>
  <c r="R121" i="19" s="1"/>
  <c r="P119" i="19"/>
  <c r="R119" i="19" s="1"/>
  <c r="P118" i="19"/>
  <c r="R118" i="19" s="1"/>
  <c r="P117" i="19"/>
  <c r="R117" i="19" s="1"/>
  <c r="P116" i="19"/>
  <c r="R116" i="19" s="1"/>
  <c r="P115" i="19"/>
  <c r="R115" i="19" s="1"/>
  <c r="P114" i="19"/>
  <c r="R114" i="19" s="1"/>
  <c r="P112" i="19"/>
  <c r="R112" i="19" s="1"/>
  <c r="P111" i="19"/>
  <c r="R111" i="19" s="1"/>
  <c r="P110" i="19"/>
  <c r="R110" i="19" s="1"/>
  <c r="P109" i="19"/>
  <c r="R109" i="19" s="1"/>
  <c r="P108" i="19"/>
  <c r="R108" i="19" s="1"/>
  <c r="P107" i="19"/>
  <c r="R107" i="19" s="1"/>
  <c r="P106" i="19"/>
  <c r="R106" i="19" s="1"/>
  <c r="L105" i="19"/>
  <c r="F105" i="49" s="1"/>
  <c r="G105" i="49" s="1"/>
  <c r="P104" i="19"/>
  <c r="R104" i="19" s="1"/>
  <c r="P103" i="19"/>
  <c r="R103" i="19" s="1"/>
  <c r="P102" i="19"/>
  <c r="R102" i="19" s="1"/>
  <c r="P101" i="19"/>
  <c r="R101" i="19" s="1"/>
  <c r="P100" i="19"/>
  <c r="R100" i="19" s="1"/>
  <c r="P99" i="19"/>
  <c r="R99" i="19" s="1"/>
  <c r="P98" i="19"/>
  <c r="R98" i="19" s="1"/>
  <c r="L97" i="19"/>
  <c r="F97" i="49" s="1"/>
  <c r="G97" i="49" s="1"/>
  <c r="P96" i="19"/>
  <c r="R96" i="19" s="1"/>
  <c r="P93" i="19"/>
  <c r="R93" i="19" s="1"/>
  <c r="P92" i="19"/>
  <c r="R92" i="19" s="1"/>
  <c r="P91" i="19"/>
  <c r="R91" i="19" s="1"/>
  <c r="P90" i="19"/>
  <c r="R90" i="19" s="1"/>
  <c r="L89" i="19"/>
  <c r="F89" i="49" s="1"/>
  <c r="G89" i="49" s="1"/>
  <c r="P88" i="19"/>
  <c r="R88" i="19" s="1"/>
  <c r="P86" i="19"/>
  <c r="R86" i="19" s="1"/>
  <c r="P85" i="19"/>
  <c r="R85" i="19" s="1"/>
  <c r="P84" i="19"/>
  <c r="R84" i="19" s="1"/>
  <c r="P83" i="19"/>
  <c r="R83" i="19" s="1"/>
  <c r="P82" i="19"/>
  <c r="R82" i="19" s="1"/>
  <c r="L81" i="19"/>
  <c r="F81" i="49" s="1"/>
  <c r="G81" i="49" s="1"/>
  <c r="P80" i="19"/>
  <c r="R80" i="19" s="1"/>
  <c r="P78" i="19"/>
  <c r="R78" i="19" s="1"/>
  <c r="P77" i="19"/>
  <c r="R77" i="19" s="1"/>
  <c r="P76" i="19"/>
  <c r="R76" i="19" s="1"/>
  <c r="P75" i="19"/>
  <c r="R75" i="19" s="1"/>
  <c r="P74" i="19"/>
  <c r="R74" i="19" s="1"/>
  <c r="L73" i="19"/>
  <c r="F73" i="49" s="1"/>
  <c r="G73" i="49" s="1"/>
  <c r="P71" i="19"/>
  <c r="R71" i="19" s="1"/>
  <c r="P70" i="19"/>
  <c r="R70" i="19" s="1"/>
  <c r="P69" i="19"/>
  <c r="R69" i="19" s="1"/>
  <c r="P68" i="19"/>
  <c r="R68" i="19" s="1"/>
  <c r="P67" i="19"/>
  <c r="R67" i="19" s="1"/>
  <c r="L65" i="19"/>
  <c r="F65" i="49" s="1"/>
  <c r="G65" i="49" s="1"/>
  <c r="P64" i="19"/>
  <c r="R64" i="19" s="1"/>
  <c r="P63" i="19"/>
  <c r="R63" i="19" s="1"/>
  <c r="P62" i="19"/>
  <c r="R62" i="19" s="1"/>
  <c r="P61" i="19"/>
  <c r="R61" i="19" s="1"/>
  <c r="P60" i="19"/>
  <c r="R60" i="19" s="1"/>
  <c r="P58" i="19"/>
  <c r="R58" i="19" s="1"/>
  <c r="L57" i="19"/>
  <c r="F57" i="49" s="1"/>
  <c r="G57" i="49" s="1"/>
  <c r="P56" i="19"/>
  <c r="R56" i="19" s="1"/>
  <c r="P55" i="19"/>
  <c r="R55" i="19" s="1"/>
  <c r="P54" i="19"/>
  <c r="R54" i="19" s="1"/>
  <c r="P53" i="19"/>
  <c r="R53" i="19" s="1"/>
  <c r="P51" i="19"/>
  <c r="R51" i="19" s="1"/>
  <c r="P50" i="19"/>
  <c r="R50" i="19" s="1"/>
  <c r="L49" i="19"/>
  <c r="F49" i="49" s="1"/>
  <c r="G49" i="49" s="1"/>
  <c r="P48" i="19"/>
  <c r="R48" i="19" s="1"/>
  <c r="P47" i="19"/>
  <c r="R47" i="19" s="1"/>
  <c r="P46" i="19"/>
  <c r="R46" i="19" s="1"/>
  <c r="P44" i="19"/>
  <c r="R44" i="19" s="1"/>
  <c r="P43" i="19"/>
  <c r="R43" i="19" s="1"/>
  <c r="P42" i="19"/>
  <c r="R42" i="19" s="1"/>
  <c r="P31" i="19"/>
  <c r="R31" i="19" s="1"/>
  <c r="P12" i="19"/>
  <c r="R12" i="19" s="1"/>
  <c r="L41" i="19"/>
  <c r="F41" i="49" s="1"/>
  <c r="G41" i="49" s="1"/>
  <c r="P39" i="19"/>
  <c r="R39" i="19" s="1"/>
  <c r="P38" i="19"/>
  <c r="R38" i="19" s="1"/>
  <c r="P37" i="19"/>
  <c r="R37" i="19" s="1"/>
  <c r="P36" i="19"/>
  <c r="R36" i="19" s="1"/>
  <c r="P35" i="19"/>
  <c r="R35" i="19" s="1"/>
  <c r="P34" i="19"/>
  <c r="R34" i="19" s="1"/>
  <c r="L33" i="19"/>
  <c r="F33" i="49" s="1"/>
  <c r="G33" i="49" s="1"/>
  <c r="P32" i="19"/>
  <c r="R32" i="19" s="1"/>
  <c r="P30" i="19"/>
  <c r="R30" i="19" s="1"/>
  <c r="P29" i="19"/>
  <c r="R29" i="19" s="1"/>
  <c r="P28" i="19"/>
  <c r="R28" i="19" s="1"/>
  <c r="P27" i="19"/>
  <c r="R27" i="19" s="1"/>
  <c r="P26" i="19"/>
  <c r="R26" i="19" s="1"/>
  <c r="L25" i="19"/>
  <c r="F25" i="49" s="1"/>
  <c r="G25" i="49" s="1"/>
  <c r="P24" i="19"/>
  <c r="R24" i="19" s="1"/>
  <c r="P23" i="19"/>
  <c r="R23" i="19" s="1"/>
  <c r="P20" i="19"/>
  <c r="R20" i="19" s="1"/>
  <c r="P19" i="19"/>
  <c r="R19" i="19" s="1"/>
  <c r="L18" i="19"/>
  <c r="F18" i="49" s="1"/>
  <c r="G18" i="49" s="1"/>
  <c r="P17" i="19"/>
  <c r="R17" i="19" s="1"/>
  <c r="P16" i="19"/>
  <c r="R16" i="19" s="1"/>
  <c r="P15" i="19"/>
  <c r="R15" i="19" s="1"/>
  <c r="P13" i="19"/>
  <c r="R13" i="19" s="1"/>
  <c r="P11" i="19"/>
  <c r="R11" i="19" s="1"/>
  <c r="L10" i="19"/>
  <c r="F10" i="49" s="1"/>
  <c r="G10" i="49" s="1"/>
  <c r="P9" i="19"/>
  <c r="R9" i="19" s="1"/>
  <c r="P8" i="19"/>
  <c r="R8" i="19" s="1"/>
  <c r="P7" i="19"/>
  <c r="P14" i="19" l="1"/>
  <c r="R14" i="19" s="1"/>
  <c r="E33" i="25"/>
  <c r="J34" i="49"/>
  <c r="C34" i="13"/>
  <c r="C34" i="39"/>
  <c r="C34" i="12"/>
  <c r="C34" i="33"/>
  <c r="C40" i="9"/>
  <c r="E116" i="25"/>
  <c r="J117" i="49"/>
  <c r="C117" i="13"/>
  <c r="C117" i="39"/>
  <c r="C117" i="12"/>
  <c r="C123" i="9"/>
  <c r="C117" i="33"/>
  <c r="E197" i="25"/>
  <c r="J198" i="49"/>
  <c r="C198" i="13"/>
  <c r="C198" i="39"/>
  <c r="C198" i="12"/>
  <c r="C198" i="33"/>
  <c r="C204" i="9"/>
  <c r="F72" i="49"/>
  <c r="G72" i="49" s="1"/>
  <c r="P72" i="19"/>
  <c r="R72" i="19" s="1"/>
  <c r="AM137" i="42"/>
  <c r="E136" i="25"/>
  <c r="J137" i="49"/>
  <c r="C137" i="13"/>
  <c r="C137" i="39"/>
  <c r="C137" i="12"/>
  <c r="C137" i="33"/>
  <c r="C143" i="9"/>
  <c r="AK137" i="42"/>
  <c r="AC137" i="42"/>
  <c r="AE137" i="42"/>
  <c r="E119" i="25"/>
  <c r="J120" i="49"/>
  <c r="C120" i="13"/>
  <c r="C120" i="12"/>
  <c r="C120" i="39"/>
  <c r="C120" i="33"/>
  <c r="C126" i="9"/>
  <c r="AK120" i="42"/>
  <c r="AE120" i="42"/>
  <c r="AC120" i="42"/>
  <c r="AM120" i="42"/>
  <c r="E7" i="25"/>
  <c r="J8" i="49"/>
  <c r="C8" i="13"/>
  <c r="C8" i="12"/>
  <c r="C8" i="39"/>
  <c r="C8" i="33"/>
  <c r="C14" i="9"/>
  <c r="E16" i="25"/>
  <c r="J17" i="49"/>
  <c r="C17" i="13"/>
  <c r="C17" i="39"/>
  <c r="C17" i="12"/>
  <c r="E17" i="12" s="1"/>
  <c r="C17" i="33"/>
  <c r="C23" i="9"/>
  <c r="E25" i="25"/>
  <c r="J26" i="49"/>
  <c r="C26" i="13"/>
  <c r="C26" i="39"/>
  <c r="C26" i="12"/>
  <c r="C26" i="33"/>
  <c r="C32" i="9"/>
  <c r="E34" i="25"/>
  <c r="J35" i="49"/>
  <c r="C35" i="13"/>
  <c r="C35" i="39"/>
  <c r="C35" i="12"/>
  <c r="C35" i="33"/>
  <c r="C41" i="9"/>
  <c r="E41" i="25"/>
  <c r="J42" i="49"/>
  <c r="C42" i="13"/>
  <c r="C42" i="39"/>
  <c r="C42" i="12"/>
  <c r="C48" i="9"/>
  <c r="C42" i="33"/>
  <c r="E49" i="25"/>
  <c r="J50" i="49"/>
  <c r="C50" i="13"/>
  <c r="C50" i="39"/>
  <c r="C50" i="12"/>
  <c r="C50" i="33"/>
  <c r="C56" i="9"/>
  <c r="E57" i="25"/>
  <c r="J58" i="49"/>
  <c r="C58" i="13"/>
  <c r="C58" i="39"/>
  <c r="C58" i="12"/>
  <c r="C58" i="33"/>
  <c r="C64" i="9"/>
  <c r="P66" i="19"/>
  <c r="R66" i="19" s="1"/>
  <c r="AE75" i="42"/>
  <c r="E74" i="25"/>
  <c r="J75" i="49"/>
  <c r="C75" i="39"/>
  <c r="C75" i="12"/>
  <c r="E75" i="12" s="1"/>
  <c r="C75" i="13"/>
  <c r="C75" i="33"/>
  <c r="C81" i="9"/>
  <c r="E82" i="25"/>
  <c r="J83" i="49"/>
  <c r="C83" i="13"/>
  <c r="C83" i="39"/>
  <c r="C83" i="12"/>
  <c r="C83" i="33"/>
  <c r="C89" i="9"/>
  <c r="E90" i="25"/>
  <c r="J91" i="49"/>
  <c r="C91" i="13"/>
  <c r="C91" i="39"/>
  <c r="C91" i="12"/>
  <c r="E91" i="12" s="1"/>
  <c r="C91" i="33"/>
  <c r="C97" i="9"/>
  <c r="E100" i="25"/>
  <c r="J101" i="49"/>
  <c r="C101" i="13"/>
  <c r="C101" i="39"/>
  <c r="C101" i="12"/>
  <c r="C107" i="9"/>
  <c r="C101" i="33"/>
  <c r="E108" i="25"/>
  <c r="J109" i="49"/>
  <c r="C109" i="13"/>
  <c r="C109" i="39"/>
  <c r="C109" i="12"/>
  <c r="C115" i="9"/>
  <c r="C109" i="33"/>
  <c r="E117" i="25"/>
  <c r="J118" i="49"/>
  <c r="C118" i="13"/>
  <c r="C118" i="39"/>
  <c r="C118" i="12"/>
  <c r="C118" i="33"/>
  <c r="C124" i="9"/>
  <c r="E144" i="25"/>
  <c r="J145" i="49"/>
  <c r="C145" i="13"/>
  <c r="C145" i="39"/>
  <c r="C145" i="12"/>
  <c r="C145" i="33"/>
  <c r="C151" i="9"/>
  <c r="E152" i="25"/>
  <c r="J153" i="49"/>
  <c r="C153" i="39"/>
  <c r="C153" i="13"/>
  <c r="C153" i="12"/>
  <c r="C159" i="9"/>
  <c r="C153" i="33"/>
  <c r="E160" i="25"/>
  <c r="J161" i="49"/>
  <c r="C161" i="13"/>
  <c r="C161" i="39"/>
  <c r="C161" i="12"/>
  <c r="C161" i="33"/>
  <c r="C167" i="9"/>
  <c r="E168" i="25"/>
  <c r="J169" i="49"/>
  <c r="C169" i="13"/>
  <c r="C169" i="39"/>
  <c r="C169" i="12"/>
  <c r="E169" i="12" s="1"/>
  <c r="C169" i="33"/>
  <c r="C175" i="9"/>
  <c r="E173" i="25"/>
  <c r="J174" i="49"/>
  <c r="C174" i="39"/>
  <c r="C174" i="13"/>
  <c r="C174" i="12"/>
  <c r="E174" i="12" s="1"/>
  <c r="C174" i="33"/>
  <c r="C180" i="9"/>
  <c r="E182" i="25"/>
  <c r="J183" i="49"/>
  <c r="C183" i="13"/>
  <c r="C183" i="39"/>
  <c r="C183" i="12"/>
  <c r="C183" i="33"/>
  <c r="C189" i="9"/>
  <c r="E190" i="25"/>
  <c r="J191" i="49"/>
  <c r="C191" i="39"/>
  <c r="C191" i="12"/>
  <c r="C191" i="13"/>
  <c r="C197" i="9"/>
  <c r="C191" i="33"/>
  <c r="E198" i="25"/>
  <c r="J199" i="49"/>
  <c r="C199" i="13"/>
  <c r="C199" i="39"/>
  <c r="C199" i="12"/>
  <c r="C205" i="9"/>
  <c r="C199" i="33"/>
  <c r="E206" i="25"/>
  <c r="J207" i="49"/>
  <c r="C207" i="39"/>
  <c r="C207" i="13"/>
  <c r="C207" i="12"/>
  <c r="C213" i="9"/>
  <c r="C207" i="33"/>
  <c r="E214" i="25"/>
  <c r="J215" i="49"/>
  <c r="C215" i="13"/>
  <c r="C215" i="39"/>
  <c r="C215" i="12"/>
  <c r="C221" i="9"/>
  <c r="C215" i="33"/>
  <c r="E222" i="25"/>
  <c r="J223" i="49"/>
  <c r="C223" i="13"/>
  <c r="C223" i="39"/>
  <c r="C223" i="12"/>
  <c r="C223" i="33"/>
  <c r="C229" i="9"/>
  <c r="E231" i="25"/>
  <c r="J232" i="49"/>
  <c r="C232" i="13"/>
  <c r="C232" i="39"/>
  <c r="C232" i="12"/>
  <c r="C238" i="9"/>
  <c r="C232" i="33"/>
  <c r="E239" i="25"/>
  <c r="J240" i="49"/>
  <c r="C240" i="13"/>
  <c r="C240" i="39"/>
  <c r="C240" i="12"/>
  <c r="E240" i="12" s="1"/>
  <c r="C240" i="33"/>
  <c r="C246" i="9"/>
  <c r="E247" i="25"/>
  <c r="J248" i="49"/>
  <c r="C248" i="13"/>
  <c r="C248" i="39"/>
  <c r="C248" i="12"/>
  <c r="C254" i="9"/>
  <c r="C248" i="33"/>
  <c r="E255" i="25"/>
  <c r="J256" i="49"/>
  <c r="C256" i="13"/>
  <c r="C256" i="12"/>
  <c r="C256" i="39"/>
  <c r="C262" i="9"/>
  <c r="C256" i="33"/>
  <c r="P265" i="19"/>
  <c r="R265" i="19" s="1"/>
  <c r="E273" i="25"/>
  <c r="J274" i="49"/>
  <c r="C274" i="13"/>
  <c r="C274" i="39"/>
  <c r="C274" i="12"/>
  <c r="C274" i="33"/>
  <c r="C280" i="9"/>
  <c r="E281" i="25"/>
  <c r="J282" i="49"/>
  <c r="C282" i="13"/>
  <c r="C282" i="39"/>
  <c r="C282" i="12"/>
  <c r="C288" i="9"/>
  <c r="C282" i="33"/>
  <c r="E290" i="25"/>
  <c r="J291" i="49"/>
  <c r="C291" i="39"/>
  <c r="C291" i="13"/>
  <c r="C291" i="12"/>
  <c r="C291" i="33"/>
  <c r="C297" i="9"/>
  <c r="E299" i="25"/>
  <c r="J300" i="49"/>
  <c r="C300" i="39"/>
  <c r="C300" i="13"/>
  <c r="C300" i="12"/>
  <c r="C306" i="9"/>
  <c r="C300" i="33"/>
  <c r="E215" i="12"/>
  <c r="E207" i="12"/>
  <c r="E55" i="12"/>
  <c r="E109" i="12"/>
  <c r="E199" i="12"/>
  <c r="E153" i="12"/>
  <c r="E216" i="12"/>
  <c r="J175" i="49"/>
  <c r="E174" i="25"/>
  <c r="C175" i="13"/>
  <c r="C175" i="39"/>
  <c r="C175" i="12"/>
  <c r="C181" i="9"/>
  <c r="C175" i="33"/>
  <c r="AC175" i="42"/>
  <c r="AK175" i="42"/>
  <c r="AE175" i="42"/>
  <c r="AM175" i="42"/>
  <c r="E89" i="25"/>
  <c r="J90" i="49"/>
  <c r="C90" i="13"/>
  <c r="C90" i="39"/>
  <c r="C90" i="12"/>
  <c r="C96" i="9"/>
  <c r="C90" i="33"/>
  <c r="E133" i="25"/>
  <c r="J134" i="49"/>
  <c r="C134" i="13"/>
  <c r="C134" i="39"/>
  <c r="C134" i="12"/>
  <c r="E134" i="12" s="1"/>
  <c r="C134" i="33"/>
  <c r="C140" i="9"/>
  <c r="E159" i="25"/>
  <c r="J160" i="49"/>
  <c r="C160" i="13"/>
  <c r="C160" i="39"/>
  <c r="C160" i="12"/>
  <c r="C166" i="9"/>
  <c r="C160" i="33"/>
  <c r="E189" i="25"/>
  <c r="J190" i="49"/>
  <c r="C190" i="13"/>
  <c r="C190" i="39"/>
  <c r="C190" i="12"/>
  <c r="C190" i="33"/>
  <c r="C196" i="9"/>
  <c r="E221" i="25"/>
  <c r="J222" i="49"/>
  <c r="C222" i="13"/>
  <c r="C222" i="39"/>
  <c r="C222" i="12"/>
  <c r="E222" i="12" s="1"/>
  <c r="C222" i="33"/>
  <c r="C228" i="9"/>
  <c r="E246" i="25"/>
  <c r="J247" i="49"/>
  <c r="C247" i="13"/>
  <c r="C247" i="39"/>
  <c r="C247" i="12"/>
  <c r="C253" i="9"/>
  <c r="C247" i="33"/>
  <c r="E263" i="25"/>
  <c r="J264" i="49"/>
  <c r="C264" i="13"/>
  <c r="C264" i="12"/>
  <c r="C264" i="39"/>
  <c r="C270" i="9"/>
  <c r="C264" i="33"/>
  <c r="E48" i="12"/>
  <c r="P94" i="19"/>
  <c r="R94" i="19" s="1"/>
  <c r="F94" i="49"/>
  <c r="G94" i="49" s="1"/>
  <c r="E8" i="25"/>
  <c r="J9" i="49"/>
  <c r="C9" i="13"/>
  <c r="C9" i="39"/>
  <c r="C9" i="12"/>
  <c r="C9" i="33"/>
  <c r="C15" i="9"/>
  <c r="E26" i="25"/>
  <c r="J27" i="49"/>
  <c r="C27" i="39"/>
  <c r="C27" i="12"/>
  <c r="E27" i="12" s="1"/>
  <c r="C27" i="13"/>
  <c r="C27" i="33"/>
  <c r="C33" i="9"/>
  <c r="E50" i="25"/>
  <c r="J51" i="49"/>
  <c r="C51" i="39"/>
  <c r="C51" i="12"/>
  <c r="C51" i="13"/>
  <c r="C51" i="33"/>
  <c r="C57" i="9"/>
  <c r="E66" i="25"/>
  <c r="J67" i="49"/>
  <c r="C67" i="13"/>
  <c r="C67" i="39"/>
  <c r="C67" i="12"/>
  <c r="E67" i="12" s="1"/>
  <c r="C67" i="33"/>
  <c r="C73" i="9"/>
  <c r="E91" i="25"/>
  <c r="J92" i="49"/>
  <c r="C92" i="13"/>
  <c r="C92" i="39"/>
  <c r="C92" i="12"/>
  <c r="C92" i="33"/>
  <c r="C98" i="9"/>
  <c r="E109" i="25"/>
  <c r="J110" i="49"/>
  <c r="C110" i="13"/>
  <c r="C110" i="39"/>
  <c r="C110" i="12"/>
  <c r="E110" i="12" s="1"/>
  <c r="C110" i="33"/>
  <c r="C116" i="9"/>
  <c r="E127" i="25"/>
  <c r="J128" i="49"/>
  <c r="C128" i="13"/>
  <c r="C128" i="12"/>
  <c r="C128" i="39"/>
  <c r="C134" i="9"/>
  <c r="C128" i="33"/>
  <c r="E145" i="25"/>
  <c r="J146" i="49"/>
  <c r="C146" i="13"/>
  <c r="C146" i="39"/>
  <c r="C146" i="12"/>
  <c r="C152" i="9"/>
  <c r="C146" i="33"/>
  <c r="E161" i="25"/>
  <c r="J162" i="49"/>
  <c r="C162" i="13"/>
  <c r="C162" i="39"/>
  <c r="C162" i="12"/>
  <c r="C168" i="9"/>
  <c r="C162" i="33"/>
  <c r="E183" i="25"/>
  <c r="J184" i="49"/>
  <c r="C184" i="13"/>
  <c r="C184" i="39"/>
  <c r="C184" i="12"/>
  <c r="C190" i="9"/>
  <c r="C184" i="33"/>
  <c r="E199" i="25"/>
  <c r="J200" i="49"/>
  <c r="C200" i="13"/>
  <c r="C200" i="12"/>
  <c r="C200" i="39"/>
  <c r="C206" i="9"/>
  <c r="C200" i="33"/>
  <c r="P224" i="19"/>
  <c r="R224" i="19" s="1"/>
  <c r="E240" i="25"/>
  <c r="J241" i="49"/>
  <c r="C241" i="13"/>
  <c r="C241" i="39"/>
  <c r="C241" i="12"/>
  <c r="E241" i="12" s="1"/>
  <c r="C241" i="33"/>
  <c r="C247" i="9"/>
  <c r="E256" i="25"/>
  <c r="J257" i="49"/>
  <c r="C257" i="39"/>
  <c r="C257" i="13"/>
  <c r="C257" i="12"/>
  <c r="C257" i="33"/>
  <c r="C263" i="9"/>
  <c r="E274" i="25"/>
  <c r="J275" i="49"/>
  <c r="C275" i="13"/>
  <c r="C275" i="39"/>
  <c r="C275" i="12"/>
  <c r="C275" i="33"/>
  <c r="C281" i="9"/>
  <c r="J292" i="49"/>
  <c r="E291" i="25"/>
  <c r="C292" i="13"/>
  <c r="C292" i="39"/>
  <c r="C292" i="12"/>
  <c r="C292" i="33"/>
  <c r="C298" i="9"/>
  <c r="E300" i="25"/>
  <c r="J301" i="49"/>
  <c r="C301" i="39"/>
  <c r="C301" i="12"/>
  <c r="C301" i="33"/>
  <c r="C307" i="9"/>
  <c r="E211" i="12"/>
  <c r="E108" i="12"/>
  <c r="E175" i="12"/>
  <c r="E262" i="12"/>
  <c r="E50" i="12"/>
  <c r="E137" i="12"/>
  <c r="E301" i="12"/>
  <c r="E44" i="12"/>
  <c r="E51" i="12"/>
  <c r="E248" i="12"/>
  <c r="E95" i="12"/>
  <c r="E117" i="12"/>
  <c r="E141" i="12"/>
  <c r="F261" i="49"/>
  <c r="G261" i="49" s="1"/>
  <c r="P261" i="19"/>
  <c r="R261" i="19" s="1"/>
  <c r="C143" i="11"/>
  <c r="C149" i="34"/>
  <c r="E143" i="33"/>
  <c r="D143" i="37" s="1"/>
  <c r="E15" i="25"/>
  <c r="J16" i="49"/>
  <c r="C16" i="13"/>
  <c r="C16" i="12"/>
  <c r="E16" i="12" s="1"/>
  <c r="C16" i="39"/>
  <c r="C16" i="33"/>
  <c r="C22" i="9"/>
  <c r="E30" i="25"/>
  <c r="J31" i="49"/>
  <c r="C31" i="13"/>
  <c r="C31" i="39"/>
  <c r="C31" i="12"/>
  <c r="C31" i="33"/>
  <c r="C37" i="9"/>
  <c r="E107" i="25"/>
  <c r="J108" i="49"/>
  <c r="C108" i="39"/>
  <c r="C108" i="13"/>
  <c r="C108" i="12"/>
  <c r="C108" i="33"/>
  <c r="C114" i="9"/>
  <c r="E181" i="25"/>
  <c r="J182" i="49"/>
  <c r="C182" i="13"/>
  <c r="C182" i="39"/>
  <c r="C182" i="12"/>
  <c r="C182" i="33"/>
  <c r="C188" i="9"/>
  <c r="E35" i="25"/>
  <c r="J36" i="49"/>
  <c r="C36" i="13"/>
  <c r="C36" i="39"/>
  <c r="C36" i="12"/>
  <c r="C36" i="33"/>
  <c r="C42" i="9"/>
  <c r="E42" i="25"/>
  <c r="J43" i="49"/>
  <c r="C43" i="13"/>
  <c r="C43" i="39"/>
  <c r="C43" i="12"/>
  <c r="C43" i="33"/>
  <c r="C49" i="9"/>
  <c r="P59" i="19"/>
  <c r="R59" i="19" s="1"/>
  <c r="AM59" i="42" s="1"/>
  <c r="E75" i="25"/>
  <c r="J76" i="49"/>
  <c r="C76" i="13"/>
  <c r="C76" i="39"/>
  <c r="C76" i="12"/>
  <c r="C76" i="33"/>
  <c r="C82" i="9"/>
  <c r="E83" i="25"/>
  <c r="J84" i="49"/>
  <c r="C84" i="13"/>
  <c r="C84" i="39"/>
  <c r="C84" i="12"/>
  <c r="C84" i="33"/>
  <c r="C90" i="9"/>
  <c r="E101" i="25"/>
  <c r="J102" i="49"/>
  <c r="C102" i="13"/>
  <c r="C102" i="39"/>
  <c r="C102" i="12"/>
  <c r="C108" i="9"/>
  <c r="C102" i="33"/>
  <c r="E118" i="25"/>
  <c r="J119" i="49"/>
  <c r="C119" i="13"/>
  <c r="C119" i="39"/>
  <c r="C119" i="12"/>
  <c r="C125" i="9"/>
  <c r="C119" i="33"/>
  <c r="E135" i="25"/>
  <c r="J136" i="49"/>
  <c r="C136" i="13"/>
  <c r="C136" i="12"/>
  <c r="E136" i="12" s="1"/>
  <c r="C136" i="39"/>
  <c r="C142" i="9"/>
  <c r="C136" i="33"/>
  <c r="J154" i="49"/>
  <c r="E153" i="25"/>
  <c r="C154" i="13"/>
  <c r="C154" i="39"/>
  <c r="C154" i="12"/>
  <c r="E154" i="12" s="1"/>
  <c r="C154" i="33"/>
  <c r="C160" i="9"/>
  <c r="E94" i="25"/>
  <c r="J95" i="49"/>
  <c r="C95" i="13"/>
  <c r="C95" i="39"/>
  <c r="C95" i="12"/>
  <c r="C95" i="33"/>
  <c r="C101" i="9"/>
  <c r="E175" i="25"/>
  <c r="J176" i="49"/>
  <c r="C176" i="13"/>
  <c r="C176" i="39"/>
  <c r="C176" i="12"/>
  <c r="E176" i="12" s="1"/>
  <c r="C182" i="9"/>
  <c r="C176" i="33"/>
  <c r="E191" i="25"/>
  <c r="J192" i="49"/>
  <c r="C192" i="13"/>
  <c r="C192" i="12"/>
  <c r="C192" i="39"/>
  <c r="C192" i="33"/>
  <c r="C198" i="9"/>
  <c r="E207" i="25"/>
  <c r="J208" i="49"/>
  <c r="C208" i="13"/>
  <c r="C208" i="12"/>
  <c r="E208" i="12" s="1"/>
  <c r="C208" i="39"/>
  <c r="C208" i="33"/>
  <c r="C214" i="9"/>
  <c r="J216" i="49"/>
  <c r="E215" i="25"/>
  <c r="C216" i="13"/>
  <c r="C216" i="12"/>
  <c r="C216" i="39"/>
  <c r="C222" i="9"/>
  <c r="C216" i="33"/>
  <c r="E232" i="25"/>
  <c r="J233" i="49"/>
  <c r="C233" i="13"/>
  <c r="C233" i="39"/>
  <c r="C233" i="12"/>
  <c r="C239" i="9"/>
  <c r="C233" i="33"/>
  <c r="E248" i="25"/>
  <c r="J249" i="49"/>
  <c r="C249" i="13"/>
  <c r="C249" i="39"/>
  <c r="C249" i="12"/>
  <c r="C249" i="33"/>
  <c r="C255" i="9"/>
  <c r="J283" i="49"/>
  <c r="E282" i="25"/>
  <c r="C283" i="39"/>
  <c r="C283" i="12"/>
  <c r="C283" i="13"/>
  <c r="C283" i="33"/>
  <c r="C289" i="9"/>
  <c r="E18" i="25"/>
  <c r="J19" i="49"/>
  <c r="C19" i="13"/>
  <c r="C19" i="39"/>
  <c r="C19" i="12"/>
  <c r="E19" i="12" s="1"/>
  <c r="C19" i="33"/>
  <c r="C25" i="9"/>
  <c r="E27" i="25"/>
  <c r="J28" i="49"/>
  <c r="C28" i="13"/>
  <c r="C28" i="39"/>
  <c r="C28" i="12"/>
  <c r="C28" i="33"/>
  <c r="C34" i="9"/>
  <c r="E36" i="25"/>
  <c r="J37" i="49"/>
  <c r="C37" i="13"/>
  <c r="C37" i="39"/>
  <c r="C37" i="12"/>
  <c r="E37" i="12" s="1"/>
  <c r="C37" i="33"/>
  <c r="C43" i="9"/>
  <c r="E43" i="25"/>
  <c r="J44" i="49"/>
  <c r="C44" i="13"/>
  <c r="C44" i="39"/>
  <c r="C44" i="12"/>
  <c r="C44" i="33"/>
  <c r="C50" i="9"/>
  <c r="P52" i="19"/>
  <c r="R52" i="19" s="1"/>
  <c r="E59" i="25"/>
  <c r="J60" i="49"/>
  <c r="C60" i="13"/>
  <c r="C60" i="39"/>
  <c r="C60" i="12"/>
  <c r="C60" i="33"/>
  <c r="C66" i="9"/>
  <c r="E67" i="25"/>
  <c r="J68" i="49"/>
  <c r="C68" i="13"/>
  <c r="C68" i="39"/>
  <c r="C68" i="12"/>
  <c r="C68" i="33"/>
  <c r="C74" i="9"/>
  <c r="E76" i="25"/>
  <c r="J77" i="49"/>
  <c r="C77" i="13"/>
  <c r="C77" i="39"/>
  <c r="C77" i="12"/>
  <c r="C83" i="9"/>
  <c r="C77" i="33"/>
  <c r="E84" i="25"/>
  <c r="J85" i="49"/>
  <c r="C85" i="13"/>
  <c r="C85" i="39"/>
  <c r="C85" i="12"/>
  <c r="C91" i="9"/>
  <c r="C85" i="33"/>
  <c r="E92" i="25"/>
  <c r="J93" i="49"/>
  <c r="C93" i="13"/>
  <c r="C93" i="39"/>
  <c r="C93" i="12"/>
  <c r="E93" i="12" s="1"/>
  <c r="C99" i="9"/>
  <c r="C93" i="33"/>
  <c r="E102" i="25"/>
  <c r="J103" i="49"/>
  <c r="C103" i="13"/>
  <c r="C103" i="39"/>
  <c r="C103" i="12"/>
  <c r="C103" i="33"/>
  <c r="C109" i="9"/>
  <c r="E110" i="25"/>
  <c r="J111" i="49"/>
  <c r="C111" i="13"/>
  <c r="C111" i="39"/>
  <c r="C111" i="12"/>
  <c r="C111" i="33"/>
  <c r="C117" i="9"/>
  <c r="E120" i="25"/>
  <c r="J121" i="49"/>
  <c r="C121" i="13"/>
  <c r="C121" i="39"/>
  <c r="C121" i="12"/>
  <c r="C127" i="9"/>
  <c r="C121" i="33"/>
  <c r="E128" i="25"/>
  <c r="J129" i="49"/>
  <c r="C129" i="39"/>
  <c r="C129" i="12"/>
  <c r="C129" i="13"/>
  <c r="C129" i="33"/>
  <c r="C135" i="9"/>
  <c r="J138" i="49"/>
  <c r="E137" i="25"/>
  <c r="C138" i="13"/>
  <c r="C138" i="39"/>
  <c r="C138" i="12"/>
  <c r="C144" i="9"/>
  <c r="C138" i="33"/>
  <c r="E146" i="25"/>
  <c r="J147" i="49"/>
  <c r="C147" i="39"/>
  <c r="C147" i="13"/>
  <c r="C147" i="12"/>
  <c r="C147" i="33"/>
  <c r="C153" i="9"/>
  <c r="E154" i="25"/>
  <c r="J155" i="49"/>
  <c r="C155" i="39"/>
  <c r="C155" i="13"/>
  <c r="C155" i="12"/>
  <c r="C155" i="33"/>
  <c r="C161" i="9"/>
  <c r="E162" i="25"/>
  <c r="J163" i="49"/>
  <c r="C163" i="39"/>
  <c r="C163" i="13"/>
  <c r="C163" i="12"/>
  <c r="E163" i="12" s="1"/>
  <c r="C163" i="33"/>
  <c r="C169" i="9"/>
  <c r="E176" i="25"/>
  <c r="J177" i="49"/>
  <c r="C177" i="13"/>
  <c r="C177" i="39"/>
  <c r="C177" i="12"/>
  <c r="C177" i="33"/>
  <c r="C183" i="9"/>
  <c r="E184" i="25"/>
  <c r="J185" i="49"/>
  <c r="C185" i="13"/>
  <c r="C185" i="39"/>
  <c r="C185" i="12"/>
  <c r="C185" i="33"/>
  <c r="C191" i="9"/>
  <c r="J193" i="49"/>
  <c r="E192" i="25"/>
  <c r="C193" i="13"/>
  <c r="C193" i="39"/>
  <c r="C193" i="12"/>
  <c r="C199" i="9"/>
  <c r="C193" i="33"/>
  <c r="P201" i="19"/>
  <c r="R201" i="19" s="1"/>
  <c r="J209" i="49"/>
  <c r="E208" i="25"/>
  <c r="C209" i="13"/>
  <c r="C209" i="39"/>
  <c r="C209" i="12"/>
  <c r="C209" i="33"/>
  <c r="C215" i="9"/>
  <c r="E216" i="25"/>
  <c r="J217" i="49"/>
  <c r="C217" i="39"/>
  <c r="C217" i="13"/>
  <c r="C217" i="12"/>
  <c r="C217" i="33"/>
  <c r="C223" i="9"/>
  <c r="E224" i="25"/>
  <c r="J225" i="49"/>
  <c r="C225" i="13"/>
  <c r="C225" i="39"/>
  <c r="C225" i="12"/>
  <c r="C225" i="33"/>
  <c r="C231" i="9"/>
  <c r="E233" i="25"/>
  <c r="J234" i="49"/>
  <c r="C234" i="39"/>
  <c r="C234" i="13"/>
  <c r="C234" i="12"/>
  <c r="C234" i="33"/>
  <c r="C240" i="9"/>
  <c r="E241" i="25"/>
  <c r="J242" i="49"/>
  <c r="C242" i="13"/>
  <c r="C242" i="39"/>
  <c r="C242" i="12"/>
  <c r="C248" i="9"/>
  <c r="C242" i="33"/>
  <c r="E249" i="25"/>
  <c r="J250" i="49"/>
  <c r="C250" i="39"/>
  <c r="C250" i="13"/>
  <c r="C250" i="12"/>
  <c r="E250" i="12" s="1"/>
  <c r="C256" i="9"/>
  <c r="C250" i="33"/>
  <c r="P258" i="19"/>
  <c r="R258" i="19" s="1"/>
  <c r="E266" i="25"/>
  <c r="J267" i="49"/>
  <c r="C267" i="39"/>
  <c r="C267" i="13"/>
  <c r="C267" i="12"/>
  <c r="E267" i="12" s="1"/>
  <c r="C267" i="33"/>
  <c r="C273" i="9"/>
  <c r="E275" i="25"/>
  <c r="J276" i="49"/>
  <c r="C276" i="39"/>
  <c r="C276" i="13"/>
  <c r="C276" i="12"/>
  <c r="C282" i="9"/>
  <c r="C276" i="33"/>
  <c r="E283" i="25"/>
  <c r="J284" i="49"/>
  <c r="C284" i="39"/>
  <c r="C284" i="13"/>
  <c r="C284" i="12"/>
  <c r="C284" i="33"/>
  <c r="C290" i="9"/>
  <c r="E292" i="25"/>
  <c r="J293" i="49"/>
  <c r="C293" i="13"/>
  <c r="C293" i="39"/>
  <c r="C293" i="12"/>
  <c r="C299" i="9"/>
  <c r="C293" i="33"/>
  <c r="E160" i="12"/>
  <c r="E225" i="12"/>
  <c r="E120" i="12"/>
  <c r="E111" i="12"/>
  <c r="E83" i="12"/>
  <c r="E282" i="12"/>
  <c r="E104" i="12"/>
  <c r="E122" i="12"/>
  <c r="E183" i="12"/>
  <c r="E98" i="12"/>
  <c r="E210" i="12"/>
  <c r="E300" i="12"/>
  <c r="E129" i="12"/>
  <c r="E68" i="12"/>
  <c r="E128" i="12"/>
  <c r="E284" i="12"/>
  <c r="E182" i="12"/>
  <c r="AC6" i="42"/>
  <c r="AM6" i="42"/>
  <c r="AE6" i="42"/>
  <c r="C12" i="9"/>
  <c r="C6" i="39"/>
  <c r="C6" i="12"/>
  <c r="AK6" i="42"/>
  <c r="C6" i="13"/>
  <c r="J6" i="49"/>
  <c r="E73" i="25"/>
  <c r="J74" i="49"/>
  <c r="C74" i="13"/>
  <c r="C74" i="39"/>
  <c r="C74" i="12"/>
  <c r="C80" i="9"/>
  <c r="C74" i="33"/>
  <c r="E167" i="25"/>
  <c r="J168" i="49"/>
  <c r="C168" i="13"/>
  <c r="C168" i="39"/>
  <c r="C168" i="12"/>
  <c r="E168" i="12" s="1"/>
  <c r="C168" i="33"/>
  <c r="C174" i="9"/>
  <c r="E31" i="12"/>
  <c r="E10" i="25"/>
  <c r="J11" i="49"/>
  <c r="C11" i="13"/>
  <c r="C11" i="39"/>
  <c r="C11" i="12"/>
  <c r="E11" i="12" s="1"/>
  <c r="C11" i="33"/>
  <c r="C17" i="9"/>
  <c r="E19" i="25"/>
  <c r="J20" i="49"/>
  <c r="C20" i="13"/>
  <c r="C20" i="39"/>
  <c r="C20" i="12"/>
  <c r="C20" i="33"/>
  <c r="C26" i="9"/>
  <c r="AE29" i="42"/>
  <c r="E28" i="25"/>
  <c r="J29" i="49"/>
  <c r="C29" i="13"/>
  <c r="C29" i="39"/>
  <c r="C29" i="12"/>
  <c r="C29" i="33"/>
  <c r="C35" i="9"/>
  <c r="E37" i="25"/>
  <c r="J38" i="49"/>
  <c r="C38" i="13"/>
  <c r="C38" i="39"/>
  <c r="C38" i="12"/>
  <c r="E38" i="12" s="1"/>
  <c r="C38" i="33"/>
  <c r="C44" i="9"/>
  <c r="P45" i="19"/>
  <c r="R45" i="19" s="1"/>
  <c r="E52" i="25"/>
  <c r="J53" i="49"/>
  <c r="C53" i="13"/>
  <c r="C53" i="39"/>
  <c r="C53" i="12"/>
  <c r="E53" i="12" s="1"/>
  <c r="C53" i="33"/>
  <c r="C59" i="9"/>
  <c r="E60" i="25"/>
  <c r="J61" i="49"/>
  <c r="C61" i="13"/>
  <c r="C61" i="39"/>
  <c r="C61" i="12"/>
  <c r="E61" i="12" s="1"/>
  <c r="C61" i="33"/>
  <c r="C67" i="9"/>
  <c r="E68" i="25"/>
  <c r="J69" i="49"/>
  <c r="C69" i="13"/>
  <c r="C69" i="39"/>
  <c r="C69" i="12"/>
  <c r="E69" i="12" s="1"/>
  <c r="C75" i="9"/>
  <c r="C69" i="33"/>
  <c r="E77" i="25"/>
  <c r="J78" i="49"/>
  <c r="C78" i="39"/>
  <c r="C78" i="12"/>
  <c r="E78" i="12" s="1"/>
  <c r="C78" i="13"/>
  <c r="C78" i="33"/>
  <c r="C84" i="9"/>
  <c r="E85" i="25"/>
  <c r="J86" i="49"/>
  <c r="C86" i="13"/>
  <c r="C86" i="39"/>
  <c r="C86" i="12"/>
  <c r="C86" i="33"/>
  <c r="C92" i="9"/>
  <c r="E95" i="25"/>
  <c r="J96" i="49"/>
  <c r="C96" i="13"/>
  <c r="C96" i="12"/>
  <c r="E96" i="12" s="1"/>
  <c r="C96" i="39"/>
  <c r="C102" i="9"/>
  <c r="C96" i="33"/>
  <c r="E103" i="25"/>
  <c r="J104" i="49"/>
  <c r="C104" i="13"/>
  <c r="C104" i="12"/>
  <c r="C104" i="39"/>
  <c r="C110" i="9"/>
  <c r="C104" i="33"/>
  <c r="E111" i="25"/>
  <c r="J112" i="49"/>
  <c r="C112" i="13"/>
  <c r="C112" i="12"/>
  <c r="C112" i="39"/>
  <c r="C118" i="9"/>
  <c r="C112" i="33"/>
  <c r="E121" i="25"/>
  <c r="J122" i="49"/>
  <c r="C122" i="13"/>
  <c r="C122" i="39"/>
  <c r="C122" i="12"/>
  <c r="C128" i="9"/>
  <c r="C122" i="33"/>
  <c r="E129" i="25"/>
  <c r="J130" i="49"/>
  <c r="C130" i="13"/>
  <c r="C130" i="39"/>
  <c r="C130" i="12"/>
  <c r="C136" i="9"/>
  <c r="C130" i="33"/>
  <c r="E138" i="25"/>
  <c r="J139" i="49"/>
  <c r="C139" i="13"/>
  <c r="C139" i="39"/>
  <c r="C139" i="12"/>
  <c r="C139" i="33"/>
  <c r="C145" i="9"/>
  <c r="E147" i="25"/>
  <c r="J148" i="49"/>
  <c r="C148" i="13"/>
  <c r="C148" i="39"/>
  <c r="C148" i="12"/>
  <c r="E148" i="12" s="1"/>
  <c r="C148" i="33"/>
  <c r="C154" i="9"/>
  <c r="E155" i="25"/>
  <c r="J156" i="49"/>
  <c r="C156" i="13"/>
  <c r="C156" i="39"/>
  <c r="C156" i="12"/>
  <c r="C162" i="9"/>
  <c r="C156" i="33"/>
  <c r="E163" i="25"/>
  <c r="J164" i="49"/>
  <c r="C164" i="39"/>
  <c r="C164" i="13"/>
  <c r="C164" i="12"/>
  <c r="E164" i="12" s="1"/>
  <c r="C170" i="9"/>
  <c r="C164" i="33"/>
  <c r="E177" i="25"/>
  <c r="J178" i="49"/>
  <c r="C178" i="13"/>
  <c r="C178" i="39"/>
  <c r="C178" i="12"/>
  <c r="E178" i="12" s="1"/>
  <c r="C184" i="9"/>
  <c r="C178" i="33"/>
  <c r="E185" i="25"/>
  <c r="J186" i="49"/>
  <c r="C186" i="13"/>
  <c r="C186" i="39"/>
  <c r="C186" i="12"/>
  <c r="C186" i="33"/>
  <c r="C192" i="9"/>
  <c r="P194" i="19"/>
  <c r="R194" i="19" s="1"/>
  <c r="E201" i="25"/>
  <c r="J202" i="49"/>
  <c r="C202" i="13"/>
  <c r="C202" i="39"/>
  <c r="C202" i="12"/>
  <c r="E202" i="12" s="1"/>
  <c r="C208" i="9"/>
  <c r="C202" i="33"/>
  <c r="E209" i="25"/>
  <c r="J210" i="49"/>
  <c r="C210" i="13"/>
  <c r="C210" i="39"/>
  <c r="C210" i="12"/>
  <c r="C216" i="9"/>
  <c r="C210" i="33"/>
  <c r="E217" i="25"/>
  <c r="J218" i="49"/>
  <c r="C218" i="13"/>
  <c r="C218" i="39"/>
  <c r="C218" i="12"/>
  <c r="C224" i="9"/>
  <c r="C218" i="33"/>
  <c r="E225" i="25"/>
  <c r="J226" i="49"/>
  <c r="C226" i="39"/>
  <c r="C226" i="12"/>
  <c r="C226" i="13"/>
  <c r="C232" i="9"/>
  <c r="C226" i="33"/>
  <c r="E267" i="25"/>
  <c r="J268" i="49"/>
  <c r="C268" i="13"/>
  <c r="C268" i="39"/>
  <c r="C268" i="12"/>
  <c r="C268" i="33"/>
  <c r="C274" i="9"/>
  <c r="E276" i="25"/>
  <c r="J277" i="49"/>
  <c r="C277" i="13"/>
  <c r="C277" i="39"/>
  <c r="C277" i="12"/>
  <c r="C283" i="9"/>
  <c r="C277" i="33"/>
  <c r="P286" i="19"/>
  <c r="R286" i="19" s="1"/>
  <c r="E293" i="25"/>
  <c r="J294" i="49"/>
  <c r="C294" i="39"/>
  <c r="C294" i="13"/>
  <c r="C294" i="12"/>
  <c r="C300" i="9"/>
  <c r="C294" i="33"/>
  <c r="J303" i="49"/>
  <c r="E302" i="25"/>
  <c r="C303" i="13"/>
  <c r="C303" i="39"/>
  <c r="C303" i="12"/>
  <c r="E303" i="12" s="1"/>
  <c r="C309" i="9"/>
  <c r="C303" i="33"/>
  <c r="E84" i="12"/>
  <c r="E275" i="12"/>
  <c r="E42" i="12"/>
  <c r="E288" i="12"/>
  <c r="E242" i="12"/>
  <c r="E294" i="12"/>
  <c r="E198" i="12"/>
  <c r="E28" i="12"/>
  <c r="E121" i="12"/>
  <c r="E60" i="12"/>
  <c r="E193" i="12"/>
  <c r="E112" i="12"/>
  <c r="E101" i="12"/>
  <c r="E118" i="12"/>
  <c r="E293" i="12"/>
  <c r="E234" i="12"/>
  <c r="E20" i="12"/>
  <c r="F40" i="49"/>
  <c r="G40" i="49" s="1"/>
  <c r="P40" i="19"/>
  <c r="R40" i="19" s="1"/>
  <c r="E227" i="25"/>
  <c r="J228" i="49"/>
  <c r="C228" i="13"/>
  <c r="C228" i="39"/>
  <c r="C228" i="12"/>
  <c r="C228" i="33"/>
  <c r="C234" i="9"/>
  <c r="AK228" i="42"/>
  <c r="AC228" i="42"/>
  <c r="AM228" i="42"/>
  <c r="AE228" i="42"/>
  <c r="E125" i="25"/>
  <c r="J126" i="49"/>
  <c r="C126" i="13"/>
  <c r="C126" i="39"/>
  <c r="C126" i="12"/>
  <c r="E126" i="12" s="1"/>
  <c r="C126" i="33"/>
  <c r="C132" i="9"/>
  <c r="E213" i="25"/>
  <c r="J214" i="49"/>
  <c r="C214" i="39"/>
  <c r="C214" i="13"/>
  <c r="C214" i="12"/>
  <c r="E214" i="12" s="1"/>
  <c r="C214" i="33"/>
  <c r="C220" i="9"/>
  <c r="E139" i="12"/>
  <c r="E29" i="12"/>
  <c r="E200" i="12"/>
  <c r="E244" i="12"/>
  <c r="E38" i="25"/>
  <c r="J39" i="49"/>
  <c r="C39" i="13"/>
  <c r="C39" i="39"/>
  <c r="C39" i="12"/>
  <c r="C39" i="33"/>
  <c r="C45" i="9"/>
  <c r="E61" i="25"/>
  <c r="J62" i="49"/>
  <c r="C62" i="13"/>
  <c r="C62" i="39"/>
  <c r="C62" i="12"/>
  <c r="C62" i="33"/>
  <c r="C68" i="9"/>
  <c r="P131" i="19"/>
  <c r="R131" i="19" s="1"/>
  <c r="E194" i="25"/>
  <c r="J195" i="49"/>
  <c r="C195" i="13"/>
  <c r="C195" i="39"/>
  <c r="C195" i="12"/>
  <c r="C195" i="33"/>
  <c r="C201" i="9"/>
  <c r="E218" i="25"/>
  <c r="J219" i="49"/>
  <c r="C219" i="39"/>
  <c r="C219" i="13"/>
  <c r="C219" i="12"/>
  <c r="E219" i="12" s="1"/>
  <c r="C219" i="33"/>
  <c r="C225" i="9"/>
  <c r="E243" i="25"/>
  <c r="J244" i="49"/>
  <c r="C244" i="39"/>
  <c r="C244" i="13"/>
  <c r="C244" i="12"/>
  <c r="C244" i="33"/>
  <c r="C250" i="9"/>
  <c r="P252" i="19"/>
  <c r="R252" i="19" s="1"/>
  <c r="E259" i="25"/>
  <c r="J260" i="49"/>
  <c r="C260" i="13"/>
  <c r="C260" i="39"/>
  <c r="C260" i="12"/>
  <c r="C266" i="9"/>
  <c r="C260" i="33"/>
  <c r="E277" i="25"/>
  <c r="J278" i="49"/>
  <c r="C278" i="39"/>
  <c r="C278" i="12"/>
  <c r="C278" i="13"/>
  <c r="C278" i="33"/>
  <c r="C284" i="9"/>
  <c r="E294" i="25"/>
  <c r="J295" i="49"/>
  <c r="C295" i="13"/>
  <c r="C295" i="39"/>
  <c r="C295" i="12"/>
  <c r="C295" i="33"/>
  <c r="C301" i="9"/>
  <c r="P304" i="19"/>
  <c r="R304" i="19" s="1"/>
  <c r="AK304" i="42" s="1"/>
  <c r="E155" i="12"/>
  <c r="E92" i="12"/>
  <c r="E232" i="12"/>
  <c r="E283" i="12"/>
  <c r="E287" i="12"/>
  <c r="E43" i="12"/>
  <c r="E247" i="12"/>
  <c r="E184" i="12"/>
  <c r="E217" i="12"/>
  <c r="E162" i="12"/>
  <c r="E146" i="12"/>
  <c r="E85" i="12"/>
  <c r="E170" i="12"/>
  <c r="E130" i="12"/>
  <c r="E161" i="12"/>
  <c r="E39" i="12"/>
  <c r="E185" i="12"/>
  <c r="E195" i="12"/>
  <c r="E257" i="12"/>
  <c r="E292" i="12"/>
  <c r="E276" i="12"/>
  <c r="C113" i="11"/>
  <c r="C119" i="34"/>
  <c r="E113" i="33"/>
  <c r="D113" i="37" s="1"/>
  <c r="F285" i="49"/>
  <c r="G285" i="49" s="1"/>
  <c r="P285" i="19"/>
  <c r="R285" i="19" s="1"/>
  <c r="E99" i="25"/>
  <c r="J100" i="49"/>
  <c r="C100" i="13"/>
  <c r="C100" i="39"/>
  <c r="C100" i="12"/>
  <c r="E100" i="12" s="1"/>
  <c r="C100" i="33"/>
  <c r="C106" i="9"/>
  <c r="E143" i="25"/>
  <c r="J144" i="49"/>
  <c r="C144" i="13"/>
  <c r="C144" i="12"/>
  <c r="C144" i="39"/>
  <c r="C150" i="9"/>
  <c r="C144" i="33"/>
  <c r="E205" i="25"/>
  <c r="J206" i="49"/>
  <c r="C206" i="13"/>
  <c r="C206" i="39"/>
  <c r="C206" i="12"/>
  <c r="E206" i="12" s="1"/>
  <c r="C206" i="33"/>
  <c r="C212" i="9"/>
  <c r="E238" i="25"/>
  <c r="J239" i="49"/>
  <c r="C239" i="13"/>
  <c r="C239" i="39"/>
  <c r="C239" i="12"/>
  <c r="E239" i="12" s="1"/>
  <c r="C245" i="9"/>
  <c r="C239" i="33"/>
  <c r="E254" i="25"/>
  <c r="J255" i="49"/>
  <c r="C255" i="39"/>
  <c r="C255" i="13"/>
  <c r="C255" i="12"/>
  <c r="E255" i="12" s="1"/>
  <c r="C255" i="33"/>
  <c r="C261" i="9"/>
  <c r="E289" i="25"/>
  <c r="J290" i="49"/>
  <c r="C290" i="39"/>
  <c r="C290" i="12"/>
  <c r="E290" i="12" s="1"/>
  <c r="C290" i="13"/>
  <c r="C296" i="9"/>
  <c r="C290" i="33"/>
  <c r="J299" i="49"/>
  <c r="E298" i="25"/>
  <c r="C299" i="39"/>
  <c r="C299" i="13"/>
  <c r="C299" i="12"/>
  <c r="C299" i="33"/>
  <c r="C305" i="9"/>
  <c r="E277" i="12"/>
  <c r="E268" i="12"/>
  <c r="E274" i="12"/>
  <c r="E36" i="12"/>
  <c r="E103" i="12"/>
  <c r="P22" i="19"/>
  <c r="R22" i="19" s="1"/>
  <c r="E53" i="25"/>
  <c r="J54" i="49"/>
  <c r="C54" i="13"/>
  <c r="C54" i="39"/>
  <c r="C54" i="12"/>
  <c r="E54" i="12" s="1"/>
  <c r="C54" i="33"/>
  <c r="C60" i="9"/>
  <c r="E122" i="25"/>
  <c r="J123" i="49"/>
  <c r="C123" i="13"/>
  <c r="C123" i="39"/>
  <c r="C123" i="12"/>
  <c r="E123" i="12" s="1"/>
  <c r="C123" i="33"/>
  <c r="C129" i="9"/>
  <c r="E169" i="25"/>
  <c r="J170" i="49"/>
  <c r="C170" i="13"/>
  <c r="C170" i="39"/>
  <c r="C170" i="12"/>
  <c r="C176" i="9"/>
  <c r="C170" i="33"/>
  <c r="P187" i="19"/>
  <c r="R187" i="19" s="1"/>
  <c r="AK187" i="42" s="1"/>
  <c r="E210" i="25"/>
  <c r="J211" i="49"/>
  <c r="C211" i="39"/>
  <c r="C211" i="13"/>
  <c r="C211" i="12"/>
  <c r="C211" i="33"/>
  <c r="C217" i="9"/>
  <c r="E235" i="25"/>
  <c r="J236" i="49"/>
  <c r="C236" i="13"/>
  <c r="C236" i="39"/>
  <c r="C236" i="12"/>
  <c r="C242" i="9"/>
  <c r="C236" i="33"/>
  <c r="E286" i="25"/>
  <c r="J287" i="49"/>
  <c r="C287" i="39"/>
  <c r="C287" i="13"/>
  <c r="C287" i="12"/>
  <c r="C293" i="9"/>
  <c r="C287" i="33"/>
  <c r="E22" i="25"/>
  <c r="J23" i="49"/>
  <c r="C23" i="13"/>
  <c r="C23" i="39"/>
  <c r="C23" i="12"/>
  <c r="E23" i="12" s="1"/>
  <c r="C23" i="33"/>
  <c r="C29" i="9"/>
  <c r="E31" i="25"/>
  <c r="J32" i="49"/>
  <c r="C32" i="13"/>
  <c r="C32" i="12"/>
  <c r="E32" i="12" s="1"/>
  <c r="C32" i="39"/>
  <c r="C32" i="33"/>
  <c r="C38" i="9"/>
  <c r="E46" i="25"/>
  <c r="J47" i="49"/>
  <c r="C47" i="13"/>
  <c r="C47" i="39"/>
  <c r="C47" i="12"/>
  <c r="E47" i="12" s="1"/>
  <c r="C47" i="33"/>
  <c r="C53" i="9"/>
  <c r="E62" i="25"/>
  <c r="J63" i="49"/>
  <c r="C63" i="13"/>
  <c r="C63" i="39"/>
  <c r="C63" i="12"/>
  <c r="C63" i="33"/>
  <c r="C69" i="9"/>
  <c r="E79" i="25"/>
  <c r="J80" i="49"/>
  <c r="C80" i="13"/>
  <c r="C80" i="12"/>
  <c r="C80" i="39"/>
  <c r="C86" i="9"/>
  <c r="C80" i="33"/>
  <c r="E97" i="25"/>
  <c r="J98" i="49"/>
  <c r="C98" i="13"/>
  <c r="C98" i="39"/>
  <c r="C98" i="12"/>
  <c r="C104" i="9"/>
  <c r="C98" i="33"/>
  <c r="E114" i="25"/>
  <c r="J115" i="49"/>
  <c r="C115" i="13"/>
  <c r="C115" i="39"/>
  <c r="C115" i="12"/>
  <c r="E115" i="12" s="1"/>
  <c r="C115" i="33"/>
  <c r="C121" i="9"/>
  <c r="E131" i="25"/>
  <c r="J132" i="49"/>
  <c r="C132" i="13"/>
  <c r="C132" i="39"/>
  <c r="C132" i="12"/>
  <c r="E132" i="12" s="1"/>
  <c r="C138" i="9"/>
  <c r="C132" i="33"/>
  <c r="E149" i="25"/>
  <c r="J150" i="49"/>
  <c r="C150" i="39"/>
  <c r="C150" i="12"/>
  <c r="E150" i="12" s="1"/>
  <c r="C150" i="13"/>
  <c r="C156" i="9"/>
  <c r="C150" i="33"/>
  <c r="P166" i="19"/>
  <c r="R166" i="19" s="1"/>
  <c r="E236" i="25"/>
  <c r="J237" i="49"/>
  <c r="C237" i="13"/>
  <c r="C237" i="39"/>
  <c r="C237" i="12"/>
  <c r="E237" i="12" s="1"/>
  <c r="C237" i="33"/>
  <c r="C243" i="9"/>
  <c r="E252" i="25"/>
  <c r="J253" i="49"/>
  <c r="C253" i="13"/>
  <c r="C253" i="39"/>
  <c r="C253" i="12"/>
  <c r="E253" i="12" s="1"/>
  <c r="C259" i="9"/>
  <c r="C253" i="33"/>
  <c r="J270" i="49"/>
  <c r="E269" i="25"/>
  <c r="C270" i="39"/>
  <c r="C270" i="13"/>
  <c r="C270" i="12"/>
  <c r="E270" i="12" s="1"/>
  <c r="C270" i="33"/>
  <c r="C276" i="9"/>
  <c r="E287" i="25"/>
  <c r="J288" i="49"/>
  <c r="C288" i="13"/>
  <c r="C288" i="39"/>
  <c r="C288" i="12"/>
  <c r="C294" i="9"/>
  <c r="C288" i="33"/>
  <c r="E86" i="12"/>
  <c r="E119" i="12"/>
  <c r="E156" i="12"/>
  <c r="E90" i="12"/>
  <c r="E102" i="12"/>
  <c r="E192" i="12"/>
  <c r="E34" i="12"/>
  <c r="E58" i="12"/>
  <c r="E145" i="12"/>
  <c r="E236" i="12"/>
  <c r="E233" i="12"/>
  <c r="E213" i="12"/>
  <c r="E228" i="12"/>
  <c r="E177" i="12"/>
  <c r="E186" i="12"/>
  <c r="E63" i="12"/>
  <c r="E223" i="12"/>
  <c r="E26" i="12"/>
  <c r="E249" i="12"/>
  <c r="E144" i="12"/>
  <c r="E9" i="12"/>
  <c r="E291" i="12"/>
  <c r="C21" i="11"/>
  <c r="C27" i="34"/>
  <c r="E21" i="33"/>
  <c r="D21" i="37" s="1"/>
  <c r="E81" i="25"/>
  <c r="J82" i="49"/>
  <c r="C82" i="13"/>
  <c r="C82" i="39"/>
  <c r="C82" i="12"/>
  <c r="E82" i="12" s="1"/>
  <c r="C88" i="9"/>
  <c r="C82" i="33"/>
  <c r="E151" i="25"/>
  <c r="J152" i="49"/>
  <c r="C152" i="13"/>
  <c r="C152" i="12"/>
  <c r="E152" i="12" s="1"/>
  <c r="C152" i="39"/>
  <c r="C152" i="33"/>
  <c r="C158" i="9"/>
  <c r="E230" i="25"/>
  <c r="J231" i="49"/>
  <c r="C231" i="13"/>
  <c r="C231" i="39"/>
  <c r="C231" i="12"/>
  <c r="C231" i="33"/>
  <c r="C237" i="9"/>
  <c r="E8" i="12"/>
  <c r="E77" i="12"/>
  <c r="E74" i="12"/>
  <c r="E12" i="25"/>
  <c r="J13" i="49"/>
  <c r="C13" i="13"/>
  <c r="C13" i="39"/>
  <c r="C13" i="12"/>
  <c r="E13" i="12" s="1"/>
  <c r="C13" i="33"/>
  <c r="C19" i="9"/>
  <c r="E29" i="25"/>
  <c r="J30" i="49"/>
  <c r="C30" i="13"/>
  <c r="C30" i="39"/>
  <c r="C30" i="12"/>
  <c r="E30" i="12" s="1"/>
  <c r="C30" i="33"/>
  <c r="C36" i="9"/>
  <c r="E45" i="25"/>
  <c r="J46" i="49"/>
  <c r="C46" i="13"/>
  <c r="C46" i="39"/>
  <c r="C46" i="12"/>
  <c r="E46" i="12" s="1"/>
  <c r="C46" i="33"/>
  <c r="C52" i="9"/>
  <c r="J70" i="49"/>
  <c r="E69" i="25"/>
  <c r="C70" i="13"/>
  <c r="C70" i="39"/>
  <c r="C70" i="12"/>
  <c r="E70" i="12" s="1"/>
  <c r="C70" i="33"/>
  <c r="C76" i="9"/>
  <c r="P79" i="19"/>
  <c r="R79" i="19" s="1"/>
  <c r="AE79" i="42" s="1"/>
  <c r="P87" i="19"/>
  <c r="R87" i="19" s="1"/>
  <c r="E113" i="25"/>
  <c r="J114" i="49"/>
  <c r="C114" i="13"/>
  <c r="C114" i="39"/>
  <c r="C114" i="12"/>
  <c r="E114" i="12" s="1"/>
  <c r="C114" i="33"/>
  <c r="C120" i="9"/>
  <c r="E139" i="25"/>
  <c r="J140" i="49"/>
  <c r="C140" i="13"/>
  <c r="C140" i="39"/>
  <c r="C140" i="12"/>
  <c r="C140" i="33"/>
  <c r="C146" i="9"/>
  <c r="E178" i="25"/>
  <c r="J179" i="49"/>
  <c r="C179" i="13"/>
  <c r="C179" i="39"/>
  <c r="C179" i="12"/>
  <c r="E179" i="12" s="1"/>
  <c r="C179" i="33"/>
  <c r="C185" i="9"/>
  <c r="E202" i="25"/>
  <c r="J203" i="49"/>
  <c r="C203" i="13"/>
  <c r="C203" i="39"/>
  <c r="C203" i="12"/>
  <c r="E203" i="12" s="1"/>
  <c r="C203" i="33"/>
  <c r="C209" i="9"/>
  <c r="E226" i="25"/>
  <c r="J227" i="49"/>
  <c r="C227" i="39"/>
  <c r="C227" i="13"/>
  <c r="C227" i="12"/>
  <c r="E227" i="12" s="1"/>
  <c r="C227" i="33"/>
  <c r="C233" i="9"/>
  <c r="E268" i="25"/>
  <c r="J269" i="49"/>
  <c r="C269" i="39"/>
  <c r="C269" i="13"/>
  <c r="C269" i="12"/>
  <c r="E269" i="12" s="1"/>
  <c r="C275" i="9"/>
  <c r="C269" i="33"/>
  <c r="E13" i="25"/>
  <c r="J14" i="49"/>
  <c r="C14" i="13"/>
  <c r="C14" i="39"/>
  <c r="C14" i="12"/>
  <c r="E14" i="12" s="1"/>
  <c r="C14" i="33"/>
  <c r="C20" i="9"/>
  <c r="E54" i="25"/>
  <c r="J55" i="49"/>
  <c r="C55" i="13"/>
  <c r="C55" i="39"/>
  <c r="C55" i="12"/>
  <c r="C55" i="33"/>
  <c r="C61" i="9"/>
  <c r="E70" i="25"/>
  <c r="J71" i="49"/>
  <c r="C71" i="13"/>
  <c r="C71" i="39"/>
  <c r="C71" i="12"/>
  <c r="E71" i="12" s="1"/>
  <c r="C77" i="9"/>
  <c r="C71" i="33"/>
  <c r="E87" i="25"/>
  <c r="J88" i="49"/>
  <c r="C88" i="13"/>
  <c r="C88" i="12"/>
  <c r="E88" i="12" s="1"/>
  <c r="C94" i="9"/>
  <c r="C88" i="39"/>
  <c r="C88" i="33"/>
  <c r="E105" i="25"/>
  <c r="J106" i="49"/>
  <c r="C106" i="13"/>
  <c r="C106" i="39"/>
  <c r="C106" i="12"/>
  <c r="C106" i="33"/>
  <c r="C112" i="9"/>
  <c r="E123" i="25"/>
  <c r="J124" i="49"/>
  <c r="C124" i="13"/>
  <c r="C124" i="39"/>
  <c r="C124" i="12"/>
  <c r="E124" i="12" s="1"/>
  <c r="C130" i="9"/>
  <c r="C124" i="33"/>
  <c r="E140" i="25"/>
  <c r="J141" i="49"/>
  <c r="C141" i="13"/>
  <c r="C141" i="39"/>
  <c r="C141" i="12"/>
  <c r="C147" i="9"/>
  <c r="C141" i="33"/>
  <c r="E157" i="25"/>
  <c r="J158" i="49"/>
  <c r="C158" i="13"/>
  <c r="C158" i="39"/>
  <c r="C158" i="12"/>
  <c r="E158" i="12" s="1"/>
  <c r="C158" i="33"/>
  <c r="C164" i="9"/>
  <c r="E170" i="25"/>
  <c r="J171" i="49"/>
  <c r="C171" i="13"/>
  <c r="C171" i="39"/>
  <c r="C171" i="12"/>
  <c r="E171" i="12" s="1"/>
  <c r="C171" i="33"/>
  <c r="C177" i="9"/>
  <c r="E228" i="25"/>
  <c r="J229" i="49"/>
  <c r="C229" i="13"/>
  <c r="C229" i="39"/>
  <c r="C229" i="12"/>
  <c r="E229" i="12" s="1"/>
  <c r="C235" i="9"/>
  <c r="C229" i="33"/>
  <c r="P245" i="19"/>
  <c r="R245" i="19" s="1"/>
  <c r="E261" i="25"/>
  <c r="J262" i="49"/>
  <c r="C262" i="13"/>
  <c r="C262" i="39"/>
  <c r="C262" i="12"/>
  <c r="C262" i="33"/>
  <c r="C268" i="9"/>
  <c r="AK262" i="42"/>
  <c r="P279" i="19"/>
  <c r="R279" i="19" s="1"/>
  <c r="E14" i="25"/>
  <c r="J15" i="49"/>
  <c r="C15" i="13"/>
  <c r="C15" i="39"/>
  <c r="C15" i="12"/>
  <c r="E15" i="12" s="1"/>
  <c r="C15" i="33"/>
  <c r="C21" i="9"/>
  <c r="J24" i="49"/>
  <c r="E23" i="25"/>
  <c r="C24" i="13"/>
  <c r="C24" i="12"/>
  <c r="E24" i="12" s="1"/>
  <c r="C24" i="33"/>
  <c r="C24" i="39"/>
  <c r="C30" i="9"/>
  <c r="E11" i="25"/>
  <c r="J12" i="49"/>
  <c r="C12" i="39"/>
  <c r="C12" i="13"/>
  <c r="C12" i="12"/>
  <c r="E12" i="12" s="1"/>
  <c r="C12" i="33"/>
  <c r="C18" i="9"/>
  <c r="E47" i="25"/>
  <c r="J48" i="49"/>
  <c r="C48" i="13"/>
  <c r="C48" i="12"/>
  <c r="C48" i="39"/>
  <c r="C48" i="33"/>
  <c r="C54" i="9"/>
  <c r="E55" i="25"/>
  <c r="J56" i="49"/>
  <c r="C56" i="13"/>
  <c r="C56" i="12"/>
  <c r="C56" i="39"/>
  <c r="C56" i="33"/>
  <c r="C62" i="9"/>
  <c r="E63" i="25"/>
  <c r="J64" i="49"/>
  <c r="C64" i="13"/>
  <c r="C64" i="12"/>
  <c r="E64" i="12" s="1"/>
  <c r="C64" i="39"/>
  <c r="C64" i="33"/>
  <c r="C70" i="9"/>
  <c r="E98" i="25"/>
  <c r="J99" i="49"/>
  <c r="C99" i="13"/>
  <c r="C99" i="39"/>
  <c r="C99" i="12"/>
  <c r="E99" i="12" s="1"/>
  <c r="C99" i="33"/>
  <c r="C105" i="9"/>
  <c r="E106" i="25"/>
  <c r="J107" i="49"/>
  <c r="C107" i="13"/>
  <c r="C107" i="39"/>
  <c r="C107" i="12"/>
  <c r="E107" i="12" s="1"/>
  <c r="C107" i="33"/>
  <c r="C113" i="9"/>
  <c r="E115" i="25"/>
  <c r="J116" i="49"/>
  <c r="C116" i="13"/>
  <c r="C116" i="39"/>
  <c r="C116" i="12"/>
  <c r="E116" i="12" s="1"/>
  <c r="C122" i="9"/>
  <c r="C116" i="33"/>
  <c r="E124" i="25"/>
  <c r="J125" i="49"/>
  <c r="C125" i="13"/>
  <c r="C125" i="39"/>
  <c r="C125" i="12"/>
  <c r="E125" i="12" s="1"/>
  <c r="C125" i="33"/>
  <c r="C131" i="9"/>
  <c r="E132" i="25"/>
  <c r="J133" i="49"/>
  <c r="C133" i="13"/>
  <c r="C133" i="39"/>
  <c r="C133" i="12"/>
  <c r="E133" i="12" s="1"/>
  <c r="C139" i="9"/>
  <c r="C133" i="33"/>
  <c r="E150" i="25"/>
  <c r="J151" i="49"/>
  <c r="C151" i="13"/>
  <c r="C151" i="39"/>
  <c r="C151" i="12"/>
  <c r="E151" i="12" s="1"/>
  <c r="C151" i="33"/>
  <c r="C157" i="9"/>
  <c r="P159" i="19"/>
  <c r="R159" i="19" s="1"/>
  <c r="E166" i="25"/>
  <c r="J167" i="49"/>
  <c r="C167" i="13"/>
  <c r="C167" i="39"/>
  <c r="C167" i="12"/>
  <c r="E167" i="12" s="1"/>
  <c r="C173" i="9"/>
  <c r="C167" i="33"/>
  <c r="P172" i="19"/>
  <c r="R172" i="19" s="1"/>
  <c r="P181" i="19"/>
  <c r="R181" i="19" s="1"/>
  <c r="AK181" i="42" s="1"/>
  <c r="E188" i="25"/>
  <c r="J189" i="49"/>
  <c r="C189" i="13"/>
  <c r="C189" i="39"/>
  <c r="C189" i="12"/>
  <c r="E189" i="12" s="1"/>
  <c r="C195" i="9"/>
  <c r="C189" i="33"/>
  <c r="E196" i="25"/>
  <c r="J197" i="49"/>
  <c r="C197" i="13"/>
  <c r="C197" i="39"/>
  <c r="C197" i="12"/>
  <c r="E197" i="12" s="1"/>
  <c r="C197" i="33"/>
  <c r="C203" i="9"/>
  <c r="E204" i="25"/>
  <c r="J205" i="49"/>
  <c r="C205" i="13"/>
  <c r="C205" i="39"/>
  <c r="C205" i="12"/>
  <c r="E205" i="12" s="1"/>
  <c r="C211" i="9"/>
  <c r="C205" i="33"/>
  <c r="E212" i="25"/>
  <c r="J213" i="49"/>
  <c r="C213" i="13"/>
  <c r="C213" i="39"/>
  <c r="C213" i="12"/>
  <c r="C219" i="9"/>
  <c r="C213" i="33"/>
  <c r="E220" i="25"/>
  <c r="J221" i="49"/>
  <c r="C221" i="39"/>
  <c r="C221" i="12"/>
  <c r="E221" i="12" s="1"/>
  <c r="C221" i="13"/>
  <c r="C227" i="9"/>
  <c r="C221" i="33"/>
  <c r="E229" i="25"/>
  <c r="J230" i="49"/>
  <c r="C230" i="39"/>
  <c r="C230" i="13"/>
  <c r="C230" i="12"/>
  <c r="E230" i="12" s="1"/>
  <c r="C236" i="9"/>
  <c r="C230" i="33"/>
  <c r="P238" i="19"/>
  <c r="R238" i="19" s="1"/>
  <c r="E245" i="25"/>
  <c r="J246" i="49"/>
  <c r="C246" i="13"/>
  <c r="C246" i="39"/>
  <c r="C246" i="12"/>
  <c r="E246" i="12" s="1"/>
  <c r="C246" i="33"/>
  <c r="C252" i="9"/>
  <c r="E253" i="25"/>
  <c r="J254" i="49"/>
  <c r="C254" i="13"/>
  <c r="C254" i="39"/>
  <c r="C254" i="12"/>
  <c r="E254" i="12" s="1"/>
  <c r="C254" i="33"/>
  <c r="C260" i="9"/>
  <c r="E262" i="25"/>
  <c r="J263" i="49"/>
  <c r="C263" i="13"/>
  <c r="C263" i="39"/>
  <c r="C263" i="12"/>
  <c r="E263" i="12" s="1"/>
  <c r="C269" i="9"/>
  <c r="C263" i="33"/>
  <c r="P272" i="19"/>
  <c r="R272" i="19" s="1"/>
  <c r="E279" i="25"/>
  <c r="J280" i="49"/>
  <c r="C280" i="13"/>
  <c r="C280" i="12"/>
  <c r="E280" i="12" s="1"/>
  <c r="C280" i="39"/>
  <c r="C286" i="9"/>
  <c r="C280" i="33"/>
  <c r="E297" i="25"/>
  <c r="J298" i="49"/>
  <c r="C298" i="13"/>
  <c r="C298" i="39"/>
  <c r="C298" i="12"/>
  <c r="E298" i="12" s="1"/>
  <c r="C298" i="33"/>
  <c r="C304" i="9"/>
  <c r="E264" i="12"/>
  <c r="E278" i="12"/>
  <c r="E226" i="12"/>
  <c r="E260" i="12"/>
  <c r="E147" i="12"/>
  <c r="E209" i="12"/>
  <c r="E140" i="12"/>
  <c r="E62" i="12"/>
  <c r="E190" i="12"/>
  <c r="E231" i="12"/>
  <c r="E80" i="12"/>
  <c r="E106" i="12"/>
  <c r="E138" i="12"/>
  <c r="E35" i="12"/>
  <c r="E256" i="12"/>
  <c r="E295" i="12"/>
  <c r="E76" i="12"/>
  <c r="E299" i="12"/>
  <c r="E191" i="12"/>
  <c r="E218" i="12"/>
  <c r="E56" i="12"/>
  <c r="P271" i="19"/>
  <c r="R271" i="19" s="1"/>
  <c r="F271" i="49"/>
  <c r="G271" i="49" s="1"/>
  <c r="K9" i="36"/>
  <c r="E12" i="34" s="1"/>
  <c r="D28" i="57"/>
  <c r="D20" i="57"/>
  <c r="F28" i="48"/>
  <c r="P25" i="19"/>
  <c r="R25" i="19" s="1"/>
  <c r="AK99" i="42"/>
  <c r="AM99" i="42"/>
  <c r="AE99" i="42"/>
  <c r="AC99" i="42"/>
  <c r="AK264" i="42"/>
  <c r="AC264" i="42"/>
  <c r="AM264" i="42"/>
  <c r="AE264" i="42"/>
  <c r="R7" i="19"/>
  <c r="AK13" i="42"/>
  <c r="AC13" i="42"/>
  <c r="AE13" i="42"/>
  <c r="AM13" i="42"/>
  <c r="AK20" i="42"/>
  <c r="AC20" i="42"/>
  <c r="AE20" i="42"/>
  <c r="AM20" i="42"/>
  <c r="AK34" i="42"/>
  <c r="AC34" i="42"/>
  <c r="AE34" i="42"/>
  <c r="AM34" i="42"/>
  <c r="P49" i="19"/>
  <c r="R49" i="19" s="1"/>
  <c r="AK56" i="42"/>
  <c r="AC56" i="42"/>
  <c r="AM56" i="42"/>
  <c r="AE56" i="42"/>
  <c r="AK61" i="42"/>
  <c r="AE61" i="42"/>
  <c r="AC61" i="42"/>
  <c r="AM61" i="42"/>
  <c r="AC64" i="42"/>
  <c r="AE64" i="42"/>
  <c r="AK64" i="42"/>
  <c r="AM64" i="42"/>
  <c r="AC68" i="42"/>
  <c r="AK68" i="42"/>
  <c r="AM68" i="42"/>
  <c r="AE68" i="42"/>
  <c r="AK71" i="42"/>
  <c r="AM71" i="42"/>
  <c r="AE71" i="42"/>
  <c r="AC71" i="42"/>
  <c r="AC80" i="42"/>
  <c r="AM80" i="42"/>
  <c r="AK80" i="42"/>
  <c r="AE80" i="42"/>
  <c r="AK98" i="42"/>
  <c r="AE98" i="42"/>
  <c r="AM98" i="42"/>
  <c r="AC98" i="42"/>
  <c r="AK106" i="42"/>
  <c r="AC106" i="42"/>
  <c r="AM106" i="42"/>
  <c r="AE106" i="42"/>
  <c r="AK114" i="42"/>
  <c r="AE114" i="42"/>
  <c r="AM114" i="42"/>
  <c r="AC114" i="42"/>
  <c r="AK117" i="42"/>
  <c r="AC117" i="42"/>
  <c r="AM117" i="42"/>
  <c r="AE117" i="42"/>
  <c r="AK130" i="42"/>
  <c r="AE130" i="42"/>
  <c r="AM130" i="42"/>
  <c r="AC130" i="42"/>
  <c r="AK133" i="42"/>
  <c r="AC133" i="42"/>
  <c r="AE133" i="42"/>
  <c r="AM133" i="42"/>
  <c r="AK138" i="42"/>
  <c r="AC138" i="42"/>
  <c r="AE138" i="42"/>
  <c r="AM138" i="42"/>
  <c r="AK150" i="42"/>
  <c r="AC150" i="42"/>
  <c r="AM150" i="42"/>
  <c r="AE150" i="42"/>
  <c r="P165" i="19"/>
  <c r="R165" i="19" s="1"/>
  <c r="P180" i="19"/>
  <c r="R180" i="19" s="1"/>
  <c r="AE187" i="42"/>
  <c r="AK192" i="42"/>
  <c r="AC192" i="42"/>
  <c r="AM192" i="42"/>
  <c r="AE192" i="42"/>
  <c r="AC195" i="42"/>
  <c r="AE195" i="42"/>
  <c r="AK195" i="42"/>
  <c r="AM195" i="42"/>
  <c r="AM202" i="42"/>
  <c r="AK202" i="42"/>
  <c r="AC202" i="42"/>
  <c r="AE202" i="42"/>
  <c r="AM207" i="42"/>
  <c r="AE207" i="42"/>
  <c r="AK207" i="42"/>
  <c r="AC207" i="42"/>
  <c r="AC210" i="42"/>
  <c r="AM210" i="42"/>
  <c r="AE210" i="42"/>
  <c r="AK210" i="42"/>
  <c r="AK214" i="42"/>
  <c r="AC214" i="42"/>
  <c r="AE214" i="42"/>
  <c r="AM214" i="42"/>
  <c r="AM217" i="42"/>
  <c r="AK217" i="42"/>
  <c r="AC217" i="42"/>
  <c r="AE217" i="42"/>
  <c r="AK222" i="42"/>
  <c r="AE222" i="42"/>
  <c r="AC222" i="42"/>
  <c r="AM222" i="42"/>
  <c r="AC230" i="42"/>
  <c r="AK230" i="42"/>
  <c r="AE230" i="42"/>
  <c r="AM230" i="42"/>
  <c r="AM237" i="42"/>
  <c r="AK237" i="42"/>
  <c r="AC237" i="42"/>
  <c r="AE237" i="42"/>
  <c r="AK240" i="42"/>
  <c r="AC240" i="42"/>
  <c r="AE240" i="42"/>
  <c r="AM245" i="42"/>
  <c r="AC245" i="42"/>
  <c r="AE245" i="42"/>
  <c r="AK245" i="42"/>
  <c r="AC252" i="42"/>
  <c r="AE252" i="42"/>
  <c r="AK252" i="42"/>
  <c r="AM252" i="42"/>
  <c r="AM268" i="42"/>
  <c r="AK268" i="42"/>
  <c r="AC268" i="42"/>
  <c r="AE268" i="42"/>
  <c r="AC272" i="42"/>
  <c r="AE272" i="42"/>
  <c r="AK272" i="42"/>
  <c r="AM272" i="42"/>
  <c r="AK284" i="42"/>
  <c r="AC284" i="42"/>
  <c r="AE284" i="42"/>
  <c r="AM284" i="42"/>
  <c r="AK288" i="42"/>
  <c r="AM288" i="42"/>
  <c r="AE288" i="42"/>
  <c r="AC288" i="42"/>
  <c r="P297" i="19"/>
  <c r="R297" i="19" s="1"/>
  <c r="C301" i="13"/>
  <c r="AM301" i="42"/>
  <c r="AK301" i="42"/>
  <c r="AC301" i="42"/>
  <c r="AE301" i="42"/>
  <c r="AE69" i="42"/>
  <c r="AM69" i="42"/>
  <c r="AK69" i="42"/>
  <c r="AC69" i="42"/>
  <c r="AK146" i="42"/>
  <c r="AC146" i="42"/>
  <c r="AE146" i="42"/>
  <c r="AM146" i="42"/>
  <c r="AE181" i="42"/>
  <c r="AM181" i="42"/>
  <c r="AC181" i="42"/>
  <c r="I309" i="36"/>
  <c r="AK110" i="42"/>
  <c r="AC110" i="42"/>
  <c r="AE110" i="42"/>
  <c r="AM110" i="42"/>
  <c r="AE95" i="42"/>
  <c r="AM95" i="42"/>
  <c r="AK95" i="42"/>
  <c r="AC95" i="42"/>
  <c r="AK215" i="42"/>
  <c r="AE215" i="42"/>
  <c r="AM215" i="42"/>
  <c r="AC215" i="42"/>
  <c r="AC256" i="42"/>
  <c r="AE256" i="42"/>
  <c r="AM256" i="42"/>
  <c r="AK256" i="42"/>
  <c r="AM277" i="42"/>
  <c r="AE277" i="42"/>
  <c r="AK277" i="42"/>
  <c r="AC277" i="42"/>
  <c r="P289" i="19"/>
  <c r="R289" i="19" s="1"/>
  <c r="AK43" i="42"/>
  <c r="AE43" i="42"/>
  <c r="AC43" i="42"/>
  <c r="AM43" i="42"/>
  <c r="P81" i="19"/>
  <c r="R81" i="19" s="1"/>
  <c r="AK88" i="42"/>
  <c r="AC88" i="42"/>
  <c r="AE88" i="42"/>
  <c r="AM88" i="42"/>
  <c r="AK103" i="42"/>
  <c r="AC103" i="42"/>
  <c r="AE103" i="42"/>
  <c r="AM103" i="42"/>
  <c r="AK115" i="42"/>
  <c r="AC115" i="42"/>
  <c r="AE115" i="42"/>
  <c r="AM115" i="42"/>
  <c r="AK131" i="42"/>
  <c r="AM131" i="42"/>
  <c r="AE131" i="42"/>
  <c r="AC131" i="42"/>
  <c r="AE144" i="42"/>
  <c r="AM144" i="42"/>
  <c r="AK144" i="42"/>
  <c r="AC144" i="42"/>
  <c r="AK147" i="42"/>
  <c r="AC147" i="42"/>
  <c r="AE147" i="42"/>
  <c r="AM147" i="42"/>
  <c r="AK151" i="42"/>
  <c r="AE151" i="42"/>
  <c r="AM151" i="42"/>
  <c r="AC151" i="42"/>
  <c r="AM154" i="42"/>
  <c r="AE154" i="42"/>
  <c r="AK154" i="42"/>
  <c r="AC154" i="42"/>
  <c r="AK166" i="42"/>
  <c r="AC166" i="42"/>
  <c r="AE166" i="42"/>
  <c r="AM166" i="42"/>
  <c r="AK177" i="42"/>
  <c r="AC177" i="42"/>
  <c r="AE177" i="42"/>
  <c r="AM177" i="42"/>
  <c r="AK189" i="42"/>
  <c r="AE189" i="42"/>
  <c r="AM189" i="42"/>
  <c r="AC189" i="42"/>
  <c r="P196" i="19"/>
  <c r="R196" i="19" s="1"/>
  <c r="AK211" i="42"/>
  <c r="AM211" i="42"/>
  <c r="AE211" i="42"/>
  <c r="AC211" i="42"/>
  <c r="AK218" i="42"/>
  <c r="AC218" i="42"/>
  <c r="AE218" i="42"/>
  <c r="AM218" i="42"/>
  <c r="AE223" i="42"/>
  <c r="AM223" i="42"/>
  <c r="AK223" i="42"/>
  <c r="AC223" i="42"/>
  <c r="AK226" i="42"/>
  <c r="AC226" i="42"/>
  <c r="AE226" i="42"/>
  <c r="AM226" i="42"/>
  <c r="AM246" i="42"/>
  <c r="AK246" i="42"/>
  <c r="AC246" i="42"/>
  <c r="AK249" i="42"/>
  <c r="AC249" i="42"/>
  <c r="AM249" i="42"/>
  <c r="AE249" i="42"/>
  <c r="AM269" i="42"/>
  <c r="AE269" i="42"/>
  <c r="AK269" i="42"/>
  <c r="AC269" i="42"/>
  <c r="P281" i="19"/>
  <c r="R281" i="19" s="1"/>
  <c r="AC298" i="42"/>
  <c r="AE298" i="42"/>
  <c r="AM298" i="42"/>
  <c r="AK298" i="42"/>
  <c r="AE246" i="42"/>
  <c r="AK8" i="42"/>
  <c r="AC8" i="42"/>
  <c r="AM8" i="42"/>
  <c r="AE8" i="42"/>
  <c r="AK38" i="42"/>
  <c r="AC38" i="42"/>
  <c r="AM38" i="42"/>
  <c r="AE38" i="42"/>
  <c r="P57" i="19"/>
  <c r="R57" i="19" s="1"/>
  <c r="P142" i="19"/>
  <c r="R142" i="19" s="1"/>
  <c r="P188" i="19"/>
  <c r="R188" i="19" s="1"/>
  <c r="AK233" i="42"/>
  <c r="AC233" i="42"/>
  <c r="AE233" i="42"/>
  <c r="AM233" i="42"/>
  <c r="AK17" i="42"/>
  <c r="AC17" i="42"/>
  <c r="AM17" i="42"/>
  <c r="AE17" i="42"/>
  <c r="AK46" i="42"/>
  <c r="AC46" i="42"/>
  <c r="AM46" i="42"/>
  <c r="AE46" i="42"/>
  <c r="AK50" i="42"/>
  <c r="AE50" i="42"/>
  <c r="AM50" i="42"/>
  <c r="AC50" i="42"/>
  <c r="P65" i="19"/>
  <c r="R65" i="19" s="1"/>
  <c r="AK85" i="42"/>
  <c r="AE85" i="42"/>
  <c r="AM85" i="42"/>
  <c r="AC85" i="42"/>
  <c r="AK100" i="42"/>
  <c r="AM100" i="42"/>
  <c r="AC100" i="42"/>
  <c r="AE100" i="42"/>
  <c r="AM107" i="42"/>
  <c r="AK107" i="42"/>
  <c r="AE107" i="42"/>
  <c r="AC107" i="42"/>
  <c r="AK9" i="42"/>
  <c r="AC9" i="42"/>
  <c r="AE9" i="42"/>
  <c r="AM9" i="42"/>
  <c r="AK14" i="42"/>
  <c r="AC14" i="42"/>
  <c r="AM14" i="42"/>
  <c r="AE14" i="42"/>
  <c r="AK26" i="42"/>
  <c r="AC26" i="42"/>
  <c r="AE26" i="42"/>
  <c r="AM26" i="42"/>
  <c r="AK36" i="42"/>
  <c r="AE36" i="42"/>
  <c r="AC36" i="42"/>
  <c r="AM36" i="42"/>
  <c r="AK51" i="42"/>
  <c r="AM51" i="42"/>
  <c r="AC51" i="42"/>
  <c r="AE51" i="42"/>
  <c r="AK54" i="42"/>
  <c r="AE54" i="42"/>
  <c r="AM54" i="42"/>
  <c r="AC54" i="42"/>
  <c r="AK58" i="42"/>
  <c r="AE58" i="42"/>
  <c r="AM58" i="42"/>
  <c r="AC58" i="42"/>
  <c r="AM74" i="42"/>
  <c r="AE74" i="42"/>
  <c r="AK74" i="42"/>
  <c r="AC74" i="42"/>
  <c r="AK82" i="42"/>
  <c r="AC82" i="42"/>
  <c r="AM82" i="42"/>
  <c r="AE82" i="42"/>
  <c r="P89" i="19"/>
  <c r="R89" i="19" s="1"/>
  <c r="AM93" i="42"/>
  <c r="AE93" i="42"/>
  <c r="AK93" i="42"/>
  <c r="AC93" i="42"/>
  <c r="AK108" i="42"/>
  <c r="AC108" i="42"/>
  <c r="AM108" i="42"/>
  <c r="AE108" i="42"/>
  <c r="P127" i="19"/>
  <c r="R127" i="19" s="1"/>
  <c r="AK134" i="42"/>
  <c r="AM134" i="42"/>
  <c r="AC134" i="42"/>
  <c r="AE134" i="42"/>
  <c r="AK139" i="42"/>
  <c r="AC139" i="42"/>
  <c r="AE139" i="42"/>
  <c r="AM139" i="42"/>
  <c r="AK152" i="42"/>
  <c r="AC152" i="42"/>
  <c r="AM152" i="42"/>
  <c r="AE152" i="42"/>
  <c r="AK155" i="42"/>
  <c r="AE155" i="42"/>
  <c r="AC155" i="42"/>
  <c r="AM155" i="42"/>
  <c r="AK162" i="42"/>
  <c r="AC162" i="42"/>
  <c r="AM162" i="42"/>
  <c r="AE162" i="42"/>
  <c r="P296" i="19"/>
  <c r="R296" i="19" s="1"/>
  <c r="P173" i="19"/>
  <c r="R173" i="19" s="1"/>
  <c r="AM182" i="42"/>
  <c r="AE182" i="42"/>
  <c r="AK182" i="42"/>
  <c r="AC182" i="42"/>
  <c r="AK197" i="42"/>
  <c r="AC197" i="42"/>
  <c r="AM197" i="42"/>
  <c r="AE197" i="42"/>
  <c r="P204" i="19"/>
  <c r="R204" i="19" s="1"/>
  <c r="AE208" i="42"/>
  <c r="AM208" i="42"/>
  <c r="AK208" i="42"/>
  <c r="AC208" i="42"/>
  <c r="AK216" i="42"/>
  <c r="AC216" i="42"/>
  <c r="AM216" i="42"/>
  <c r="AE216" i="42"/>
  <c r="AK231" i="42"/>
  <c r="AC231" i="42"/>
  <c r="AE231" i="42"/>
  <c r="AM231" i="42"/>
  <c r="AM234" i="42"/>
  <c r="AK234" i="42"/>
  <c r="AC234" i="42"/>
  <c r="AE234" i="42"/>
  <c r="AC239" i="42"/>
  <c r="AM239" i="42"/>
  <c r="AE239" i="42"/>
  <c r="AK239" i="42"/>
  <c r="AK257" i="42"/>
  <c r="AC257" i="42"/>
  <c r="AM257" i="42"/>
  <c r="AE257" i="42"/>
  <c r="AC262" i="42"/>
  <c r="AE262" i="42"/>
  <c r="AM262" i="42"/>
  <c r="AK265" i="42"/>
  <c r="AC265" i="42"/>
  <c r="AM265" i="42"/>
  <c r="AE265" i="42"/>
  <c r="AM270" i="42"/>
  <c r="AK270" i="42"/>
  <c r="AC270" i="42"/>
  <c r="AE270" i="42"/>
  <c r="AK274" i="42"/>
  <c r="AC274" i="42"/>
  <c r="AE274" i="42"/>
  <c r="AM274" i="42"/>
  <c r="AK286" i="42"/>
  <c r="AE286" i="42"/>
  <c r="AC286" i="42"/>
  <c r="AM286" i="42"/>
  <c r="AM290" i="42"/>
  <c r="AE290" i="42"/>
  <c r="AK290" i="42"/>
  <c r="AC290" i="42"/>
  <c r="AK299" i="42"/>
  <c r="AC299" i="42"/>
  <c r="AE299" i="42"/>
  <c r="AM299" i="42"/>
  <c r="AC35" i="42"/>
  <c r="AK35" i="42"/>
  <c r="AE35" i="42"/>
  <c r="AM35" i="42"/>
  <c r="AK200" i="42"/>
  <c r="AC200" i="42"/>
  <c r="AE200" i="42"/>
  <c r="AM200" i="42"/>
  <c r="AK248" i="42"/>
  <c r="AC248" i="42"/>
  <c r="AM248" i="42"/>
  <c r="AE248" i="42"/>
  <c r="AK62" i="42"/>
  <c r="AC62" i="42"/>
  <c r="AM62" i="42"/>
  <c r="AE62" i="42"/>
  <c r="AK78" i="42"/>
  <c r="AC78" i="42"/>
  <c r="AE78" i="42"/>
  <c r="AM78" i="42"/>
  <c r="AK96" i="42"/>
  <c r="AM96" i="42"/>
  <c r="AE96" i="42"/>
  <c r="AC96" i="42"/>
  <c r="AE111" i="42"/>
  <c r="AM111" i="42"/>
  <c r="AK111" i="42"/>
  <c r="AC111" i="42"/>
  <c r="AK116" i="42"/>
  <c r="AC116" i="42"/>
  <c r="AE116" i="42"/>
  <c r="AM116" i="42"/>
  <c r="AK119" i="42"/>
  <c r="AC119" i="42"/>
  <c r="AM119" i="42"/>
  <c r="AE119" i="42"/>
  <c r="AK128" i="42"/>
  <c r="AE128" i="42"/>
  <c r="AM128" i="42"/>
  <c r="AC128" i="42"/>
  <c r="P135" i="19"/>
  <c r="R135" i="19" s="1"/>
  <c r="AC145" i="42"/>
  <c r="AM145" i="42"/>
  <c r="AE145" i="42"/>
  <c r="AK145" i="42"/>
  <c r="AK148" i="42"/>
  <c r="AM148" i="42"/>
  <c r="AC148" i="42"/>
  <c r="AE148" i="42"/>
  <c r="AK163" i="42"/>
  <c r="AM163" i="42"/>
  <c r="AC163" i="42"/>
  <c r="AE163" i="42"/>
  <c r="AK167" i="42"/>
  <c r="AC167" i="42"/>
  <c r="AE167" i="42"/>
  <c r="AM167" i="42"/>
  <c r="P302" i="19"/>
  <c r="R302" i="19" s="1"/>
  <c r="AK185" i="42"/>
  <c r="AE185" i="42"/>
  <c r="AM185" i="42"/>
  <c r="AC185" i="42"/>
  <c r="AC190" i="42"/>
  <c r="AK190" i="42"/>
  <c r="AE190" i="42"/>
  <c r="AM190" i="42"/>
  <c r="AK193" i="42"/>
  <c r="AC193" i="42"/>
  <c r="AE193" i="42"/>
  <c r="AM193" i="42"/>
  <c r="AM205" i="42"/>
  <c r="AC205" i="42"/>
  <c r="AE205" i="42"/>
  <c r="AK205" i="42"/>
  <c r="P212" i="19"/>
  <c r="R212" i="19" s="1"/>
  <c r="AK219" i="42"/>
  <c r="AE219" i="42"/>
  <c r="AM219" i="42"/>
  <c r="AC219" i="42"/>
  <c r="P235" i="19"/>
  <c r="R235" i="19" s="1"/>
  <c r="AC242" i="42"/>
  <c r="AM242" i="42"/>
  <c r="AK242" i="42"/>
  <c r="AE242" i="42"/>
  <c r="AK250" i="42"/>
  <c r="AC250" i="42"/>
  <c r="AE250" i="42"/>
  <c r="AM250" i="42"/>
  <c r="AK254" i="42"/>
  <c r="AC254" i="42"/>
  <c r="AM254" i="42"/>
  <c r="AE254" i="42"/>
  <c r="P266" i="19"/>
  <c r="R266" i="19" s="1"/>
  <c r="AC294" i="42"/>
  <c r="AE294" i="42"/>
  <c r="AK294" i="42"/>
  <c r="AM294" i="42"/>
  <c r="AE303" i="42"/>
  <c r="AM303" i="42"/>
  <c r="AC303" i="42"/>
  <c r="AK303" i="42"/>
  <c r="C12" i="34"/>
  <c r="E6" i="33"/>
  <c r="C6" i="11"/>
  <c r="P73" i="19"/>
  <c r="R73" i="19" s="1"/>
  <c r="AK92" i="42"/>
  <c r="AC92" i="42"/>
  <c r="AE92" i="42"/>
  <c r="AM92" i="42"/>
  <c r="AK118" i="42"/>
  <c r="AE118" i="42"/>
  <c r="AM118" i="42"/>
  <c r="AC118" i="42"/>
  <c r="AK158" i="42"/>
  <c r="AC158" i="42"/>
  <c r="AE158" i="42"/>
  <c r="AM158" i="42"/>
  <c r="AC203" i="42"/>
  <c r="AE203" i="42"/>
  <c r="AK203" i="42"/>
  <c r="AM203" i="42"/>
  <c r="AK241" i="42"/>
  <c r="AC241" i="42"/>
  <c r="AE241" i="42"/>
  <c r="AM241" i="42"/>
  <c r="AC260" i="42"/>
  <c r="AE260" i="42"/>
  <c r="AM260" i="42"/>
  <c r="AK260" i="42"/>
  <c r="AK280" i="42"/>
  <c r="AC280" i="42"/>
  <c r="AE280" i="42"/>
  <c r="AM280" i="42"/>
  <c r="AC27" i="42"/>
  <c r="AE27" i="42"/>
  <c r="AK27" i="42"/>
  <c r="AM27" i="42"/>
  <c r="AK44" i="42"/>
  <c r="AC44" i="42"/>
  <c r="AM44" i="42"/>
  <c r="AE44" i="42"/>
  <c r="AM19" i="42"/>
  <c r="AC19" i="42"/>
  <c r="AE19" i="42"/>
  <c r="AK19" i="42"/>
  <c r="AE23" i="42"/>
  <c r="AM23" i="42"/>
  <c r="AK23" i="42"/>
  <c r="AC23" i="42"/>
  <c r="AM37" i="42"/>
  <c r="AK37" i="42"/>
  <c r="AC37" i="42"/>
  <c r="AE37" i="42"/>
  <c r="P41" i="19"/>
  <c r="R41" i="19" s="1"/>
  <c r="AK52" i="42"/>
  <c r="AC52" i="42"/>
  <c r="AE52" i="42"/>
  <c r="AM52" i="42"/>
  <c r="AE70" i="42"/>
  <c r="AM70" i="42"/>
  <c r="AK70" i="42"/>
  <c r="AC70" i="42"/>
  <c r="AC83" i="42"/>
  <c r="AE83" i="42"/>
  <c r="AM83" i="42"/>
  <c r="AK83" i="42"/>
  <c r="AK86" i="42"/>
  <c r="AE86" i="42"/>
  <c r="AM86" i="42"/>
  <c r="AC86" i="42"/>
  <c r="AE90" i="42"/>
  <c r="AM90" i="42"/>
  <c r="AK90" i="42"/>
  <c r="AC90" i="42"/>
  <c r="AK101" i="42"/>
  <c r="AC101" i="42"/>
  <c r="AE101" i="42"/>
  <c r="AM101" i="42"/>
  <c r="AK104" i="42"/>
  <c r="AC104" i="42"/>
  <c r="AE104" i="42"/>
  <c r="AM104" i="42"/>
  <c r="AM112" i="42"/>
  <c r="AE112" i="42"/>
  <c r="AK112" i="42"/>
  <c r="AC112" i="42"/>
  <c r="AK121" i="42"/>
  <c r="AE121" i="42"/>
  <c r="AM121" i="42"/>
  <c r="AC121" i="42"/>
  <c r="AK124" i="42"/>
  <c r="AM124" i="42"/>
  <c r="AE124" i="42"/>
  <c r="AC124" i="42"/>
  <c r="AK136" i="42"/>
  <c r="AE136" i="42"/>
  <c r="AM136" i="42"/>
  <c r="AC136" i="42"/>
  <c r="AK153" i="42"/>
  <c r="AC153" i="42"/>
  <c r="AM153" i="42"/>
  <c r="AE153" i="42"/>
  <c r="AK156" i="42"/>
  <c r="AM156" i="42"/>
  <c r="AC156" i="42"/>
  <c r="AE156" i="42"/>
  <c r="AC160" i="42"/>
  <c r="AE160" i="42"/>
  <c r="AM160" i="42"/>
  <c r="AK160" i="42"/>
  <c r="AK168" i="42"/>
  <c r="AC168" i="42"/>
  <c r="AE168" i="42"/>
  <c r="AM168" i="42"/>
  <c r="AK174" i="42"/>
  <c r="AC174" i="42"/>
  <c r="AE174" i="42"/>
  <c r="AM174" i="42"/>
  <c r="AK178" i="42"/>
  <c r="AE178" i="42"/>
  <c r="AM178" i="42"/>
  <c r="AC178" i="42"/>
  <c r="AK183" i="42"/>
  <c r="AC183" i="42"/>
  <c r="AE183" i="42"/>
  <c r="AM183" i="42"/>
  <c r="AK186" i="42"/>
  <c r="AC186" i="42"/>
  <c r="AE186" i="42"/>
  <c r="AM186" i="42"/>
  <c r="P220" i="19"/>
  <c r="R220" i="19" s="1"/>
  <c r="AE224" i="42"/>
  <c r="AK224" i="42"/>
  <c r="AC224" i="42"/>
  <c r="AM224" i="42"/>
  <c r="AK227" i="42"/>
  <c r="AC227" i="42"/>
  <c r="AM227" i="42"/>
  <c r="AE227" i="42"/>
  <c r="AK236" i="42"/>
  <c r="AE236" i="42"/>
  <c r="AM236" i="42"/>
  <c r="AC236" i="42"/>
  <c r="P243" i="19"/>
  <c r="R243" i="19" s="1"/>
  <c r="AK247" i="42"/>
  <c r="AC247" i="42"/>
  <c r="AE247" i="42"/>
  <c r="AM247" i="42"/>
  <c r="AK255" i="42"/>
  <c r="AC255" i="42"/>
  <c r="AE255" i="42"/>
  <c r="AM255" i="42"/>
  <c r="AC275" i="42"/>
  <c r="AK275" i="42"/>
  <c r="AM275" i="42"/>
  <c r="AE275" i="42"/>
  <c r="AK278" i="42"/>
  <c r="AE278" i="42"/>
  <c r="AM278" i="42"/>
  <c r="AC278" i="42"/>
  <c r="AK287" i="42"/>
  <c r="AC287" i="42"/>
  <c r="AE287" i="42"/>
  <c r="AM287" i="42"/>
  <c r="AK291" i="42"/>
  <c r="AC291" i="42"/>
  <c r="AM291" i="42"/>
  <c r="AE291" i="42"/>
  <c r="AK300" i="42"/>
  <c r="AC300" i="42"/>
  <c r="AE300" i="42"/>
  <c r="AM300" i="42"/>
  <c r="AC304" i="42"/>
  <c r="AK123" i="42"/>
  <c r="AE123" i="42"/>
  <c r="AM123" i="42"/>
  <c r="AC123" i="42"/>
  <c r="AK238" i="42"/>
  <c r="AC238" i="42"/>
  <c r="AE238" i="42"/>
  <c r="AM238" i="42"/>
  <c r="P18" i="19"/>
  <c r="R18" i="19" s="1"/>
  <c r="AC30" i="42"/>
  <c r="AE30" i="42"/>
  <c r="AK30" i="42"/>
  <c r="AM30" i="42"/>
  <c r="AC47" i="42"/>
  <c r="AE47" i="42"/>
  <c r="AK47" i="42"/>
  <c r="AM47" i="42"/>
  <c r="AE66" i="42"/>
  <c r="AM66" i="42"/>
  <c r="AK66" i="42"/>
  <c r="AC66" i="42"/>
  <c r="AK15" i="42"/>
  <c r="AC15" i="42"/>
  <c r="AE15" i="42"/>
  <c r="AM15" i="42"/>
  <c r="AK32" i="42"/>
  <c r="AC32" i="42"/>
  <c r="AE32" i="42"/>
  <c r="AM32" i="42"/>
  <c r="AE12" i="42"/>
  <c r="AM12" i="42"/>
  <c r="AK12" i="42"/>
  <c r="AC12" i="42"/>
  <c r="AK48" i="42"/>
  <c r="AE48" i="42"/>
  <c r="AC48" i="42"/>
  <c r="AM48" i="42"/>
  <c r="AK67" i="42"/>
  <c r="AM67" i="42"/>
  <c r="AC67" i="42"/>
  <c r="AE67" i="42"/>
  <c r="P97" i="19"/>
  <c r="R97" i="19" s="1"/>
  <c r="AK109" i="42"/>
  <c r="AC109" i="42"/>
  <c r="AM109" i="42"/>
  <c r="AE109" i="42"/>
  <c r="AC129" i="42"/>
  <c r="AE129" i="42"/>
  <c r="AK129" i="42"/>
  <c r="AM129" i="42"/>
  <c r="AE140" i="42"/>
  <c r="AM140" i="42"/>
  <c r="AK140" i="42"/>
  <c r="AC140" i="42"/>
  <c r="P149" i="19"/>
  <c r="R149" i="19" s="1"/>
  <c r="AK164" i="42"/>
  <c r="AC164" i="42"/>
  <c r="AE164" i="42"/>
  <c r="AM164" i="42"/>
  <c r="AK170" i="42"/>
  <c r="AM170" i="42"/>
  <c r="AE170" i="42"/>
  <c r="AC170" i="42"/>
  <c r="AK176" i="42"/>
  <c r="AM176" i="42"/>
  <c r="AE176" i="42"/>
  <c r="AC176" i="42"/>
  <c r="AK191" i="42"/>
  <c r="AC191" i="42"/>
  <c r="AE191" i="42"/>
  <c r="AM191" i="42"/>
  <c r="AE198" i="42"/>
  <c r="AC198" i="42"/>
  <c r="AM198" i="42"/>
  <c r="AK198" i="42"/>
  <c r="AC213" i="42"/>
  <c r="AE213" i="42"/>
  <c r="AM213" i="42"/>
  <c r="AK213" i="42"/>
  <c r="AC221" i="42"/>
  <c r="AE221" i="42"/>
  <c r="AM221" i="42"/>
  <c r="AK221" i="42"/>
  <c r="AK232" i="42"/>
  <c r="AC232" i="42"/>
  <c r="AM232" i="42"/>
  <c r="AE232" i="42"/>
  <c r="P251" i="19"/>
  <c r="R251" i="19" s="1"/>
  <c r="AE258" i="42"/>
  <c r="AM258" i="42"/>
  <c r="AK258" i="42"/>
  <c r="AC258" i="42"/>
  <c r="AM267" i="42"/>
  <c r="AE267" i="42"/>
  <c r="AC267" i="42"/>
  <c r="AK267" i="42"/>
  <c r="AK279" i="42"/>
  <c r="AM279" i="42"/>
  <c r="AE279" i="42"/>
  <c r="AC279" i="42"/>
  <c r="AK283" i="42"/>
  <c r="AE283" i="42"/>
  <c r="AM283" i="42"/>
  <c r="AC283" i="42"/>
  <c r="AE295" i="42"/>
  <c r="AM295" i="42"/>
  <c r="AK295" i="42"/>
  <c r="AC295" i="42"/>
  <c r="J309" i="36"/>
  <c r="AK16" i="42"/>
  <c r="AC16" i="42"/>
  <c r="AE16" i="42"/>
  <c r="AM16" i="42"/>
  <c r="AK42" i="42"/>
  <c r="AM42" i="42"/>
  <c r="AE42" i="42"/>
  <c r="AC42" i="42"/>
  <c r="AK77" i="42"/>
  <c r="AC77" i="42"/>
  <c r="AM77" i="42"/>
  <c r="AE77" i="42"/>
  <c r="AK102" i="42"/>
  <c r="AC102" i="42"/>
  <c r="AM102" i="42"/>
  <c r="AE102" i="42"/>
  <c r="AC126" i="42"/>
  <c r="AE126" i="42"/>
  <c r="AK126" i="42"/>
  <c r="AM126" i="42"/>
  <c r="AK225" i="42"/>
  <c r="AC225" i="42"/>
  <c r="AE225" i="42"/>
  <c r="AM225" i="42"/>
  <c r="AM253" i="42"/>
  <c r="AK253" i="42"/>
  <c r="AC253" i="42"/>
  <c r="AE253" i="42"/>
  <c r="P273" i="19"/>
  <c r="R273" i="19" s="1"/>
  <c r="AK293" i="42"/>
  <c r="AC293" i="42"/>
  <c r="AE293" i="42"/>
  <c r="AM293" i="42"/>
  <c r="AK22" i="42"/>
  <c r="AM22" i="42"/>
  <c r="AE22" i="42"/>
  <c r="AC22" i="42"/>
  <c r="AK39" i="42"/>
  <c r="AC39" i="42"/>
  <c r="AE39" i="42"/>
  <c r="AM39" i="42"/>
  <c r="AC75" i="42"/>
  <c r="AM75" i="42"/>
  <c r="AK75" i="42"/>
  <c r="P10" i="19"/>
  <c r="R10" i="19" s="1"/>
  <c r="L306" i="19"/>
  <c r="AC11" i="42"/>
  <c r="AK11" i="42"/>
  <c r="AE11" i="42"/>
  <c r="AM11" i="42"/>
  <c r="AK28" i="42"/>
  <c r="AE28" i="42"/>
  <c r="AC28" i="42"/>
  <c r="AM28" i="42"/>
  <c r="AE45" i="42"/>
  <c r="AM45" i="42"/>
  <c r="AK45" i="42"/>
  <c r="AC45" i="42"/>
  <c r="AC55" i="42"/>
  <c r="AE55" i="42"/>
  <c r="AM55" i="42"/>
  <c r="AK55" i="42"/>
  <c r="AM63" i="42"/>
  <c r="AK63" i="42"/>
  <c r="AC63" i="42"/>
  <c r="AE63" i="42"/>
  <c r="P105" i="19"/>
  <c r="R105" i="19" s="1"/>
  <c r="AE24" i="42"/>
  <c r="AM24" i="42"/>
  <c r="AK24" i="42"/>
  <c r="AC24" i="42"/>
  <c r="AK29" i="42"/>
  <c r="AC29" i="42"/>
  <c r="AM29" i="42"/>
  <c r="P33" i="19"/>
  <c r="R33" i="19" s="1"/>
  <c r="AE31" i="42"/>
  <c r="AM31" i="42"/>
  <c r="AK31" i="42"/>
  <c r="AC31" i="42"/>
  <c r="AK53" i="42"/>
  <c r="AE53" i="42"/>
  <c r="AC53" i="42"/>
  <c r="AM53" i="42"/>
  <c r="AK60" i="42"/>
  <c r="AC60" i="42"/>
  <c r="AE60" i="42"/>
  <c r="AM60" i="42"/>
  <c r="AK76" i="42"/>
  <c r="AC76" i="42"/>
  <c r="AM76" i="42"/>
  <c r="AE76" i="42"/>
  <c r="AK84" i="42"/>
  <c r="AM84" i="42"/>
  <c r="AC84" i="42"/>
  <c r="AE84" i="42"/>
  <c r="AK87" i="42"/>
  <c r="AC87" i="42"/>
  <c r="AE87" i="42"/>
  <c r="AM87" i="42"/>
  <c r="AK91" i="42"/>
  <c r="AM91" i="42"/>
  <c r="AE91" i="42"/>
  <c r="AC91" i="42"/>
  <c r="AK122" i="42"/>
  <c r="AE122" i="42"/>
  <c r="AM122" i="42"/>
  <c r="AC122" i="42"/>
  <c r="AK125" i="42"/>
  <c r="AM125" i="42"/>
  <c r="AC125" i="42"/>
  <c r="AE125" i="42"/>
  <c r="AK132" i="42"/>
  <c r="AC132" i="42"/>
  <c r="AE132" i="42"/>
  <c r="AM132" i="42"/>
  <c r="AE141" i="42"/>
  <c r="AC141" i="42"/>
  <c r="AK141" i="42"/>
  <c r="AM141" i="42"/>
  <c r="P157" i="19"/>
  <c r="R157" i="19" s="1"/>
  <c r="AK161" i="42"/>
  <c r="AC161" i="42"/>
  <c r="AM161" i="42"/>
  <c r="AE161" i="42"/>
  <c r="AE169" i="42"/>
  <c r="AM169" i="42"/>
  <c r="AK169" i="42"/>
  <c r="AC169" i="42"/>
  <c r="AK171" i="42"/>
  <c r="AC171" i="42"/>
  <c r="AE171" i="42"/>
  <c r="AM171" i="42"/>
  <c r="AK179" i="42"/>
  <c r="AM179" i="42"/>
  <c r="AC179" i="42"/>
  <c r="AE179" i="42"/>
  <c r="AM184" i="42"/>
  <c r="AK184" i="42"/>
  <c r="AC184" i="42"/>
  <c r="AE184" i="42"/>
  <c r="AC194" i="42"/>
  <c r="AM194" i="42"/>
  <c r="AE194" i="42"/>
  <c r="AK194" i="42"/>
  <c r="AE199" i="42"/>
  <c r="AM199" i="42"/>
  <c r="AK199" i="42"/>
  <c r="AC199" i="42"/>
  <c r="AK206" i="42"/>
  <c r="AE206" i="42"/>
  <c r="AC206" i="42"/>
  <c r="AM206" i="42"/>
  <c r="AE209" i="42"/>
  <c r="AM209" i="42"/>
  <c r="AK209" i="42"/>
  <c r="AC209" i="42"/>
  <c r="AC229" i="42"/>
  <c r="AM229" i="42"/>
  <c r="AK229" i="42"/>
  <c r="AK244" i="42"/>
  <c r="AM244" i="42"/>
  <c r="AE244" i="42"/>
  <c r="AC244" i="42"/>
  <c r="P259" i="19"/>
  <c r="R259" i="19" s="1"/>
  <c r="AK263" i="42"/>
  <c r="AE263" i="42"/>
  <c r="AM263" i="42"/>
  <c r="AC263" i="42"/>
  <c r="AE276" i="42"/>
  <c r="AM276" i="42"/>
  <c r="AK276" i="42"/>
  <c r="AC276" i="42"/>
  <c r="AE292" i="42"/>
  <c r="AM292" i="42"/>
  <c r="AK292" i="42"/>
  <c r="AC292" i="42"/>
  <c r="P305" i="19"/>
  <c r="R305" i="19" s="1"/>
  <c r="AM240" i="42"/>
  <c r="E309" i="36"/>
  <c r="F309" i="36"/>
  <c r="E6" i="12" l="1"/>
  <c r="E171" i="25"/>
  <c r="J172" i="49"/>
  <c r="C172" i="39"/>
  <c r="C172" i="13"/>
  <c r="C172" i="12"/>
  <c r="E172" i="12" s="1"/>
  <c r="C172" i="33"/>
  <c r="C178" i="9"/>
  <c r="C100" i="11"/>
  <c r="C106" i="34"/>
  <c r="E100" i="33"/>
  <c r="D100" i="37" s="1"/>
  <c r="C148" i="11"/>
  <c r="C154" i="34"/>
  <c r="E148" i="33"/>
  <c r="D148" i="37" s="1"/>
  <c r="C103" i="11"/>
  <c r="C109" i="34"/>
  <c r="E103" i="33"/>
  <c r="D103" i="37" s="1"/>
  <c r="C262" i="34"/>
  <c r="C256" i="11"/>
  <c r="E256" i="33"/>
  <c r="D256" i="37" s="1"/>
  <c r="C183" i="11"/>
  <c r="C189" i="34"/>
  <c r="E183" i="33"/>
  <c r="D183" i="37" s="1"/>
  <c r="AE59" i="42"/>
  <c r="E72" i="25"/>
  <c r="J73" i="49"/>
  <c r="C73" i="13"/>
  <c r="C73" i="39"/>
  <c r="C73" i="12"/>
  <c r="E73" i="12" s="1"/>
  <c r="C73" i="33"/>
  <c r="C79" i="9"/>
  <c r="E134" i="25"/>
  <c r="J135" i="49"/>
  <c r="C135" i="13"/>
  <c r="C135" i="39"/>
  <c r="C135" i="12"/>
  <c r="E135" i="12" s="1"/>
  <c r="C141" i="9"/>
  <c r="C135" i="33"/>
  <c r="E56" i="25"/>
  <c r="J57" i="49"/>
  <c r="C57" i="13"/>
  <c r="C57" i="39"/>
  <c r="C57" i="12"/>
  <c r="E57" i="12" s="1"/>
  <c r="C57" i="33"/>
  <c r="C63" i="9"/>
  <c r="AC187" i="42"/>
  <c r="C304" i="34"/>
  <c r="C298" i="11"/>
  <c r="E298" i="33"/>
  <c r="D298" i="37" s="1"/>
  <c r="C167" i="11"/>
  <c r="C173" i="34"/>
  <c r="E167" i="33"/>
  <c r="D167" i="37" s="1"/>
  <c r="C12" i="11"/>
  <c r="C18" i="34"/>
  <c r="E12" i="33"/>
  <c r="D12" i="37" s="1"/>
  <c r="C24" i="11"/>
  <c r="C30" i="34"/>
  <c r="E24" i="33"/>
  <c r="D24" i="37" s="1"/>
  <c r="C88" i="11"/>
  <c r="C94" i="34"/>
  <c r="E88" i="33"/>
  <c r="D88" i="37" s="1"/>
  <c r="C114" i="11"/>
  <c r="C120" i="34"/>
  <c r="E114" i="33"/>
  <c r="D114" i="37" s="1"/>
  <c r="C52" i="34"/>
  <c r="C46" i="11"/>
  <c r="E46" i="33"/>
  <c r="D46" i="37" s="1"/>
  <c r="F21" i="11"/>
  <c r="G21" i="11" s="1"/>
  <c r="K21" i="11"/>
  <c r="L21" i="11" s="1"/>
  <c r="C98" i="11"/>
  <c r="C104" i="34"/>
  <c r="E98" i="33"/>
  <c r="D98" i="37" s="1"/>
  <c r="C170" i="11"/>
  <c r="C176" i="34"/>
  <c r="E170" i="33"/>
  <c r="D170" i="37" s="1"/>
  <c r="C123" i="11"/>
  <c r="C129" i="34"/>
  <c r="E123" i="33"/>
  <c r="D123" i="37" s="1"/>
  <c r="C284" i="34"/>
  <c r="C278" i="11"/>
  <c r="E278" i="33"/>
  <c r="D278" i="37" s="1"/>
  <c r="C132" i="34"/>
  <c r="C126" i="11"/>
  <c r="E126" i="33"/>
  <c r="D126" i="37" s="1"/>
  <c r="C303" i="11"/>
  <c r="C309" i="34"/>
  <c r="E303" i="33"/>
  <c r="D303" i="37" s="1"/>
  <c r="C164" i="11"/>
  <c r="C170" i="34"/>
  <c r="E164" i="33"/>
  <c r="D164" i="37" s="1"/>
  <c r="C96" i="11"/>
  <c r="C102" i="34"/>
  <c r="E96" i="33"/>
  <c r="D96" i="37" s="1"/>
  <c r="C86" i="11"/>
  <c r="C92" i="34"/>
  <c r="E86" i="33"/>
  <c r="D86" i="37" s="1"/>
  <c r="C293" i="11"/>
  <c r="C299" i="34"/>
  <c r="E293" i="33"/>
  <c r="D293" i="37" s="1"/>
  <c r="C284" i="11"/>
  <c r="C290" i="34"/>
  <c r="E284" i="33"/>
  <c r="D284" i="37" s="1"/>
  <c r="C193" i="11"/>
  <c r="C199" i="34"/>
  <c r="E193" i="33"/>
  <c r="D193" i="37" s="1"/>
  <c r="C185" i="11"/>
  <c r="C191" i="34"/>
  <c r="E185" i="33"/>
  <c r="D185" i="37" s="1"/>
  <c r="C121" i="11"/>
  <c r="C127" i="34"/>
  <c r="E121" i="33"/>
  <c r="D121" i="37" s="1"/>
  <c r="C111" i="11"/>
  <c r="C117" i="34"/>
  <c r="E111" i="33"/>
  <c r="D111" i="37" s="1"/>
  <c r="E51" i="25"/>
  <c r="J52" i="49"/>
  <c r="C52" i="13"/>
  <c r="C52" i="39"/>
  <c r="C52" i="12"/>
  <c r="E52" i="12" s="1"/>
  <c r="C52" i="33"/>
  <c r="C58" i="9"/>
  <c r="C28" i="11"/>
  <c r="C34" i="34"/>
  <c r="E28" i="33"/>
  <c r="D28" i="37" s="1"/>
  <c r="C36" i="11"/>
  <c r="C42" i="34"/>
  <c r="E36" i="33"/>
  <c r="D36" i="37" s="1"/>
  <c r="C275" i="11"/>
  <c r="C281" i="34"/>
  <c r="E275" i="33"/>
  <c r="D275" i="37" s="1"/>
  <c r="C92" i="11"/>
  <c r="C98" i="34"/>
  <c r="E92" i="33"/>
  <c r="D92" i="37" s="1"/>
  <c r="C196" i="34"/>
  <c r="C190" i="11"/>
  <c r="E190" i="33"/>
  <c r="D190" i="37" s="1"/>
  <c r="C282" i="11"/>
  <c r="C288" i="34"/>
  <c r="E282" i="33"/>
  <c r="D282" i="37" s="1"/>
  <c r="C274" i="11"/>
  <c r="C280" i="34"/>
  <c r="E274" i="33"/>
  <c r="D274" i="37" s="1"/>
  <c r="C205" i="34"/>
  <c r="C199" i="11"/>
  <c r="E199" i="33"/>
  <c r="D199" i="37" s="1"/>
  <c r="C17" i="11"/>
  <c r="C23" i="34"/>
  <c r="E17" i="33"/>
  <c r="D17" i="37" s="1"/>
  <c r="E141" i="25"/>
  <c r="J142" i="49"/>
  <c r="C142" i="13"/>
  <c r="C142" i="39"/>
  <c r="C142" i="12"/>
  <c r="E142" i="12" s="1"/>
  <c r="C142" i="33"/>
  <c r="C148" i="9"/>
  <c r="C189" i="11"/>
  <c r="C195" i="34"/>
  <c r="E189" i="33"/>
  <c r="D189" i="37" s="1"/>
  <c r="C30" i="11"/>
  <c r="C36" i="34"/>
  <c r="E30" i="33"/>
  <c r="D30" i="37" s="1"/>
  <c r="C60" i="34"/>
  <c r="C54" i="11"/>
  <c r="E54" i="33"/>
  <c r="D54" i="37" s="1"/>
  <c r="C144" i="11"/>
  <c r="C150" i="34"/>
  <c r="E144" i="33"/>
  <c r="D144" i="37" s="1"/>
  <c r="E303" i="25"/>
  <c r="J304" i="49"/>
  <c r="C304" i="13"/>
  <c r="C304" i="39"/>
  <c r="C304" i="12"/>
  <c r="E304" i="12" s="1"/>
  <c r="C304" i="33"/>
  <c r="C310" i="9"/>
  <c r="C283" i="34"/>
  <c r="C277" i="11"/>
  <c r="E277" i="33"/>
  <c r="D277" i="37" s="1"/>
  <c r="C109" i="11"/>
  <c r="C115" i="34"/>
  <c r="E109" i="33"/>
  <c r="D109" i="37" s="1"/>
  <c r="AC79" i="42"/>
  <c r="E234" i="25"/>
  <c r="J235" i="49"/>
  <c r="C235" i="39"/>
  <c r="C235" i="13"/>
  <c r="C235" i="12"/>
  <c r="E235" i="12" s="1"/>
  <c r="C235" i="33"/>
  <c r="C241" i="9"/>
  <c r="AM187" i="42"/>
  <c r="E270" i="25"/>
  <c r="J271" i="49"/>
  <c r="C271" i="13"/>
  <c r="C271" i="39"/>
  <c r="C271" i="12"/>
  <c r="E271" i="12" s="1"/>
  <c r="C271" i="33"/>
  <c r="C277" i="9"/>
  <c r="AK271" i="42"/>
  <c r="AM271" i="42"/>
  <c r="AE271" i="42"/>
  <c r="AC271" i="42"/>
  <c r="C205" i="11"/>
  <c r="C211" i="34"/>
  <c r="E205" i="33"/>
  <c r="D205" i="37" s="1"/>
  <c r="C197" i="11"/>
  <c r="C203" i="34"/>
  <c r="E197" i="33"/>
  <c r="D197" i="37" s="1"/>
  <c r="C151" i="11"/>
  <c r="C157" i="34"/>
  <c r="E151" i="33"/>
  <c r="D151" i="37" s="1"/>
  <c r="C54" i="34"/>
  <c r="C48" i="11"/>
  <c r="E48" i="33"/>
  <c r="D48" i="37" s="1"/>
  <c r="C140" i="11"/>
  <c r="C146" i="34"/>
  <c r="E140" i="33"/>
  <c r="D140" i="37" s="1"/>
  <c r="C76" i="34"/>
  <c r="C70" i="11"/>
  <c r="E70" i="33"/>
  <c r="D70" i="37" s="1"/>
  <c r="C158" i="34"/>
  <c r="C152" i="11"/>
  <c r="E152" i="33"/>
  <c r="D152" i="37" s="1"/>
  <c r="C242" i="34"/>
  <c r="C236" i="11"/>
  <c r="E236" i="33"/>
  <c r="D236" i="37" s="1"/>
  <c r="C217" i="34"/>
  <c r="C211" i="11"/>
  <c r="E211" i="33"/>
  <c r="D211" i="37" s="1"/>
  <c r="C239" i="11"/>
  <c r="C245" i="34"/>
  <c r="E239" i="33"/>
  <c r="D239" i="37" s="1"/>
  <c r="C206" i="11"/>
  <c r="C212" i="34"/>
  <c r="E206" i="33"/>
  <c r="D206" i="37" s="1"/>
  <c r="K113" i="11"/>
  <c r="L113" i="11" s="1"/>
  <c r="F113" i="11"/>
  <c r="G113" i="11" s="1"/>
  <c r="C295" i="11"/>
  <c r="C301" i="34"/>
  <c r="E295" i="33"/>
  <c r="D295" i="37" s="1"/>
  <c r="C220" i="34"/>
  <c r="C214" i="11"/>
  <c r="E214" i="33"/>
  <c r="D214" i="37" s="1"/>
  <c r="E39" i="25"/>
  <c r="J40" i="49"/>
  <c r="C40" i="13"/>
  <c r="C40" i="12"/>
  <c r="E40" i="12" s="1"/>
  <c r="C40" i="39"/>
  <c r="C40" i="33"/>
  <c r="C46" i="9"/>
  <c r="AE40" i="42"/>
  <c r="AM40" i="42"/>
  <c r="AC40" i="42"/>
  <c r="AK40" i="42"/>
  <c r="E193" i="25"/>
  <c r="J194" i="49"/>
  <c r="C194" i="13"/>
  <c r="C194" i="39"/>
  <c r="C194" i="12"/>
  <c r="E194" i="12" s="1"/>
  <c r="C200" i="9"/>
  <c r="C194" i="33"/>
  <c r="C178" i="11"/>
  <c r="C184" i="34"/>
  <c r="E178" i="33"/>
  <c r="D178" i="37" s="1"/>
  <c r="C104" i="11"/>
  <c r="C110" i="34"/>
  <c r="E104" i="33"/>
  <c r="D104" i="37" s="1"/>
  <c r="C209" i="11"/>
  <c r="C215" i="34"/>
  <c r="E209" i="33"/>
  <c r="D209" i="37" s="1"/>
  <c r="C37" i="11"/>
  <c r="C43" i="34"/>
  <c r="E37" i="33"/>
  <c r="D37" i="37" s="1"/>
  <c r="C198" i="34"/>
  <c r="C192" i="11"/>
  <c r="E192" i="33"/>
  <c r="D192" i="37" s="1"/>
  <c r="C76" i="11"/>
  <c r="C82" i="34"/>
  <c r="E76" i="33"/>
  <c r="D76" i="37" s="1"/>
  <c r="C49" i="34"/>
  <c r="C43" i="11"/>
  <c r="E43" i="33"/>
  <c r="D43" i="37" s="1"/>
  <c r="C22" i="34"/>
  <c r="C16" i="11"/>
  <c r="E16" i="33"/>
  <c r="D16" i="37" s="1"/>
  <c r="F143" i="11"/>
  <c r="G143" i="11" s="1"/>
  <c r="K143" i="11"/>
  <c r="L143" i="11" s="1"/>
  <c r="C292" i="11"/>
  <c r="C298" i="34"/>
  <c r="E292" i="33"/>
  <c r="D292" i="37" s="1"/>
  <c r="C134" i="34"/>
  <c r="C128" i="11"/>
  <c r="E128" i="33"/>
  <c r="D128" i="37" s="1"/>
  <c r="C116" i="34"/>
  <c r="C110" i="11"/>
  <c r="E110" i="33"/>
  <c r="D110" i="37" s="1"/>
  <c r="C247" i="11"/>
  <c r="C253" i="34"/>
  <c r="E247" i="33"/>
  <c r="D247" i="37" s="1"/>
  <c r="C228" i="34"/>
  <c r="C222" i="11"/>
  <c r="E222" i="33"/>
  <c r="D222" i="37" s="1"/>
  <c r="C207" i="11"/>
  <c r="C213" i="34"/>
  <c r="E207" i="33"/>
  <c r="D207" i="37" s="1"/>
  <c r="C118" i="11"/>
  <c r="C124" i="34"/>
  <c r="E118" i="33"/>
  <c r="D118" i="37" s="1"/>
  <c r="C26" i="11"/>
  <c r="C32" i="34"/>
  <c r="E26" i="33"/>
  <c r="D26" i="37" s="1"/>
  <c r="C117" i="11"/>
  <c r="C123" i="34"/>
  <c r="E117" i="33"/>
  <c r="D117" i="37" s="1"/>
  <c r="C34" i="11"/>
  <c r="C40" i="34"/>
  <c r="E34" i="33"/>
  <c r="D34" i="37" s="1"/>
  <c r="E80" i="25"/>
  <c r="J81" i="49"/>
  <c r="C81" i="13"/>
  <c r="C81" i="39"/>
  <c r="C81" i="12"/>
  <c r="E81" i="12" s="1"/>
  <c r="C81" i="33"/>
  <c r="C87" i="9"/>
  <c r="E158" i="25"/>
  <c r="J159" i="49"/>
  <c r="C159" i="13"/>
  <c r="C159" i="39"/>
  <c r="C159" i="12"/>
  <c r="E159" i="12" s="1"/>
  <c r="C165" i="9"/>
  <c r="C159" i="33"/>
  <c r="C55" i="11"/>
  <c r="C61" i="34"/>
  <c r="E55" i="33"/>
  <c r="D55" i="37" s="1"/>
  <c r="E200" i="25"/>
  <c r="J201" i="49"/>
  <c r="C201" i="39"/>
  <c r="C201" i="13"/>
  <c r="C201" i="12"/>
  <c r="E201" i="12" s="1"/>
  <c r="C201" i="33"/>
  <c r="C207" i="9"/>
  <c r="C182" i="34"/>
  <c r="C176" i="11"/>
  <c r="E176" i="33"/>
  <c r="D176" i="37" s="1"/>
  <c r="E58" i="25"/>
  <c r="J59" i="49"/>
  <c r="C59" i="13"/>
  <c r="C59" i="39"/>
  <c r="C59" i="12"/>
  <c r="E59" i="12" s="1"/>
  <c r="C59" i="33"/>
  <c r="C65" i="9"/>
  <c r="C257" i="11"/>
  <c r="C263" i="34"/>
  <c r="E257" i="33"/>
  <c r="D257" i="37" s="1"/>
  <c r="C73" i="34"/>
  <c r="C67" i="11"/>
  <c r="E67" i="33"/>
  <c r="D67" i="37" s="1"/>
  <c r="E219" i="25"/>
  <c r="J220" i="49"/>
  <c r="C220" i="13"/>
  <c r="C220" i="39"/>
  <c r="C220" i="12"/>
  <c r="E220" i="12" s="1"/>
  <c r="C220" i="33"/>
  <c r="C226" i="9"/>
  <c r="AC59" i="42"/>
  <c r="E195" i="25"/>
  <c r="J196" i="49"/>
  <c r="C196" i="13"/>
  <c r="C196" i="39"/>
  <c r="C196" i="12"/>
  <c r="E196" i="12" s="1"/>
  <c r="C202" i="9"/>
  <c r="C196" i="33"/>
  <c r="E6" i="25"/>
  <c r="J7" i="49"/>
  <c r="C7" i="13"/>
  <c r="C7" i="39"/>
  <c r="C7" i="12"/>
  <c r="E7" i="12" s="1"/>
  <c r="C7" i="33"/>
  <c r="C13" i="9"/>
  <c r="C213" i="11"/>
  <c r="C219" i="34"/>
  <c r="E213" i="33"/>
  <c r="D213" i="37" s="1"/>
  <c r="C62" i="34"/>
  <c r="C56" i="11"/>
  <c r="E56" i="33"/>
  <c r="D56" i="37" s="1"/>
  <c r="C130" i="34"/>
  <c r="C124" i="11"/>
  <c r="E124" i="33"/>
  <c r="D124" i="37" s="1"/>
  <c r="C106" i="11"/>
  <c r="C112" i="34"/>
  <c r="E106" i="33"/>
  <c r="D106" i="37" s="1"/>
  <c r="C185" i="34"/>
  <c r="C179" i="11"/>
  <c r="E179" i="33"/>
  <c r="D179" i="37" s="1"/>
  <c r="C231" i="11"/>
  <c r="C237" i="34"/>
  <c r="E231" i="33"/>
  <c r="D231" i="37" s="1"/>
  <c r="E165" i="25"/>
  <c r="J166" i="49"/>
  <c r="C166" i="39"/>
  <c r="C166" i="13"/>
  <c r="C166" i="12"/>
  <c r="E166" i="12" s="1"/>
  <c r="C166" i="33"/>
  <c r="C172" i="9"/>
  <c r="C138" i="34"/>
  <c r="C132" i="11"/>
  <c r="E132" i="33"/>
  <c r="D132" i="37" s="1"/>
  <c r="C115" i="11"/>
  <c r="C121" i="34"/>
  <c r="E115" i="33"/>
  <c r="D115" i="37" s="1"/>
  <c r="C287" i="11"/>
  <c r="C293" i="34"/>
  <c r="E287" i="33"/>
  <c r="D287" i="37" s="1"/>
  <c r="C202" i="11"/>
  <c r="C208" i="34"/>
  <c r="E202" i="33"/>
  <c r="D202" i="37" s="1"/>
  <c r="C112" i="11"/>
  <c r="C118" i="34"/>
  <c r="E112" i="33"/>
  <c r="D112" i="37" s="1"/>
  <c r="E44" i="25"/>
  <c r="J45" i="49"/>
  <c r="C45" i="13"/>
  <c r="C45" i="39"/>
  <c r="C45" i="12"/>
  <c r="E45" i="12" s="1"/>
  <c r="C51" i="9"/>
  <c r="C45" i="33"/>
  <c r="C11" i="11"/>
  <c r="C17" i="34"/>
  <c r="E11" i="33"/>
  <c r="D11" i="37" s="1"/>
  <c r="C223" i="34"/>
  <c r="C217" i="11"/>
  <c r="E217" i="33"/>
  <c r="D217" i="37" s="1"/>
  <c r="C138" i="11"/>
  <c r="C144" i="34"/>
  <c r="E138" i="33"/>
  <c r="D138" i="37" s="1"/>
  <c r="C135" i="34"/>
  <c r="C129" i="11"/>
  <c r="E129" i="33"/>
  <c r="D129" i="37" s="1"/>
  <c r="C60" i="11"/>
  <c r="C66" i="34"/>
  <c r="E60" i="33"/>
  <c r="D60" i="37" s="1"/>
  <c r="C44" i="11"/>
  <c r="C50" i="34"/>
  <c r="E44" i="33"/>
  <c r="D44" i="37" s="1"/>
  <c r="C216" i="11"/>
  <c r="C222" i="34"/>
  <c r="E216" i="33"/>
  <c r="D216" i="37" s="1"/>
  <c r="C208" i="11"/>
  <c r="C214" i="34"/>
  <c r="E208" i="33"/>
  <c r="D208" i="37" s="1"/>
  <c r="C102" i="11"/>
  <c r="C108" i="34"/>
  <c r="E102" i="33"/>
  <c r="D102" i="37" s="1"/>
  <c r="C90" i="34"/>
  <c r="C84" i="11"/>
  <c r="E84" i="33"/>
  <c r="D84" i="37" s="1"/>
  <c r="C31" i="11"/>
  <c r="C37" i="34"/>
  <c r="E31" i="33"/>
  <c r="D31" i="37" s="1"/>
  <c r="E260" i="25"/>
  <c r="J261" i="49"/>
  <c r="C261" i="13"/>
  <c r="C261" i="39"/>
  <c r="C261" i="12"/>
  <c r="E261" i="12" s="1"/>
  <c r="C267" i="9"/>
  <c r="C261" i="33"/>
  <c r="AK261" i="42"/>
  <c r="AM261" i="42"/>
  <c r="AC261" i="42"/>
  <c r="AE261" i="42"/>
  <c r="C146" i="11"/>
  <c r="C152" i="34"/>
  <c r="E146" i="33"/>
  <c r="D146" i="37" s="1"/>
  <c r="C270" i="34"/>
  <c r="C264" i="11"/>
  <c r="E264" i="33"/>
  <c r="D264" i="37" s="1"/>
  <c r="C300" i="11"/>
  <c r="C306" i="34"/>
  <c r="E300" i="33"/>
  <c r="D300" i="37" s="1"/>
  <c r="C291" i="11"/>
  <c r="C297" i="34"/>
  <c r="E291" i="33"/>
  <c r="D291" i="37" s="1"/>
  <c r="C215" i="11"/>
  <c r="C221" i="34"/>
  <c r="E215" i="33"/>
  <c r="D215" i="37" s="1"/>
  <c r="C153" i="11"/>
  <c r="C159" i="34"/>
  <c r="E153" i="33"/>
  <c r="D153" i="37" s="1"/>
  <c r="C151" i="34"/>
  <c r="C145" i="11"/>
  <c r="E145" i="33"/>
  <c r="D145" i="37" s="1"/>
  <c r="C42" i="11"/>
  <c r="C48" i="34"/>
  <c r="E42" i="33"/>
  <c r="D42" i="37" s="1"/>
  <c r="C35" i="11"/>
  <c r="C41" i="34"/>
  <c r="E35" i="33"/>
  <c r="D35" i="37" s="1"/>
  <c r="C120" i="11"/>
  <c r="C126" i="34"/>
  <c r="E120" i="33"/>
  <c r="D120" i="37" s="1"/>
  <c r="C268" i="11"/>
  <c r="C274" i="34"/>
  <c r="E268" i="33"/>
  <c r="D268" i="37" s="1"/>
  <c r="C19" i="11"/>
  <c r="C25" i="34"/>
  <c r="E19" i="33"/>
  <c r="D19" i="37" s="1"/>
  <c r="E96" i="25"/>
  <c r="J97" i="49"/>
  <c r="C97" i="13"/>
  <c r="C97" i="39"/>
  <c r="C97" i="12"/>
  <c r="E97" i="12" s="1"/>
  <c r="C97" i="33"/>
  <c r="C103" i="9"/>
  <c r="AC201" i="42"/>
  <c r="E40" i="25"/>
  <c r="J41" i="49"/>
  <c r="C41" i="13"/>
  <c r="C41" i="39"/>
  <c r="C41" i="12"/>
  <c r="E41" i="12" s="1"/>
  <c r="C41" i="33"/>
  <c r="C47" i="9"/>
  <c r="AK59" i="42"/>
  <c r="E126" i="25"/>
  <c r="J127" i="49"/>
  <c r="C127" i="13"/>
  <c r="C127" i="39"/>
  <c r="C127" i="12"/>
  <c r="E127" i="12" s="1"/>
  <c r="C133" i="9"/>
  <c r="C127" i="33"/>
  <c r="AE172" i="42"/>
  <c r="AC159" i="42"/>
  <c r="E296" i="25"/>
  <c r="J297" i="49"/>
  <c r="C297" i="39"/>
  <c r="C297" i="13"/>
  <c r="C297" i="12"/>
  <c r="E297" i="12" s="1"/>
  <c r="C303" i="9"/>
  <c r="C297" i="33"/>
  <c r="E179" i="25"/>
  <c r="J180" i="49"/>
  <c r="C180" i="39"/>
  <c r="C180" i="13"/>
  <c r="C180" i="12"/>
  <c r="E180" i="12" s="1"/>
  <c r="C180" i="33"/>
  <c r="C186" i="9"/>
  <c r="E24" i="25"/>
  <c r="J25" i="49"/>
  <c r="C25" i="13"/>
  <c r="C25" i="39"/>
  <c r="C25" i="12"/>
  <c r="E25" i="12" s="1"/>
  <c r="C25" i="33"/>
  <c r="C31" i="9"/>
  <c r="E237" i="25"/>
  <c r="J238" i="49"/>
  <c r="C238" i="39"/>
  <c r="C238" i="13"/>
  <c r="C238" i="12"/>
  <c r="E238" i="12" s="1"/>
  <c r="C238" i="33"/>
  <c r="C244" i="9"/>
  <c r="C221" i="11"/>
  <c r="C227" i="34"/>
  <c r="E221" i="33"/>
  <c r="D221" i="37" s="1"/>
  <c r="C70" i="34"/>
  <c r="C64" i="11"/>
  <c r="E64" i="33"/>
  <c r="D64" i="37" s="1"/>
  <c r="C141" i="11"/>
  <c r="C147" i="34"/>
  <c r="E141" i="33"/>
  <c r="D141" i="37" s="1"/>
  <c r="C209" i="34"/>
  <c r="C203" i="11"/>
  <c r="E203" i="33"/>
  <c r="D203" i="37" s="1"/>
  <c r="C156" i="34"/>
  <c r="C150" i="11"/>
  <c r="E150" i="33"/>
  <c r="D150" i="37" s="1"/>
  <c r="C290" i="11"/>
  <c r="C296" i="34"/>
  <c r="E290" i="33"/>
  <c r="D290" i="37" s="1"/>
  <c r="C255" i="11"/>
  <c r="C261" i="34"/>
  <c r="E255" i="33"/>
  <c r="D255" i="37" s="1"/>
  <c r="E130" i="25"/>
  <c r="J131" i="49"/>
  <c r="C131" i="13"/>
  <c r="C131" i="39"/>
  <c r="C131" i="12"/>
  <c r="E131" i="12" s="1"/>
  <c r="C131" i="33"/>
  <c r="C137" i="9"/>
  <c r="C228" i="11"/>
  <c r="C234" i="34"/>
  <c r="E228" i="33"/>
  <c r="D228" i="37" s="1"/>
  <c r="C216" i="34"/>
  <c r="C210" i="11"/>
  <c r="E210" i="33"/>
  <c r="D210" i="37" s="1"/>
  <c r="C186" i="11"/>
  <c r="C192" i="34"/>
  <c r="E186" i="33"/>
  <c r="D186" i="37" s="1"/>
  <c r="C122" i="11"/>
  <c r="C128" i="34"/>
  <c r="E122" i="33"/>
  <c r="D122" i="37" s="1"/>
  <c r="C29" i="11"/>
  <c r="C35" i="34"/>
  <c r="E29" i="33"/>
  <c r="D29" i="37" s="1"/>
  <c r="C20" i="11"/>
  <c r="C26" i="34"/>
  <c r="E20" i="33"/>
  <c r="D20" i="37" s="1"/>
  <c r="C74" i="11"/>
  <c r="C80" i="34"/>
  <c r="E74" i="33"/>
  <c r="D74" i="37" s="1"/>
  <c r="C231" i="34"/>
  <c r="C225" i="11"/>
  <c r="E225" i="33"/>
  <c r="D225" i="37" s="1"/>
  <c r="C77" i="11"/>
  <c r="C83" i="34"/>
  <c r="E77" i="33"/>
  <c r="D77" i="37" s="1"/>
  <c r="C68" i="11"/>
  <c r="C74" i="34"/>
  <c r="E68" i="33"/>
  <c r="D68" i="37" s="1"/>
  <c r="C239" i="34"/>
  <c r="C233" i="11"/>
  <c r="E233" i="33"/>
  <c r="D233" i="37" s="1"/>
  <c r="C125" i="34"/>
  <c r="C119" i="11"/>
  <c r="E119" i="33"/>
  <c r="D119" i="37" s="1"/>
  <c r="C108" i="11"/>
  <c r="C114" i="34"/>
  <c r="E108" i="33"/>
  <c r="D108" i="37" s="1"/>
  <c r="C301" i="11"/>
  <c r="C307" i="34"/>
  <c r="E301" i="33"/>
  <c r="D301" i="37" s="1"/>
  <c r="C162" i="11"/>
  <c r="C168" i="34"/>
  <c r="E162" i="33"/>
  <c r="D162" i="37" s="1"/>
  <c r="E93" i="25"/>
  <c r="J94" i="49"/>
  <c r="C94" i="13"/>
  <c r="C94" i="39"/>
  <c r="C94" i="12"/>
  <c r="E94" i="12" s="1"/>
  <c r="C94" i="33"/>
  <c r="C100" i="9"/>
  <c r="AK94" i="42"/>
  <c r="AC94" i="42"/>
  <c r="AM94" i="42"/>
  <c r="AE94" i="42"/>
  <c r="E65" i="25"/>
  <c r="J66" i="49"/>
  <c r="C66" i="13"/>
  <c r="C66" i="39"/>
  <c r="C66" i="12"/>
  <c r="E66" i="12" s="1"/>
  <c r="C72" i="9"/>
  <c r="C66" i="33"/>
  <c r="E71" i="25"/>
  <c r="J72" i="49"/>
  <c r="C72" i="13"/>
  <c r="C72" i="12"/>
  <c r="E72" i="12" s="1"/>
  <c r="C72" i="39"/>
  <c r="C72" i="33"/>
  <c r="C78" i="9"/>
  <c r="AC72" i="42"/>
  <c r="AK72" i="42"/>
  <c r="AE72" i="42"/>
  <c r="AM72" i="42"/>
  <c r="C198" i="11"/>
  <c r="C204" i="34"/>
  <c r="E198" i="33"/>
  <c r="D198" i="37" s="1"/>
  <c r="C268" i="34"/>
  <c r="C262" i="11"/>
  <c r="E262" i="33"/>
  <c r="D262" i="37" s="1"/>
  <c r="C71" i="11"/>
  <c r="C77" i="34"/>
  <c r="E71" i="33"/>
  <c r="D71" i="37" s="1"/>
  <c r="E186" i="25"/>
  <c r="J187" i="49"/>
  <c r="C187" i="13"/>
  <c r="C187" i="39"/>
  <c r="C187" i="12"/>
  <c r="E187" i="12" s="1"/>
  <c r="C187" i="33"/>
  <c r="C193" i="9"/>
  <c r="C156" i="11"/>
  <c r="C162" i="34"/>
  <c r="E156" i="33"/>
  <c r="D156" i="37" s="1"/>
  <c r="C78" i="11"/>
  <c r="C84" i="34"/>
  <c r="E78" i="33"/>
  <c r="D78" i="37" s="1"/>
  <c r="C95" i="11"/>
  <c r="C101" i="34"/>
  <c r="E95" i="33"/>
  <c r="D95" i="37" s="1"/>
  <c r="C191" i="11"/>
  <c r="C197" i="34"/>
  <c r="E191" i="33"/>
  <c r="D191" i="37" s="1"/>
  <c r="E258" i="25"/>
  <c r="J259" i="49"/>
  <c r="C259" i="13"/>
  <c r="C259" i="39"/>
  <c r="C259" i="12"/>
  <c r="E259" i="12" s="1"/>
  <c r="C259" i="33"/>
  <c r="C265" i="9"/>
  <c r="AM79" i="42"/>
  <c r="E9" i="25"/>
  <c r="J10" i="49"/>
  <c r="C10" i="13"/>
  <c r="C10" i="39"/>
  <c r="C10" i="12"/>
  <c r="E10" i="12" s="1"/>
  <c r="C16" i="9"/>
  <c r="C10" i="33"/>
  <c r="E156" i="25"/>
  <c r="J157" i="49"/>
  <c r="C157" i="13"/>
  <c r="C157" i="39"/>
  <c r="C157" i="12"/>
  <c r="E157" i="12" s="1"/>
  <c r="C163" i="9"/>
  <c r="C157" i="33"/>
  <c r="E17" i="25"/>
  <c r="J18" i="49"/>
  <c r="C18" i="13"/>
  <c r="C18" i="39"/>
  <c r="C18" i="12"/>
  <c r="E18" i="12" s="1"/>
  <c r="C18" i="33"/>
  <c r="C24" i="9"/>
  <c r="AM201" i="42"/>
  <c r="E265" i="25"/>
  <c r="J266" i="49"/>
  <c r="C266" i="13"/>
  <c r="C266" i="39"/>
  <c r="C266" i="12"/>
  <c r="E266" i="12" s="1"/>
  <c r="C272" i="9"/>
  <c r="C266" i="33"/>
  <c r="E203" i="25"/>
  <c r="J204" i="49"/>
  <c r="C204" i="13"/>
  <c r="C204" i="39"/>
  <c r="C204" i="12"/>
  <c r="E204" i="12" s="1"/>
  <c r="C204" i="33"/>
  <c r="C210" i="9"/>
  <c r="E88" i="25"/>
  <c r="J89" i="49"/>
  <c r="C89" i="13"/>
  <c r="C89" i="39"/>
  <c r="C89" i="12"/>
  <c r="E89" i="12" s="1"/>
  <c r="C89" i="33"/>
  <c r="C95" i="9"/>
  <c r="AM172" i="42"/>
  <c r="AM159" i="42"/>
  <c r="J289" i="49"/>
  <c r="E288" i="25"/>
  <c r="C289" i="13"/>
  <c r="C289" i="39"/>
  <c r="C289" i="12"/>
  <c r="E289" i="12" s="1"/>
  <c r="C289" i="33"/>
  <c r="C295" i="9"/>
  <c r="E164" i="25"/>
  <c r="J165" i="49"/>
  <c r="C165" i="13"/>
  <c r="C165" i="39"/>
  <c r="C165" i="12"/>
  <c r="E165" i="12" s="1"/>
  <c r="C171" i="9"/>
  <c r="C165" i="33"/>
  <c r="C236" i="34"/>
  <c r="C230" i="11"/>
  <c r="E230" i="33"/>
  <c r="D230" i="37" s="1"/>
  <c r="C99" i="11"/>
  <c r="C105" i="34"/>
  <c r="E99" i="33"/>
  <c r="D99" i="37" s="1"/>
  <c r="E278" i="25"/>
  <c r="J279" i="49"/>
  <c r="C279" i="13"/>
  <c r="C279" i="39"/>
  <c r="C279" i="12"/>
  <c r="E279" i="12" s="1"/>
  <c r="C279" i="33"/>
  <c r="C285" i="9"/>
  <c r="C275" i="34"/>
  <c r="C269" i="11"/>
  <c r="E269" i="33"/>
  <c r="D269" i="37" s="1"/>
  <c r="C227" i="11"/>
  <c r="C233" i="34"/>
  <c r="E227" i="33"/>
  <c r="D227" i="37" s="1"/>
  <c r="C259" i="34"/>
  <c r="C253" i="11"/>
  <c r="E253" i="33"/>
  <c r="D253" i="37" s="1"/>
  <c r="C237" i="11"/>
  <c r="C243" i="34"/>
  <c r="E237" i="33"/>
  <c r="D237" i="37" s="1"/>
  <c r="C23" i="11"/>
  <c r="C29" i="34"/>
  <c r="E23" i="33"/>
  <c r="D23" i="37" s="1"/>
  <c r="C39" i="11"/>
  <c r="C45" i="34"/>
  <c r="E39" i="33"/>
  <c r="D39" i="37" s="1"/>
  <c r="C218" i="11"/>
  <c r="C224" i="34"/>
  <c r="E218" i="33"/>
  <c r="D218" i="37" s="1"/>
  <c r="C130" i="11"/>
  <c r="C136" i="34"/>
  <c r="E130" i="33"/>
  <c r="D130" i="37" s="1"/>
  <c r="C59" i="34"/>
  <c r="C53" i="11"/>
  <c r="E53" i="33"/>
  <c r="D53" i="37" s="1"/>
  <c r="C38" i="11"/>
  <c r="C44" i="34"/>
  <c r="E38" i="33"/>
  <c r="D38" i="37" s="1"/>
  <c r="E257" i="25"/>
  <c r="J258" i="49"/>
  <c r="C258" i="13"/>
  <c r="C258" i="39"/>
  <c r="C258" i="12"/>
  <c r="E258" i="12" s="1"/>
  <c r="C264" i="9"/>
  <c r="C258" i="33"/>
  <c r="C242" i="11"/>
  <c r="C248" i="34"/>
  <c r="E242" i="33"/>
  <c r="D242" i="37" s="1"/>
  <c r="C234" i="11"/>
  <c r="C240" i="34"/>
  <c r="E234" i="33"/>
  <c r="D234" i="37" s="1"/>
  <c r="C153" i="34"/>
  <c r="C147" i="11"/>
  <c r="E147" i="33"/>
  <c r="D147" i="37" s="1"/>
  <c r="C85" i="11"/>
  <c r="C91" i="34"/>
  <c r="E85" i="33"/>
  <c r="D85" i="37" s="1"/>
  <c r="C136" i="11"/>
  <c r="C142" i="34"/>
  <c r="E136" i="33"/>
  <c r="D136" i="37" s="1"/>
  <c r="C188" i="34"/>
  <c r="C182" i="11"/>
  <c r="E182" i="33"/>
  <c r="D182" i="37" s="1"/>
  <c r="E223" i="25"/>
  <c r="J224" i="49"/>
  <c r="C224" i="13"/>
  <c r="C224" i="39"/>
  <c r="C224" i="12"/>
  <c r="E224" i="12" s="1"/>
  <c r="C230" i="9"/>
  <c r="C224" i="33"/>
  <c r="C190" i="34"/>
  <c r="C184" i="11"/>
  <c r="E184" i="33"/>
  <c r="D184" i="37" s="1"/>
  <c r="C9" i="11"/>
  <c r="C15" i="34"/>
  <c r="E9" i="33"/>
  <c r="D9" i="37" s="1"/>
  <c r="C90" i="11"/>
  <c r="C96" i="34"/>
  <c r="E90" i="33"/>
  <c r="D90" i="37" s="1"/>
  <c r="C238" i="34"/>
  <c r="C232" i="11"/>
  <c r="E232" i="33"/>
  <c r="D232" i="37" s="1"/>
  <c r="C223" i="11"/>
  <c r="C229" i="34"/>
  <c r="E223" i="33"/>
  <c r="D223" i="37" s="1"/>
  <c r="C167" i="34"/>
  <c r="C161" i="11"/>
  <c r="E161" i="33"/>
  <c r="D161" i="37" s="1"/>
  <c r="C75" i="11"/>
  <c r="C81" i="34"/>
  <c r="E75" i="33"/>
  <c r="D75" i="37" s="1"/>
  <c r="C50" i="11"/>
  <c r="C56" i="34"/>
  <c r="E50" i="33"/>
  <c r="D50" i="37" s="1"/>
  <c r="C143" i="34"/>
  <c r="C137" i="11"/>
  <c r="E137" i="33"/>
  <c r="D137" i="37" s="1"/>
  <c r="C125" i="11"/>
  <c r="C131" i="34"/>
  <c r="E125" i="33"/>
  <c r="D125" i="37" s="1"/>
  <c r="E78" i="25"/>
  <c r="J79" i="49"/>
  <c r="C79" i="13"/>
  <c r="C79" i="39"/>
  <c r="C79" i="12"/>
  <c r="E79" i="12" s="1"/>
  <c r="C85" i="9"/>
  <c r="C79" i="33"/>
  <c r="C82" i="11"/>
  <c r="C88" i="34"/>
  <c r="E82" i="33"/>
  <c r="D82" i="37" s="1"/>
  <c r="C63" i="11"/>
  <c r="C69" i="34"/>
  <c r="E63" i="33"/>
  <c r="D63" i="37" s="1"/>
  <c r="C244" i="11"/>
  <c r="C250" i="34"/>
  <c r="E244" i="33"/>
  <c r="D244" i="37" s="1"/>
  <c r="C300" i="34"/>
  <c r="C294" i="11"/>
  <c r="E294" i="33"/>
  <c r="D294" i="37" s="1"/>
  <c r="C177" i="11"/>
  <c r="C183" i="34"/>
  <c r="E177" i="33"/>
  <c r="D177" i="37" s="1"/>
  <c r="C181" i="34"/>
  <c r="C175" i="11"/>
  <c r="E175" i="33"/>
  <c r="D175" i="37" s="1"/>
  <c r="AK79" i="42"/>
  <c r="J305" i="49"/>
  <c r="E304" i="25"/>
  <c r="C305" i="39"/>
  <c r="C305" i="13"/>
  <c r="C305" i="12"/>
  <c r="E305" i="12" s="1"/>
  <c r="C305" i="33"/>
  <c r="C311" i="9"/>
  <c r="E272" i="25"/>
  <c r="J273" i="49"/>
  <c r="C273" i="39"/>
  <c r="C273" i="13"/>
  <c r="C273" i="12"/>
  <c r="E273" i="12" s="1"/>
  <c r="C279" i="9"/>
  <c r="C273" i="33"/>
  <c r="E32" i="25"/>
  <c r="J33" i="49"/>
  <c r="C33" i="13"/>
  <c r="C33" i="39"/>
  <c r="C33" i="12"/>
  <c r="E33" i="12" s="1"/>
  <c r="C33" i="33"/>
  <c r="C39" i="9"/>
  <c r="E104" i="25"/>
  <c r="J105" i="49"/>
  <c r="C105" i="13"/>
  <c r="C105" i="39"/>
  <c r="C105" i="12"/>
  <c r="E105" i="12" s="1"/>
  <c r="C105" i="33"/>
  <c r="C111" i="9"/>
  <c r="E250" i="25"/>
  <c r="J251" i="49"/>
  <c r="C251" i="13"/>
  <c r="C251" i="39"/>
  <c r="C251" i="12"/>
  <c r="E251" i="12" s="1"/>
  <c r="C251" i="33"/>
  <c r="C257" i="9"/>
  <c r="AM304" i="42"/>
  <c r="E242" i="25"/>
  <c r="J243" i="49"/>
  <c r="C243" i="13"/>
  <c r="C243" i="39"/>
  <c r="C243" i="12"/>
  <c r="E243" i="12" s="1"/>
  <c r="C243" i="33"/>
  <c r="C249" i="9"/>
  <c r="AE201" i="42"/>
  <c r="E172" i="25"/>
  <c r="J173" i="49"/>
  <c r="C173" i="13"/>
  <c r="C173" i="39"/>
  <c r="C173" i="12"/>
  <c r="E173" i="12" s="1"/>
  <c r="C179" i="9"/>
  <c r="C173" i="33"/>
  <c r="E64" i="25"/>
  <c r="J65" i="49"/>
  <c r="C65" i="13"/>
  <c r="C65" i="39"/>
  <c r="C65" i="12"/>
  <c r="E65" i="12" s="1"/>
  <c r="C71" i="9"/>
  <c r="C65" i="33"/>
  <c r="AK172" i="42"/>
  <c r="AE159" i="42"/>
  <c r="E48" i="25"/>
  <c r="J49" i="49"/>
  <c r="C49" i="13"/>
  <c r="C49" i="39"/>
  <c r="C49" i="12"/>
  <c r="E49" i="12" s="1"/>
  <c r="C55" i="9"/>
  <c r="C49" i="33"/>
  <c r="E271" i="25"/>
  <c r="J272" i="49"/>
  <c r="C272" i="13"/>
  <c r="C272" i="12"/>
  <c r="E272" i="12" s="1"/>
  <c r="C272" i="39"/>
  <c r="C278" i="9"/>
  <c r="C272" i="33"/>
  <c r="C252" i="34"/>
  <c r="C246" i="11"/>
  <c r="E246" i="33"/>
  <c r="D246" i="37" s="1"/>
  <c r="C116" i="11"/>
  <c r="C122" i="34"/>
  <c r="E116" i="33"/>
  <c r="D116" i="37" s="1"/>
  <c r="C107" i="11"/>
  <c r="C113" i="34"/>
  <c r="E107" i="33"/>
  <c r="D107" i="37" s="1"/>
  <c r="E244" i="25"/>
  <c r="J245" i="49"/>
  <c r="C245" i="13"/>
  <c r="C245" i="39"/>
  <c r="C245" i="12"/>
  <c r="E245" i="12" s="1"/>
  <c r="C251" i="9"/>
  <c r="C245" i="33"/>
  <c r="C164" i="34"/>
  <c r="C158" i="11"/>
  <c r="E158" i="33"/>
  <c r="D158" i="37" s="1"/>
  <c r="C32" i="11"/>
  <c r="C38" i="34"/>
  <c r="E32" i="33"/>
  <c r="D32" i="37" s="1"/>
  <c r="E21" i="25"/>
  <c r="J22" i="49"/>
  <c r="C22" i="13"/>
  <c r="C22" i="39"/>
  <c r="C22" i="12"/>
  <c r="E22" i="12" s="1"/>
  <c r="C22" i="33"/>
  <c r="C28" i="9"/>
  <c r="C305" i="34"/>
  <c r="C299" i="11"/>
  <c r="E299" i="33"/>
  <c r="D299" i="37" s="1"/>
  <c r="E284" i="25"/>
  <c r="J285" i="49"/>
  <c r="C285" i="13"/>
  <c r="C285" i="39"/>
  <c r="C285" i="12"/>
  <c r="E285" i="12" s="1"/>
  <c r="C291" i="9"/>
  <c r="C285" i="33"/>
  <c r="AM285" i="42"/>
  <c r="AK285" i="42"/>
  <c r="AE285" i="42"/>
  <c r="AC285" i="42"/>
  <c r="E251" i="25"/>
  <c r="J252" i="49"/>
  <c r="C252" i="39"/>
  <c r="C252" i="13"/>
  <c r="C252" i="12"/>
  <c r="E252" i="12" s="1"/>
  <c r="C252" i="33"/>
  <c r="C258" i="9"/>
  <c r="C201" i="34"/>
  <c r="C195" i="11"/>
  <c r="E195" i="33"/>
  <c r="D195" i="37" s="1"/>
  <c r="C68" i="34"/>
  <c r="C62" i="11"/>
  <c r="E62" i="33"/>
  <c r="D62" i="37" s="1"/>
  <c r="C226" i="11"/>
  <c r="C232" i="34"/>
  <c r="E226" i="33"/>
  <c r="D226" i="37" s="1"/>
  <c r="C75" i="34"/>
  <c r="C69" i="11"/>
  <c r="E69" i="33"/>
  <c r="D69" i="37" s="1"/>
  <c r="C67" i="34"/>
  <c r="C61" i="11"/>
  <c r="E61" i="33"/>
  <c r="D61" i="37" s="1"/>
  <c r="C174" i="34"/>
  <c r="C168" i="11"/>
  <c r="E168" i="33"/>
  <c r="D168" i="37" s="1"/>
  <c r="C250" i="11"/>
  <c r="C256" i="34"/>
  <c r="E250" i="33"/>
  <c r="D250" i="37" s="1"/>
  <c r="C161" i="34"/>
  <c r="C155" i="11"/>
  <c r="E155" i="33"/>
  <c r="D155" i="37" s="1"/>
  <c r="C93" i="11"/>
  <c r="C99" i="34"/>
  <c r="E93" i="33"/>
  <c r="D93" i="37" s="1"/>
  <c r="C249" i="11"/>
  <c r="C255" i="34"/>
  <c r="E249" i="33"/>
  <c r="D249" i="37" s="1"/>
  <c r="C206" i="34"/>
  <c r="C200" i="11"/>
  <c r="E200" i="33"/>
  <c r="D200" i="37" s="1"/>
  <c r="C27" i="11"/>
  <c r="C33" i="34"/>
  <c r="E27" i="33"/>
  <c r="D27" i="37" s="1"/>
  <c r="C175" i="34"/>
  <c r="C169" i="11"/>
  <c r="E169" i="33"/>
  <c r="D169" i="37" s="1"/>
  <c r="C83" i="11"/>
  <c r="C89" i="34"/>
  <c r="E83" i="33"/>
  <c r="D83" i="37" s="1"/>
  <c r="C58" i="11"/>
  <c r="C64" i="34"/>
  <c r="E58" i="33"/>
  <c r="D58" i="37" s="1"/>
  <c r="J302" i="49"/>
  <c r="E301" i="25"/>
  <c r="C302" i="13"/>
  <c r="C302" i="39"/>
  <c r="C302" i="12"/>
  <c r="E302" i="12" s="1"/>
  <c r="C302" i="33"/>
  <c r="C308" i="9"/>
  <c r="C133" i="11"/>
  <c r="C139" i="34"/>
  <c r="E133" i="33"/>
  <c r="D133" i="37" s="1"/>
  <c r="C80" i="11"/>
  <c r="C86" i="34"/>
  <c r="E80" i="33"/>
  <c r="D80" i="37" s="1"/>
  <c r="C14" i="34"/>
  <c r="C8" i="11"/>
  <c r="E8" i="33"/>
  <c r="D8" i="37" s="1"/>
  <c r="E148" i="25"/>
  <c r="J149" i="49"/>
  <c r="C149" i="13"/>
  <c r="C149" i="39"/>
  <c r="C149" i="12"/>
  <c r="E149" i="12" s="1"/>
  <c r="C155" i="9"/>
  <c r="C149" i="33"/>
  <c r="AE304" i="42"/>
  <c r="AK201" i="42"/>
  <c r="E211" i="25"/>
  <c r="J212" i="49"/>
  <c r="C212" i="13"/>
  <c r="C212" i="39"/>
  <c r="C212" i="12"/>
  <c r="E212" i="12" s="1"/>
  <c r="C212" i="33"/>
  <c r="C218" i="9"/>
  <c r="E295" i="25"/>
  <c r="J296" i="49"/>
  <c r="C296" i="13"/>
  <c r="C296" i="39"/>
  <c r="C296" i="12"/>
  <c r="E296" i="12" s="1"/>
  <c r="C296" i="33"/>
  <c r="C302" i="9"/>
  <c r="E187" i="25"/>
  <c r="J188" i="49"/>
  <c r="C188" i="13"/>
  <c r="C188" i="39"/>
  <c r="C188" i="12"/>
  <c r="E188" i="12" s="1"/>
  <c r="C188" i="33"/>
  <c r="C194" i="9"/>
  <c r="E280" i="25"/>
  <c r="J281" i="49"/>
  <c r="C281" i="39"/>
  <c r="C281" i="13"/>
  <c r="C281" i="12"/>
  <c r="E281" i="12" s="1"/>
  <c r="C281" i="33"/>
  <c r="C287" i="9"/>
  <c r="AC172" i="42"/>
  <c r="AK159" i="42"/>
  <c r="C286" i="34"/>
  <c r="C280" i="11"/>
  <c r="E280" i="33"/>
  <c r="D280" i="37" s="1"/>
  <c r="C263" i="11"/>
  <c r="C269" i="34"/>
  <c r="E263" i="33"/>
  <c r="D263" i="37" s="1"/>
  <c r="C260" i="34"/>
  <c r="C254" i="11"/>
  <c r="E254" i="33"/>
  <c r="D254" i="37" s="1"/>
  <c r="E180" i="25"/>
  <c r="J181" i="49"/>
  <c r="C181" i="13"/>
  <c r="C181" i="39"/>
  <c r="C181" i="12"/>
  <c r="E181" i="12" s="1"/>
  <c r="C187" i="9"/>
  <c r="C181" i="33"/>
  <c r="C15" i="11"/>
  <c r="C21" i="34"/>
  <c r="E15" i="33"/>
  <c r="D15" i="37" s="1"/>
  <c r="C229" i="11"/>
  <c r="C235" i="34"/>
  <c r="E229" i="33"/>
  <c r="D229" i="37" s="1"/>
  <c r="C177" i="34"/>
  <c r="C171" i="11"/>
  <c r="E171" i="33"/>
  <c r="D171" i="37" s="1"/>
  <c r="C14" i="11"/>
  <c r="C20" i="34"/>
  <c r="E14" i="33"/>
  <c r="D14" i="37" s="1"/>
  <c r="E86" i="25"/>
  <c r="J87" i="49"/>
  <c r="C87" i="13"/>
  <c r="C87" i="39"/>
  <c r="C87" i="12"/>
  <c r="E87" i="12" s="1"/>
  <c r="C93" i="9"/>
  <c r="C87" i="33"/>
  <c r="C13" i="11"/>
  <c r="C19" i="34"/>
  <c r="E13" i="33"/>
  <c r="D13" i="37" s="1"/>
  <c r="C294" i="34"/>
  <c r="C288" i="11"/>
  <c r="E288" i="33"/>
  <c r="D288" i="37" s="1"/>
  <c r="C276" i="34"/>
  <c r="C270" i="11"/>
  <c r="E270" i="33"/>
  <c r="D270" i="37" s="1"/>
  <c r="C47" i="11"/>
  <c r="C53" i="34"/>
  <c r="E47" i="33"/>
  <c r="D47" i="37" s="1"/>
  <c r="C260" i="11"/>
  <c r="C266" i="34"/>
  <c r="E260" i="33"/>
  <c r="D260" i="37" s="1"/>
  <c r="C219" i="11"/>
  <c r="C225" i="34"/>
  <c r="E219" i="33"/>
  <c r="D219" i="37" s="1"/>
  <c r="E285" i="25"/>
  <c r="J286" i="49"/>
  <c r="C286" i="13"/>
  <c r="C286" i="39"/>
  <c r="C286" i="12"/>
  <c r="E286" i="12" s="1"/>
  <c r="C286" i="33"/>
  <c r="C292" i="9"/>
  <c r="C145" i="34"/>
  <c r="C139" i="11"/>
  <c r="E139" i="33"/>
  <c r="D139" i="37" s="1"/>
  <c r="C276" i="11"/>
  <c r="C282" i="34"/>
  <c r="E276" i="33"/>
  <c r="D276" i="37" s="1"/>
  <c r="C267" i="11"/>
  <c r="C273" i="34"/>
  <c r="E267" i="33"/>
  <c r="D267" i="37" s="1"/>
  <c r="C169" i="34"/>
  <c r="C163" i="11"/>
  <c r="E163" i="33"/>
  <c r="D163" i="37" s="1"/>
  <c r="C283" i="11"/>
  <c r="C289" i="34"/>
  <c r="E283" i="33"/>
  <c r="D283" i="37" s="1"/>
  <c r="C154" i="11"/>
  <c r="C160" i="34"/>
  <c r="E154" i="33"/>
  <c r="D154" i="37" s="1"/>
  <c r="C247" i="34"/>
  <c r="C241" i="11"/>
  <c r="E241" i="33"/>
  <c r="D241" i="37" s="1"/>
  <c r="C57" i="34"/>
  <c r="C51" i="11"/>
  <c r="E51" i="33"/>
  <c r="D51" i="37" s="1"/>
  <c r="C166" i="34"/>
  <c r="C160" i="11"/>
  <c r="E160" i="33"/>
  <c r="D160" i="37" s="1"/>
  <c r="C140" i="34"/>
  <c r="C134" i="11"/>
  <c r="E134" i="33"/>
  <c r="D134" i="37" s="1"/>
  <c r="E264" i="25"/>
  <c r="J265" i="49"/>
  <c r="C265" i="13"/>
  <c r="C265" i="39"/>
  <c r="C265" i="12"/>
  <c r="E265" i="12" s="1"/>
  <c r="C265" i="33"/>
  <c r="C271" i="9"/>
  <c r="C254" i="34"/>
  <c r="C248" i="11"/>
  <c r="E248" i="33"/>
  <c r="D248" i="37" s="1"/>
  <c r="C246" i="34"/>
  <c r="C240" i="11"/>
  <c r="E240" i="33"/>
  <c r="D240" i="37" s="1"/>
  <c r="C174" i="11"/>
  <c r="C180" i="34"/>
  <c r="E174" i="33"/>
  <c r="D174" i="37" s="1"/>
  <c r="C101" i="11"/>
  <c r="C107" i="34"/>
  <c r="E101" i="33"/>
  <c r="D101" i="37" s="1"/>
  <c r="C91" i="11"/>
  <c r="C97" i="34"/>
  <c r="E91" i="33"/>
  <c r="D91" i="37" s="1"/>
  <c r="D29" i="57"/>
  <c r="AE157" i="42"/>
  <c r="AM157" i="42"/>
  <c r="AK157" i="42"/>
  <c r="AC157" i="42"/>
  <c r="F306" i="49"/>
  <c r="AC296" i="42"/>
  <c r="AK296" i="42"/>
  <c r="AM296" i="42"/>
  <c r="AE296" i="42"/>
  <c r="AK142" i="42"/>
  <c r="AC142" i="42"/>
  <c r="AM142" i="42"/>
  <c r="AE142" i="42"/>
  <c r="AK196" i="42"/>
  <c r="AC196" i="42"/>
  <c r="AE196" i="42"/>
  <c r="AM196" i="42"/>
  <c r="G306" i="49"/>
  <c r="AK41" i="42"/>
  <c r="AM41" i="42"/>
  <c r="AE41" i="42"/>
  <c r="AC41" i="42"/>
  <c r="AC235" i="42"/>
  <c r="AK235" i="42"/>
  <c r="AM235" i="42"/>
  <c r="AE235" i="42"/>
  <c r="AK127" i="42"/>
  <c r="AE127" i="42"/>
  <c r="AM127" i="42"/>
  <c r="AC127" i="42"/>
  <c r="AK57" i="42"/>
  <c r="AC57" i="42"/>
  <c r="AE57" i="42"/>
  <c r="AM57" i="42"/>
  <c r="AE49" i="42"/>
  <c r="AM49" i="42"/>
  <c r="AK49" i="42"/>
  <c r="AC49" i="42"/>
  <c r="K309" i="36"/>
  <c r="AC33" i="42"/>
  <c r="AK33" i="42"/>
  <c r="AM33" i="42"/>
  <c r="AE33" i="42"/>
  <c r="AK281" i="42"/>
  <c r="AC281" i="42"/>
  <c r="AE281" i="42"/>
  <c r="AM281" i="42"/>
  <c r="F9" i="48"/>
  <c r="AE180" i="42"/>
  <c r="AK180" i="42"/>
  <c r="AC180" i="42"/>
  <c r="AM180" i="42"/>
  <c r="AK259" i="42"/>
  <c r="AC259" i="42"/>
  <c r="AE259" i="42"/>
  <c r="AM259" i="42"/>
  <c r="AK105" i="42"/>
  <c r="AC105" i="42"/>
  <c r="AE105" i="42"/>
  <c r="AM105" i="42"/>
  <c r="AE149" i="42"/>
  <c r="AM149" i="42"/>
  <c r="AC149" i="42"/>
  <c r="AK149" i="42"/>
  <c r="AK18" i="42"/>
  <c r="AE18" i="42"/>
  <c r="AM18" i="42"/>
  <c r="AC18" i="42"/>
  <c r="AK220" i="42"/>
  <c r="AC220" i="42"/>
  <c r="AE220" i="42"/>
  <c r="AM220" i="42"/>
  <c r="AE89" i="42"/>
  <c r="AC89" i="42"/>
  <c r="AM89" i="42"/>
  <c r="AK89" i="42"/>
  <c r="AK297" i="42"/>
  <c r="AC297" i="42"/>
  <c r="AE297" i="42"/>
  <c r="AM297" i="42"/>
  <c r="AK273" i="42"/>
  <c r="AC273" i="42"/>
  <c r="AE273" i="42"/>
  <c r="AM273" i="42"/>
  <c r="AE73" i="42"/>
  <c r="AM73" i="42"/>
  <c r="AK73" i="42"/>
  <c r="AC73" i="42"/>
  <c r="AK135" i="42"/>
  <c r="AE135" i="42"/>
  <c r="AM135" i="42"/>
  <c r="AC135" i="42"/>
  <c r="AM65" i="42"/>
  <c r="AE65" i="42"/>
  <c r="AK65" i="42"/>
  <c r="AC65" i="42"/>
  <c r="AE289" i="42"/>
  <c r="AK289" i="42"/>
  <c r="AC289" i="42"/>
  <c r="AM289" i="42"/>
  <c r="P306" i="19"/>
  <c r="AK10" i="42"/>
  <c r="AC10" i="42"/>
  <c r="AE10" i="42"/>
  <c r="AM10" i="42"/>
  <c r="F6" i="11"/>
  <c r="K6" i="11"/>
  <c r="AE188" i="42"/>
  <c r="AM188" i="42"/>
  <c r="AC188" i="42"/>
  <c r="AK188" i="42"/>
  <c r="AK165" i="42"/>
  <c r="AM165" i="42"/>
  <c r="AE165" i="42"/>
  <c r="AC165" i="42"/>
  <c r="AE7" i="42"/>
  <c r="AM7" i="42"/>
  <c r="AK7" i="42"/>
  <c r="AC7" i="42"/>
  <c r="R306" i="19"/>
  <c r="AC25" i="42"/>
  <c r="AM25" i="42"/>
  <c r="AE25" i="42"/>
  <c r="AK25" i="42"/>
  <c r="AK243" i="42"/>
  <c r="AE243" i="42"/>
  <c r="AM243" i="42"/>
  <c r="AC243" i="42"/>
  <c r="D6" i="37"/>
  <c r="AK204" i="42"/>
  <c r="AM204" i="42"/>
  <c r="AC204" i="42"/>
  <c r="AE204" i="42"/>
  <c r="AK81" i="42"/>
  <c r="AC81" i="42"/>
  <c r="AM81" i="42"/>
  <c r="AE81" i="42"/>
  <c r="AM305" i="42"/>
  <c r="AE305" i="42"/>
  <c r="AK305" i="42"/>
  <c r="AC305" i="42"/>
  <c r="AK251" i="42"/>
  <c r="AC251" i="42"/>
  <c r="AM251" i="42"/>
  <c r="AE251" i="42"/>
  <c r="AK97" i="42"/>
  <c r="AE97" i="42"/>
  <c r="AM97" i="42"/>
  <c r="AC97" i="42"/>
  <c r="AK266" i="42"/>
  <c r="AC266" i="42"/>
  <c r="AE266" i="42"/>
  <c r="AM266" i="42"/>
  <c r="AK212" i="42"/>
  <c r="AC212" i="42"/>
  <c r="AE212" i="42"/>
  <c r="AM212" i="42"/>
  <c r="AK302" i="42"/>
  <c r="AC302" i="42"/>
  <c r="AM302" i="42"/>
  <c r="AE302" i="42"/>
  <c r="AK173" i="42"/>
  <c r="AC173" i="42"/>
  <c r="AE173" i="42"/>
  <c r="AM173" i="42"/>
  <c r="C89" i="11" l="1"/>
  <c r="C95" i="34"/>
  <c r="E89" i="33"/>
  <c r="D89" i="37" s="1"/>
  <c r="K231" i="11"/>
  <c r="L231" i="11" s="1"/>
  <c r="F231" i="11"/>
  <c r="G231" i="11" s="1"/>
  <c r="K205" i="11"/>
  <c r="L205" i="11" s="1"/>
  <c r="F205" i="11"/>
  <c r="G205" i="11" s="1"/>
  <c r="K170" i="11"/>
  <c r="L170" i="11" s="1"/>
  <c r="F170" i="11"/>
  <c r="G170" i="11" s="1"/>
  <c r="K100" i="11"/>
  <c r="L100" i="11" s="1"/>
  <c r="F100" i="11"/>
  <c r="G100" i="11" s="1"/>
  <c r="F101" i="11"/>
  <c r="G101" i="11" s="1"/>
  <c r="K101" i="11"/>
  <c r="L101" i="11" s="1"/>
  <c r="K248" i="11"/>
  <c r="L248" i="11" s="1"/>
  <c r="F248" i="11"/>
  <c r="G248" i="11" s="1"/>
  <c r="F51" i="11"/>
  <c r="G51" i="11" s="1"/>
  <c r="K51" i="11"/>
  <c r="L51" i="11" s="1"/>
  <c r="F267" i="11"/>
  <c r="G267" i="11" s="1"/>
  <c r="K267" i="11"/>
  <c r="L267" i="11" s="1"/>
  <c r="C292" i="34"/>
  <c r="C286" i="11"/>
  <c r="E286" i="33"/>
  <c r="D286" i="37" s="1"/>
  <c r="K219" i="11"/>
  <c r="L219" i="11" s="1"/>
  <c r="F219" i="11"/>
  <c r="G219" i="11" s="1"/>
  <c r="K270" i="11"/>
  <c r="L270" i="11" s="1"/>
  <c r="F270" i="11"/>
  <c r="G270" i="11" s="1"/>
  <c r="C87" i="11"/>
  <c r="C93" i="34"/>
  <c r="E87" i="33"/>
  <c r="D87" i="37" s="1"/>
  <c r="F155" i="11"/>
  <c r="G155" i="11" s="1"/>
  <c r="K155" i="11"/>
  <c r="L155" i="11" s="1"/>
  <c r="F226" i="11"/>
  <c r="G226" i="11" s="1"/>
  <c r="K226" i="11"/>
  <c r="L226" i="11" s="1"/>
  <c r="C252" i="11"/>
  <c r="C258" i="34"/>
  <c r="E252" i="33"/>
  <c r="D252" i="37" s="1"/>
  <c r="C49" i="11"/>
  <c r="C55" i="34"/>
  <c r="E49" i="33"/>
  <c r="D49" i="37" s="1"/>
  <c r="C173" i="11"/>
  <c r="C179" i="34"/>
  <c r="E173" i="33"/>
  <c r="D173" i="37" s="1"/>
  <c r="C111" i="34"/>
  <c r="C105" i="11"/>
  <c r="E105" i="33"/>
  <c r="D105" i="37" s="1"/>
  <c r="K75" i="11"/>
  <c r="L75" i="11" s="1"/>
  <c r="F75" i="11"/>
  <c r="G75" i="11" s="1"/>
  <c r="F232" i="11"/>
  <c r="G232" i="11" s="1"/>
  <c r="K232" i="11"/>
  <c r="L232" i="11" s="1"/>
  <c r="F234" i="11"/>
  <c r="G234" i="11" s="1"/>
  <c r="K234" i="11"/>
  <c r="L234" i="11" s="1"/>
  <c r="K262" i="11"/>
  <c r="L262" i="11" s="1"/>
  <c r="F262" i="11"/>
  <c r="G262" i="11" s="1"/>
  <c r="C66" i="11"/>
  <c r="C72" i="34"/>
  <c r="E66" i="33"/>
  <c r="D66" i="37" s="1"/>
  <c r="K225" i="11"/>
  <c r="L225" i="11" s="1"/>
  <c r="F225" i="11"/>
  <c r="G225" i="11" s="1"/>
  <c r="K186" i="11"/>
  <c r="L186" i="11" s="1"/>
  <c r="F186" i="11"/>
  <c r="G186" i="11" s="1"/>
  <c r="C131" i="11"/>
  <c r="C137" i="34"/>
  <c r="E131" i="33"/>
  <c r="D131" i="37" s="1"/>
  <c r="F255" i="11"/>
  <c r="G255" i="11" s="1"/>
  <c r="K255" i="11"/>
  <c r="L255" i="11" s="1"/>
  <c r="K203" i="11"/>
  <c r="L203" i="11" s="1"/>
  <c r="F203" i="11"/>
  <c r="G203" i="11" s="1"/>
  <c r="C297" i="11"/>
  <c r="C303" i="34"/>
  <c r="E297" i="33"/>
  <c r="D297" i="37" s="1"/>
  <c r="K120" i="11"/>
  <c r="L120" i="11" s="1"/>
  <c r="F120" i="11"/>
  <c r="G120" i="11" s="1"/>
  <c r="F145" i="11"/>
  <c r="G145" i="11" s="1"/>
  <c r="K145" i="11"/>
  <c r="L145" i="11" s="1"/>
  <c r="C261" i="11"/>
  <c r="C267" i="34"/>
  <c r="E261" i="33"/>
  <c r="D261" i="37" s="1"/>
  <c r="F44" i="11"/>
  <c r="G44" i="11" s="1"/>
  <c r="K44" i="11"/>
  <c r="L44" i="11" s="1"/>
  <c r="C45" i="11"/>
  <c r="C51" i="34"/>
  <c r="E45" i="33"/>
  <c r="D45" i="37" s="1"/>
  <c r="C7" i="11"/>
  <c r="C13" i="34"/>
  <c r="E7" i="33"/>
  <c r="D7" i="37" s="1"/>
  <c r="K118" i="11"/>
  <c r="L118" i="11" s="1"/>
  <c r="F118" i="11"/>
  <c r="G118" i="11" s="1"/>
  <c r="F214" i="11"/>
  <c r="G214" i="11" s="1"/>
  <c r="K214" i="11"/>
  <c r="L214" i="11" s="1"/>
  <c r="F277" i="11"/>
  <c r="G277" i="11" s="1"/>
  <c r="K277" i="11"/>
  <c r="L277" i="11" s="1"/>
  <c r="K199" i="11"/>
  <c r="L199" i="11" s="1"/>
  <c r="F199" i="11"/>
  <c r="G199" i="11" s="1"/>
  <c r="F275" i="11"/>
  <c r="G275" i="11" s="1"/>
  <c r="K275" i="11"/>
  <c r="L275" i="11" s="1"/>
  <c r="C52" i="11"/>
  <c r="C58" i="34"/>
  <c r="E52" i="33"/>
  <c r="D52" i="37" s="1"/>
  <c r="F111" i="11"/>
  <c r="G111" i="11" s="1"/>
  <c r="K111" i="11"/>
  <c r="L111" i="11" s="1"/>
  <c r="K164" i="11"/>
  <c r="L164" i="11" s="1"/>
  <c r="F164" i="11"/>
  <c r="G164" i="11" s="1"/>
  <c r="K278" i="11"/>
  <c r="L278" i="11" s="1"/>
  <c r="F278" i="11"/>
  <c r="G278" i="11" s="1"/>
  <c r="F24" i="11"/>
  <c r="G24" i="11" s="1"/>
  <c r="K24" i="11"/>
  <c r="L24" i="11" s="1"/>
  <c r="K298" i="11"/>
  <c r="L298" i="11" s="1"/>
  <c r="F298" i="11"/>
  <c r="G298" i="11" s="1"/>
  <c r="K158" i="11"/>
  <c r="L158" i="11" s="1"/>
  <c r="F158" i="11"/>
  <c r="G158" i="11" s="1"/>
  <c r="K9" i="11"/>
  <c r="L9" i="11" s="1"/>
  <c r="F9" i="11"/>
  <c r="G9" i="11" s="1"/>
  <c r="F233" i="11"/>
  <c r="G233" i="11" s="1"/>
  <c r="K233" i="11"/>
  <c r="L233" i="11" s="1"/>
  <c r="K215" i="11"/>
  <c r="L215" i="11" s="1"/>
  <c r="F215" i="11"/>
  <c r="G215" i="11" s="1"/>
  <c r="F11" i="11"/>
  <c r="G11" i="11" s="1"/>
  <c r="K11" i="11"/>
  <c r="L11" i="11" s="1"/>
  <c r="C81" i="11"/>
  <c r="C87" i="34"/>
  <c r="E81" i="33"/>
  <c r="D81" i="37" s="1"/>
  <c r="F14" i="11"/>
  <c r="G14" i="11" s="1"/>
  <c r="K14" i="11"/>
  <c r="L14" i="11" s="1"/>
  <c r="K280" i="11"/>
  <c r="L280" i="11" s="1"/>
  <c r="F280" i="11"/>
  <c r="G280" i="11" s="1"/>
  <c r="F169" i="11"/>
  <c r="G169" i="11" s="1"/>
  <c r="K169" i="11"/>
  <c r="L169" i="11" s="1"/>
  <c r="F61" i="11"/>
  <c r="G61" i="11" s="1"/>
  <c r="K61" i="11"/>
  <c r="L61" i="11" s="1"/>
  <c r="C245" i="11"/>
  <c r="C251" i="34"/>
  <c r="E245" i="33"/>
  <c r="D245" i="37" s="1"/>
  <c r="C278" i="34"/>
  <c r="C272" i="11"/>
  <c r="E272" i="33"/>
  <c r="D272" i="37" s="1"/>
  <c r="C65" i="11"/>
  <c r="C71" i="34"/>
  <c r="E65" i="33"/>
  <c r="D65" i="37" s="1"/>
  <c r="C249" i="34"/>
  <c r="C243" i="11"/>
  <c r="E243" i="33"/>
  <c r="D243" i="37" s="1"/>
  <c r="C251" i="11"/>
  <c r="C257" i="34"/>
  <c r="E251" i="33"/>
  <c r="D251" i="37" s="1"/>
  <c r="F177" i="11"/>
  <c r="G177" i="11" s="1"/>
  <c r="K177" i="11"/>
  <c r="L177" i="11" s="1"/>
  <c r="F137" i="11"/>
  <c r="G137" i="11" s="1"/>
  <c r="K137" i="11"/>
  <c r="L137" i="11" s="1"/>
  <c r="K184" i="11"/>
  <c r="L184" i="11" s="1"/>
  <c r="F184" i="11"/>
  <c r="G184" i="11" s="1"/>
  <c r="K39" i="11"/>
  <c r="L39" i="11" s="1"/>
  <c r="F39" i="11"/>
  <c r="G39" i="11" s="1"/>
  <c r="F253" i="11"/>
  <c r="G253" i="11" s="1"/>
  <c r="K253" i="11"/>
  <c r="L253" i="11" s="1"/>
  <c r="F78" i="11"/>
  <c r="G78" i="11" s="1"/>
  <c r="K78" i="11"/>
  <c r="L78" i="11" s="1"/>
  <c r="C127" i="11"/>
  <c r="C133" i="34"/>
  <c r="E127" i="33"/>
  <c r="D127" i="37" s="1"/>
  <c r="K31" i="11"/>
  <c r="L31" i="11" s="1"/>
  <c r="F31" i="11"/>
  <c r="G31" i="11" s="1"/>
  <c r="K138" i="11"/>
  <c r="L138" i="11" s="1"/>
  <c r="F138" i="11"/>
  <c r="G138" i="11" s="1"/>
  <c r="K112" i="11"/>
  <c r="L112" i="11" s="1"/>
  <c r="F112" i="11"/>
  <c r="G112" i="11" s="1"/>
  <c r="F179" i="11"/>
  <c r="G179" i="11" s="1"/>
  <c r="K179" i="11"/>
  <c r="L179" i="11" s="1"/>
  <c r="K247" i="11"/>
  <c r="L247" i="11" s="1"/>
  <c r="F247" i="11"/>
  <c r="G247" i="11" s="1"/>
  <c r="F43" i="11"/>
  <c r="G43" i="11" s="1"/>
  <c r="K43" i="11"/>
  <c r="L43" i="11" s="1"/>
  <c r="K104" i="11"/>
  <c r="L104" i="11" s="1"/>
  <c r="F104" i="11"/>
  <c r="G104" i="11" s="1"/>
  <c r="C40" i="11"/>
  <c r="C46" i="34"/>
  <c r="E40" i="33"/>
  <c r="D40" i="37" s="1"/>
  <c r="F206" i="11"/>
  <c r="G206" i="11" s="1"/>
  <c r="K206" i="11"/>
  <c r="L206" i="11" s="1"/>
  <c r="F236" i="11"/>
  <c r="G236" i="11" s="1"/>
  <c r="K236" i="11"/>
  <c r="L236" i="11" s="1"/>
  <c r="F151" i="11"/>
  <c r="G151" i="11" s="1"/>
  <c r="K151" i="11"/>
  <c r="L151" i="11" s="1"/>
  <c r="F30" i="11"/>
  <c r="G30" i="11" s="1"/>
  <c r="K30" i="11"/>
  <c r="L30" i="11" s="1"/>
  <c r="F190" i="11"/>
  <c r="G190" i="11" s="1"/>
  <c r="K190" i="11"/>
  <c r="L190" i="11" s="1"/>
  <c r="F193" i="11"/>
  <c r="G193" i="11" s="1"/>
  <c r="K193" i="11"/>
  <c r="L193" i="11" s="1"/>
  <c r="K103" i="11"/>
  <c r="L103" i="11" s="1"/>
  <c r="F103" i="11"/>
  <c r="G103" i="11" s="1"/>
  <c r="C178" i="34"/>
  <c r="C172" i="11"/>
  <c r="E172" i="33"/>
  <c r="D172" i="37" s="1"/>
  <c r="F246" i="11"/>
  <c r="G246" i="11" s="1"/>
  <c r="K246" i="11"/>
  <c r="L246" i="11" s="1"/>
  <c r="C33" i="11"/>
  <c r="C39" i="34"/>
  <c r="E33" i="33"/>
  <c r="D33" i="37" s="1"/>
  <c r="F53" i="11"/>
  <c r="G53" i="11" s="1"/>
  <c r="K53" i="11"/>
  <c r="L53" i="11" s="1"/>
  <c r="C172" i="34"/>
  <c r="C166" i="11"/>
  <c r="E166" i="33"/>
  <c r="D166" i="37" s="1"/>
  <c r="F192" i="11"/>
  <c r="G192" i="11" s="1"/>
  <c r="K192" i="11"/>
  <c r="L192" i="11" s="1"/>
  <c r="K134" i="11"/>
  <c r="L134" i="11" s="1"/>
  <c r="F134" i="11"/>
  <c r="G134" i="11" s="1"/>
  <c r="F283" i="11"/>
  <c r="G283" i="11" s="1"/>
  <c r="K283" i="11"/>
  <c r="L283" i="11" s="1"/>
  <c r="F15" i="11"/>
  <c r="G15" i="11" s="1"/>
  <c r="K15" i="11"/>
  <c r="L15" i="11" s="1"/>
  <c r="K133" i="11"/>
  <c r="L133" i="11" s="1"/>
  <c r="F133" i="11"/>
  <c r="G133" i="11" s="1"/>
  <c r="F62" i="11"/>
  <c r="G62" i="11" s="1"/>
  <c r="K62" i="11"/>
  <c r="L62" i="11" s="1"/>
  <c r="C285" i="11"/>
  <c r="C291" i="34"/>
  <c r="E285" i="33"/>
  <c r="D285" i="37" s="1"/>
  <c r="F299" i="11"/>
  <c r="G299" i="11" s="1"/>
  <c r="K299" i="11"/>
  <c r="L299" i="11" s="1"/>
  <c r="F107" i="11"/>
  <c r="G107" i="11" s="1"/>
  <c r="K107" i="11"/>
  <c r="L107" i="11" s="1"/>
  <c r="F63" i="11"/>
  <c r="G63" i="11" s="1"/>
  <c r="K63" i="11"/>
  <c r="L63" i="11" s="1"/>
  <c r="F161" i="11"/>
  <c r="G161" i="11" s="1"/>
  <c r="K161" i="11"/>
  <c r="L161" i="11" s="1"/>
  <c r="K85" i="11"/>
  <c r="L85" i="11" s="1"/>
  <c r="F85" i="11"/>
  <c r="G85" i="11" s="1"/>
  <c r="C279" i="11"/>
  <c r="C285" i="34"/>
  <c r="E279" i="33"/>
  <c r="D279" i="37" s="1"/>
  <c r="F99" i="11"/>
  <c r="G99" i="11" s="1"/>
  <c r="K99" i="11"/>
  <c r="L99" i="11" s="1"/>
  <c r="C10" i="11"/>
  <c r="C16" i="34"/>
  <c r="E10" i="33"/>
  <c r="D10" i="37" s="1"/>
  <c r="C72" i="11"/>
  <c r="C78" i="34"/>
  <c r="E72" i="33"/>
  <c r="D72" i="37" s="1"/>
  <c r="K108" i="11"/>
  <c r="L108" i="11" s="1"/>
  <c r="F108" i="11"/>
  <c r="G108" i="11" s="1"/>
  <c r="K29" i="11"/>
  <c r="L29" i="11" s="1"/>
  <c r="F29" i="11"/>
  <c r="G29" i="11" s="1"/>
  <c r="F210" i="11"/>
  <c r="G210" i="11" s="1"/>
  <c r="K210" i="11"/>
  <c r="L210" i="11" s="1"/>
  <c r="K221" i="11"/>
  <c r="L221" i="11" s="1"/>
  <c r="F221" i="11"/>
  <c r="G221" i="11" s="1"/>
  <c r="C180" i="11"/>
  <c r="C186" i="34"/>
  <c r="E180" i="33"/>
  <c r="D180" i="37" s="1"/>
  <c r="C41" i="11"/>
  <c r="C47" i="34"/>
  <c r="E41" i="33"/>
  <c r="D41" i="37" s="1"/>
  <c r="C97" i="11"/>
  <c r="C103" i="34"/>
  <c r="E97" i="33"/>
  <c r="D97" i="37" s="1"/>
  <c r="F19" i="11"/>
  <c r="G19" i="11" s="1"/>
  <c r="K19" i="11"/>
  <c r="L19" i="11" s="1"/>
  <c r="F291" i="11"/>
  <c r="G291" i="11" s="1"/>
  <c r="K291" i="11"/>
  <c r="L291" i="11" s="1"/>
  <c r="F208" i="11"/>
  <c r="G208" i="11" s="1"/>
  <c r="K208" i="11"/>
  <c r="L208" i="11" s="1"/>
  <c r="F115" i="11"/>
  <c r="G115" i="11" s="1"/>
  <c r="K115" i="11"/>
  <c r="L115" i="11" s="1"/>
  <c r="F56" i="11"/>
  <c r="G56" i="11" s="1"/>
  <c r="K56" i="11"/>
  <c r="L56" i="11" s="1"/>
  <c r="F257" i="11"/>
  <c r="G257" i="11" s="1"/>
  <c r="K257" i="11"/>
  <c r="L257" i="11" s="1"/>
  <c r="K117" i="11"/>
  <c r="L117" i="11" s="1"/>
  <c r="F117" i="11"/>
  <c r="G117" i="11" s="1"/>
  <c r="K292" i="11"/>
  <c r="L292" i="11" s="1"/>
  <c r="F292" i="11"/>
  <c r="G292" i="11" s="1"/>
  <c r="K86" i="11"/>
  <c r="L86" i="11" s="1"/>
  <c r="F86" i="11"/>
  <c r="G86" i="11" s="1"/>
  <c r="K98" i="11"/>
  <c r="L98" i="11" s="1"/>
  <c r="F98" i="11"/>
  <c r="G98" i="11" s="1"/>
  <c r="K114" i="11"/>
  <c r="L114" i="11" s="1"/>
  <c r="F114" i="11"/>
  <c r="G114" i="11" s="1"/>
  <c r="C135" i="11"/>
  <c r="C141" i="34"/>
  <c r="E135" i="33"/>
  <c r="D135" i="37" s="1"/>
  <c r="C73" i="11"/>
  <c r="C79" i="34"/>
  <c r="E73" i="33"/>
  <c r="D73" i="37" s="1"/>
  <c r="K154" i="11"/>
  <c r="L154" i="11" s="1"/>
  <c r="F154" i="11"/>
  <c r="G154" i="11" s="1"/>
  <c r="F263" i="11"/>
  <c r="G263" i="11" s="1"/>
  <c r="K263" i="11"/>
  <c r="L263" i="11" s="1"/>
  <c r="F125" i="11"/>
  <c r="G125" i="11" s="1"/>
  <c r="K125" i="11"/>
  <c r="L125" i="11" s="1"/>
  <c r="F237" i="11"/>
  <c r="G237" i="11" s="1"/>
  <c r="K237" i="11"/>
  <c r="L237" i="11" s="1"/>
  <c r="F20" i="11"/>
  <c r="G20" i="11" s="1"/>
  <c r="K20" i="11"/>
  <c r="L20" i="11" s="1"/>
  <c r="K174" i="11"/>
  <c r="L174" i="11" s="1"/>
  <c r="F174" i="11"/>
  <c r="G174" i="11" s="1"/>
  <c r="C265" i="11"/>
  <c r="C271" i="34"/>
  <c r="E265" i="33"/>
  <c r="D265" i="37" s="1"/>
  <c r="F241" i="11"/>
  <c r="G241" i="11" s="1"/>
  <c r="K241" i="11"/>
  <c r="L241" i="11" s="1"/>
  <c r="K276" i="11"/>
  <c r="L276" i="11" s="1"/>
  <c r="F276" i="11"/>
  <c r="G276" i="11" s="1"/>
  <c r="K260" i="11"/>
  <c r="L260" i="11" s="1"/>
  <c r="F260" i="11"/>
  <c r="G260" i="11" s="1"/>
  <c r="K288" i="11"/>
  <c r="L288" i="11" s="1"/>
  <c r="F288" i="11"/>
  <c r="G288" i="11" s="1"/>
  <c r="F171" i="11"/>
  <c r="G171" i="11" s="1"/>
  <c r="K171" i="11"/>
  <c r="L171" i="11" s="1"/>
  <c r="C181" i="11"/>
  <c r="C187" i="34"/>
  <c r="E181" i="33"/>
  <c r="D181" i="37" s="1"/>
  <c r="K254" i="11"/>
  <c r="L254" i="11" s="1"/>
  <c r="F254" i="11"/>
  <c r="G254" i="11" s="1"/>
  <c r="C212" i="11"/>
  <c r="C218" i="34"/>
  <c r="E212" i="33"/>
  <c r="D212" i="37" s="1"/>
  <c r="C149" i="11"/>
  <c r="C155" i="34"/>
  <c r="E149" i="33"/>
  <c r="D149" i="37" s="1"/>
  <c r="F8" i="11"/>
  <c r="G8" i="11" s="1"/>
  <c r="K8" i="11"/>
  <c r="L8" i="11" s="1"/>
  <c r="F249" i="11"/>
  <c r="G249" i="11" s="1"/>
  <c r="K249" i="11"/>
  <c r="L249" i="11" s="1"/>
  <c r="K294" i="11"/>
  <c r="L294" i="11" s="1"/>
  <c r="F294" i="11"/>
  <c r="G294" i="11" s="1"/>
  <c r="C230" i="34"/>
  <c r="C224" i="11"/>
  <c r="E224" i="33"/>
  <c r="D224" i="37" s="1"/>
  <c r="K182" i="11"/>
  <c r="L182" i="11" s="1"/>
  <c r="F182" i="11"/>
  <c r="G182" i="11" s="1"/>
  <c r="F242" i="11"/>
  <c r="G242" i="11" s="1"/>
  <c r="K242" i="11"/>
  <c r="L242" i="11" s="1"/>
  <c r="K130" i="11"/>
  <c r="L130" i="11" s="1"/>
  <c r="F130" i="11"/>
  <c r="G130" i="11" s="1"/>
  <c r="C157" i="11"/>
  <c r="C163" i="34"/>
  <c r="E157" i="33"/>
  <c r="D157" i="37" s="1"/>
  <c r="C259" i="11"/>
  <c r="C265" i="34"/>
  <c r="E259" i="33"/>
  <c r="D259" i="37" s="1"/>
  <c r="F191" i="11"/>
  <c r="G191" i="11" s="1"/>
  <c r="K191" i="11"/>
  <c r="L191" i="11" s="1"/>
  <c r="F68" i="11"/>
  <c r="G68" i="11" s="1"/>
  <c r="K68" i="11"/>
  <c r="L68" i="11" s="1"/>
  <c r="K290" i="11"/>
  <c r="L290" i="11" s="1"/>
  <c r="F290" i="11"/>
  <c r="G290" i="11" s="1"/>
  <c r="C25" i="11"/>
  <c r="C31" i="34"/>
  <c r="E25" i="33"/>
  <c r="D25" i="37" s="1"/>
  <c r="K35" i="11"/>
  <c r="L35" i="11" s="1"/>
  <c r="F35" i="11"/>
  <c r="G35" i="11" s="1"/>
  <c r="K146" i="11"/>
  <c r="L146" i="11" s="1"/>
  <c r="F146" i="11"/>
  <c r="G146" i="11" s="1"/>
  <c r="F84" i="11"/>
  <c r="G84" i="11" s="1"/>
  <c r="K84" i="11"/>
  <c r="L84" i="11" s="1"/>
  <c r="F60" i="11"/>
  <c r="G60" i="11" s="1"/>
  <c r="K60" i="11"/>
  <c r="L60" i="11" s="1"/>
  <c r="K217" i="11"/>
  <c r="L217" i="11" s="1"/>
  <c r="F217" i="11"/>
  <c r="G217" i="11" s="1"/>
  <c r="K176" i="11"/>
  <c r="L176" i="11" s="1"/>
  <c r="F176" i="11"/>
  <c r="G176" i="11" s="1"/>
  <c r="K207" i="11"/>
  <c r="L207" i="11" s="1"/>
  <c r="F207" i="11"/>
  <c r="G207" i="11" s="1"/>
  <c r="K110" i="11"/>
  <c r="L110" i="11" s="1"/>
  <c r="F110" i="11"/>
  <c r="G110" i="11" s="1"/>
  <c r="K37" i="11"/>
  <c r="L37" i="11" s="1"/>
  <c r="F37" i="11"/>
  <c r="G37" i="11" s="1"/>
  <c r="K140" i="11"/>
  <c r="L140" i="11" s="1"/>
  <c r="F140" i="11"/>
  <c r="G140" i="11" s="1"/>
  <c r="C310" i="34"/>
  <c r="C304" i="11"/>
  <c r="E304" i="33"/>
  <c r="D304" i="37" s="1"/>
  <c r="K144" i="11"/>
  <c r="L144" i="11" s="1"/>
  <c r="F144" i="11"/>
  <c r="G144" i="11" s="1"/>
  <c r="F36" i="11"/>
  <c r="G36" i="11" s="1"/>
  <c r="K36" i="11"/>
  <c r="L36" i="11" s="1"/>
  <c r="F121" i="11"/>
  <c r="G121" i="11" s="1"/>
  <c r="K121" i="11"/>
  <c r="L121" i="11" s="1"/>
  <c r="F303" i="11"/>
  <c r="G303" i="11" s="1"/>
  <c r="K303" i="11"/>
  <c r="L303" i="11" s="1"/>
  <c r="F12" i="11"/>
  <c r="G12" i="11" s="1"/>
  <c r="K12" i="11"/>
  <c r="L12" i="11" s="1"/>
  <c r="F183" i="11"/>
  <c r="G183" i="11" s="1"/>
  <c r="K183" i="11"/>
  <c r="L183" i="11" s="1"/>
  <c r="F200" i="11"/>
  <c r="G200" i="11" s="1"/>
  <c r="K200" i="11"/>
  <c r="L200" i="11" s="1"/>
  <c r="F244" i="11"/>
  <c r="G244" i="11" s="1"/>
  <c r="K244" i="11"/>
  <c r="L244" i="11" s="1"/>
  <c r="F301" i="11"/>
  <c r="G301" i="11" s="1"/>
  <c r="K301" i="11"/>
  <c r="L301" i="11" s="1"/>
  <c r="K102" i="11"/>
  <c r="L102" i="11" s="1"/>
  <c r="F102" i="11"/>
  <c r="G102" i="11" s="1"/>
  <c r="F287" i="11"/>
  <c r="G287" i="11" s="1"/>
  <c r="K287" i="11"/>
  <c r="L287" i="11" s="1"/>
  <c r="C220" i="11"/>
  <c r="C226" i="34"/>
  <c r="E220" i="33"/>
  <c r="D220" i="37" s="1"/>
  <c r="F34" i="11"/>
  <c r="G34" i="11" s="1"/>
  <c r="K34" i="11"/>
  <c r="L34" i="11" s="1"/>
  <c r="K282" i="11"/>
  <c r="L282" i="11" s="1"/>
  <c r="F282" i="11"/>
  <c r="G282" i="11" s="1"/>
  <c r="F293" i="11"/>
  <c r="G293" i="11" s="1"/>
  <c r="K293" i="11"/>
  <c r="L293" i="11" s="1"/>
  <c r="K163" i="11"/>
  <c r="L163" i="11" s="1"/>
  <c r="F163" i="11"/>
  <c r="G163" i="11" s="1"/>
  <c r="C302" i="34"/>
  <c r="C296" i="11"/>
  <c r="E296" i="33"/>
  <c r="D296" i="37" s="1"/>
  <c r="C308" i="34"/>
  <c r="C302" i="11"/>
  <c r="E302" i="33"/>
  <c r="D302" i="37" s="1"/>
  <c r="F58" i="11"/>
  <c r="G58" i="11" s="1"/>
  <c r="K58" i="11"/>
  <c r="L58" i="11" s="1"/>
  <c r="K250" i="11"/>
  <c r="L250" i="11" s="1"/>
  <c r="F250" i="11"/>
  <c r="G250" i="11" s="1"/>
  <c r="F69" i="11"/>
  <c r="G69" i="11" s="1"/>
  <c r="K69" i="11"/>
  <c r="L69" i="11" s="1"/>
  <c r="K90" i="11"/>
  <c r="L90" i="11" s="1"/>
  <c r="F90" i="11"/>
  <c r="G90" i="11" s="1"/>
  <c r="F147" i="11"/>
  <c r="G147" i="11" s="1"/>
  <c r="K147" i="11"/>
  <c r="L147" i="11" s="1"/>
  <c r="C258" i="11"/>
  <c r="C264" i="34"/>
  <c r="E258" i="33"/>
  <c r="D258" i="37" s="1"/>
  <c r="K23" i="11"/>
  <c r="L23" i="11" s="1"/>
  <c r="F23" i="11"/>
  <c r="G23" i="11" s="1"/>
  <c r="F230" i="11"/>
  <c r="G230" i="11" s="1"/>
  <c r="K230" i="11"/>
  <c r="L230" i="11" s="1"/>
  <c r="C266" i="11"/>
  <c r="C272" i="34"/>
  <c r="E266" i="33"/>
  <c r="D266" i="37" s="1"/>
  <c r="K156" i="11"/>
  <c r="L156" i="11" s="1"/>
  <c r="F156" i="11"/>
  <c r="G156" i="11" s="1"/>
  <c r="F198" i="11"/>
  <c r="G198" i="11" s="1"/>
  <c r="K198" i="11"/>
  <c r="L198" i="11" s="1"/>
  <c r="C100" i="34"/>
  <c r="C94" i="11"/>
  <c r="E94" i="33"/>
  <c r="D94" i="37" s="1"/>
  <c r="K162" i="11"/>
  <c r="L162" i="11" s="1"/>
  <c r="F162" i="11"/>
  <c r="G162" i="11" s="1"/>
  <c r="F119" i="11"/>
  <c r="G119" i="11" s="1"/>
  <c r="K119" i="11"/>
  <c r="L119" i="11" s="1"/>
  <c r="K74" i="11"/>
  <c r="L74" i="11" s="1"/>
  <c r="F74" i="11"/>
  <c r="G74" i="11" s="1"/>
  <c r="F141" i="11"/>
  <c r="G141" i="11" s="1"/>
  <c r="K141" i="11"/>
  <c r="L141" i="11" s="1"/>
  <c r="C238" i="11"/>
  <c r="C244" i="34"/>
  <c r="E238" i="33"/>
  <c r="D238" i="37" s="1"/>
  <c r="F153" i="11"/>
  <c r="G153" i="11" s="1"/>
  <c r="K153" i="11"/>
  <c r="L153" i="11" s="1"/>
  <c r="F202" i="11"/>
  <c r="G202" i="11" s="1"/>
  <c r="K202" i="11"/>
  <c r="L202" i="11" s="1"/>
  <c r="F132" i="11"/>
  <c r="G132" i="11" s="1"/>
  <c r="K132" i="11"/>
  <c r="L132" i="11" s="1"/>
  <c r="C65" i="34"/>
  <c r="C59" i="11"/>
  <c r="E59" i="33"/>
  <c r="D59" i="37" s="1"/>
  <c r="K178" i="11"/>
  <c r="L178" i="11" s="1"/>
  <c r="F178" i="11"/>
  <c r="G178" i="11" s="1"/>
  <c r="F295" i="11"/>
  <c r="G295" i="11" s="1"/>
  <c r="K295" i="11"/>
  <c r="L295" i="11" s="1"/>
  <c r="K239" i="11"/>
  <c r="L239" i="11" s="1"/>
  <c r="F239" i="11"/>
  <c r="G239" i="11" s="1"/>
  <c r="K152" i="11"/>
  <c r="L152" i="11" s="1"/>
  <c r="F152" i="11"/>
  <c r="G152" i="11" s="1"/>
  <c r="K197" i="11"/>
  <c r="L197" i="11" s="1"/>
  <c r="F197" i="11"/>
  <c r="G197" i="11" s="1"/>
  <c r="F189" i="11"/>
  <c r="G189" i="11" s="1"/>
  <c r="K189" i="11"/>
  <c r="L189" i="11" s="1"/>
  <c r="K274" i="11"/>
  <c r="L274" i="11" s="1"/>
  <c r="F274" i="11"/>
  <c r="G274" i="11" s="1"/>
  <c r="K284" i="11"/>
  <c r="L284" i="11" s="1"/>
  <c r="F284" i="11"/>
  <c r="G284" i="11" s="1"/>
  <c r="K123" i="11"/>
  <c r="L123" i="11" s="1"/>
  <c r="F123" i="11"/>
  <c r="G123" i="11" s="1"/>
  <c r="C57" i="11"/>
  <c r="C63" i="34"/>
  <c r="E57" i="33"/>
  <c r="D57" i="37" s="1"/>
  <c r="K148" i="11"/>
  <c r="L148" i="11" s="1"/>
  <c r="F148" i="11"/>
  <c r="G148" i="11" s="1"/>
  <c r="F13" i="11"/>
  <c r="G13" i="11" s="1"/>
  <c r="K13" i="11"/>
  <c r="L13" i="11" s="1"/>
  <c r="F83" i="11"/>
  <c r="G83" i="11" s="1"/>
  <c r="K83" i="11"/>
  <c r="L83" i="11" s="1"/>
  <c r="K136" i="11"/>
  <c r="L136" i="11" s="1"/>
  <c r="F136" i="11"/>
  <c r="G136" i="11" s="1"/>
  <c r="F269" i="11"/>
  <c r="G269" i="11" s="1"/>
  <c r="K269" i="11"/>
  <c r="L269" i="11" s="1"/>
  <c r="K124" i="11"/>
  <c r="L124" i="11" s="1"/>
  <c r="F124" i="11"/>
  <c r="G124" i="11" s="1"/>
  <c r="F240" i="11"/>
  <c r="G240" i="11" s="1"/>
  <c r="K240" i="11"/>
  <c r="L240" i="11" s="1"/>
  <c r="K160" i="11"/>
  <c r="L160" i="11" s="1"/>
  <c r="F160" i="11"/>
  <c r="G160" i="11" s="1"/>
  <c r="F139" i="11"/>
  <c r="G139" i="11" s="1"/>
  <c r="K139" i="11"/>
  <c r="L139" i="11" s="1"/>
  <c r="K27" i="11"/>
  <c r="L27" i="11" s="1"/>
  <c r="F27" i="11"/>
  <c r="G27" i="11" s="1"/>
  <c r="K195" i="11"/>
  <c r="L195" i="11" s="1"/>
  <c r="F195" i="11"/>
  <c r="G195" i="11" s="1"/>
  <c r="C28" i="34"/>
  <c r="C22" i="11"/>
  <c r="E22" i="33"/>
  <c r="D22" i="37" s="1"/>
  <c r="F32" i="11"/>
  <c r="G32" i="11" s="1"/>
  <c r="K32" i="11"/>
  <c r="L32" i="11" s="1"/>
  <c r="K116" i="11"/>
  <c r="L116" i="11" s="1"/>
  <c r="F116" i="11"/>
  <c r="G116" i="11" s="1"/>
  <c r="C273" i="11"/>
  <c r="C279" i="34"/>
  <c r="E273" i="33"/>
  <c r="D273" i="37" s="1"/>
  <c r="C311" i="34"/>
  <c r="C305" i="11"/>
  <c r="E305" i="33"/>
  <c r="D305" i="37" s="1"/>
  <c r="F175" i="11"/>
  <c r="G175" i="11" s="1"/>
  <c r="K175" i="11"/>
  <c r="L175" i="11" s="1"/>
  <c r="F82" i="11"/>
  <c r="G82" i="11" s="1"/>
  <c r="K82" i="11"/>
  <c r="L82" i="11" s="1"/>
  <c r="F50" i="11"/>
  <c r="G50" i="11" s="1"/>
  <c r="K50" i="11"/>
  <c r="L50" i="11" s="1"/>
  <c r="F38" i="11"/>
  <c r="G38" i="11" s="1"/>
  <c r="K38" i="11"/>
  <c r="L38" i="11" s="1"/>
  <c r="K227" i="11"/>
  <c r="L227" i="11" s="1"/>
  <c r="F227" i="11"/>
  <c r="G227" i="11" s="1"/>
  <c r="C18" i="11"/>
  <c r="C24" i="34"/>
  <c r="E18" i="33"/>
  <c r="D18" i="37" s="1"/>
  <c r="K122" i="11"/>
  <c r="L122" i="11" s="1"/>
  <c r="F122" i="11"/>
  <c r="G122" i="11" s="1"/>
  <c r="K150" i="11"/>
  <c r="L150" i="11" s="1"/>
  <c r="F150" i="11"/>
  <c r="G150" i="11" s="1"/>
  <c r="K268" i="11"/>
  <c r="L268" i="11" s="1"/>
  <c r="F268" i="11"/>
  <c r="G268" i="11" s="1"/>
  <c r="K300" i="11"/>
  <c r="L300" i="11" s="1"/>
  <c r="F300" i="11"/>
  <c r="G300" i="11" s="1"/>
  <c r="F216" i="11"/>
  <c r="G216" i="11" s="1"/>
  <c r="K216" i="11"/>
  <c r="L216" i="11" s="1"/>
  <c r="F129" i="11"/>
  <c r="G129" i="11" s="1"/>
  <c r="K129" i="11"/>
  <c r="L129" i="11" s="1"/>
  <c r="K106" i="11"/>
  <c r="L106" i="11" s="1"/>
  <c r="F106" i="11"/>
  <c r="G106" i="11" s="1"/>
  <c r="F26" i="11"/>
  <c r="G26" i="11" s="1"/>
  <c r="K26" i="11"/>
  <c r="L26" i="11" s="1"/>
  <c r="F222" i="11"/>
  <c r="G222" i="11" s="1"/>
  <c r="K222" i="11"/>
  <c r="L222" i="11" s="1"/>
  <c r="F76" i="11"/>
  <c r="G76" i="11" s="1"/>
  <c r="K76" i="11"/>
  <c r="L76" i="11" s="1"/>
  <c r="C194" i="11"/>
  <c r="C200" i="34"/>
  <c r="E194" i="33"/>
  <c r="D194" i="37" s="1"/>
  <c r="F48" i="11"/>
  <c r="G48" i="11" s="1"/>
  <c r="K48" i="11"/>
  <c r="L48" i="11" s="1"/>
  <c r="C271" i="11"/>
  <c r="C277" i="34"/>
  <c r="E271" i="33"/>
  <c r="D271" i="37" s="1"/>
  <c r="C235" i="11"/>
  <c r="C241" i="34"/>
  <c r="E235" i="33"/>
  <c r="D235" i="37" s="1"/>
  <c r="F54" i="11"/>
  <c r="G54" i="11" s="1"/>
  <c r="K54" i="11"/>
  <c r="L54" i="11" s="1"/>
  <c r="K92" i="11"/>
  <c r="L92" i="11" s="1"/>
  <c r="F92" i="11"/>
  <c r="G92" i="11" s="1"/>
  <c r="K96" i="11"/>
  <c r="L96" i="11" s="1"/>
  <c r="F96" i="11"/>
  <c r="G96" i="11" s="1"/>
  <c r="K126" i="11"/>
  <c r="L126" i="11" s="1"/>
  <c r="F126" i="11"/>
  <c r="G126" i="11" s="1"/>
  <c r="K88" i="11"/>
  <c r="L88" i="11" s="1"/>
  <c r="F88" i="11"/>
  <c r="G88" i="11" s="1"/>
  <c r="K256" i="11"/>
  <c r="L256" i="11" s="1"/>
  <c r="F256" i="11"/>
  <c r="G256" i="11" s="1"/>
  <c r="F229" i="11"/>
  <c r="G229" i="11" s="1"/>
  <c r="K229" i="11"/>
  <c r="L229" i="11" s="1"/>
  <c r="F80" i="11"/>
  <c r="G80" i="11" s="1"/>
  <c r="K80" i="11"/>
  <c r="L80" i="11" s="1"/>
  <c r="K264" i="11"/>
  <c r="L264" i="11" s="1"/>
  <c r="F264" i="11"/>
  <c r="G264" i="11" s="1"/>
  <c r="C159" i="11"/>
  <c r="C165" i="34"/>
  <c r="E159" i="33"/>
  <c r="D159" i="37" s="1"/>
  <c r="F70" i="11"/>
  <c r="G70" i="11" s="1"/>
  <c r="K70" i="11"/>
  <c r="L70" i="11" s="1"/>
  <c r="K91" i="11"/>
  <c r="L91" i="11" s="1"/>
  <c r="F91" i="11"/>
  <c r="G91" i="11" s="1"/>
  <c r="C188" i="11"/>
  <c r="C194" i="34"/>
  <c r="E188" i="33"/>
  <c r="D188" i="37" s="1"/>
  <c r="F47" i="11"/>
  <c r="G47" i="11" s="1"/>
  <c r="K47" i="11"/>
  <c r="L47" i="11" s="1"/>
  <c r="C281" i="11"/>
  <c r="C287" i="34"/>
  <c r="E281" i="33"/>
  <c r="D281" i="37" s="1"/>
  <c r="K93" i="11"/>
  <c r="L93" i="11" s="1"/>
  <c r="F93" i="11"/>
  <c r="G93" i="11" s="1"/>
  <c r="K168" i="11"/>
  <c r="L168" i="11" s="1"/>
  <c r="F168" i="11"/>
  <c r="G168" i="11" s="1"/>
  <c r="C85" i="34"/>
  <c r="C79" i="11"/>
  <c r="E79" i="33"/>
  <c r="D79" i="37" s="1"/>
  <c r="K223" i="11"/>
  <c r="L223" i="11" s="1"/>
  <c r="F223" i="11"/>
  <c r="G223" i="11" s="1"/>
  <c r="F218" i="11"/>
  <c r="G218" i="11" s="1"/>
  <c r="K218" i="11"/>
  <c r="L218" i="11" s="1"/>
  <c r="C165" i="11"/>
  <c r="C171" i="34"/>
  <c r="E165" i="33"/>
  <c r="D165" i="37" s="1"/>
  <c r="C289" i="11"/>
  <c r="C295" i="34"/>
  <c r="E289" i="33"/>
  <c r="D289" i="37" s="1"/>
  <c r="C204" i="11"/>
  <c r="C210" i="34"/>
  <c r="E204" i="33"/>
  <c r="D204" i="37" s="1"/>
  <c r="F95" i="11"/>
  <c r="G95" i="11" s="1"/>
  <c r="K95" i="11"/>
  <c r="L95" i="11" s="1"/>
  <c r="C193" i="34"/>
  <c r="C187" i="11"/>
  <c r="E187" i="33"/>
  <c r="D187" i="37" s="1"/>
  <c r="F71" i="11"/>
  <c r="G71" i="11" s="1"/>
  <c r="K71" i="11"/>
  <c r="L71" i="11" s="1"/>
  <c r="K77" i="11"/>
  <c r="L77" i="11" s="1"/>
  <c r="F77" i="11"/>
  <c r="G77" i="11" s="1"/>
  <c r="F228" i="11"/>
  <c r="G228" i="11" s="1"/>
  <c r="K228" i="11"/>
  <c r="L228" i="11" s="1"/>
  <c r="F64" i="11"/>
  <c r="G64" i="11" s="1"/>
  <c r="K64" i="11"/>
  <c r="L64" i="11" s="1"/>
  <c r="F42" i="11"/>
  <c r="G42" i="11" s="1"/>
  <c r="K42" i="11"/>
  <c r="L42" i="11" s="1"/>
  <c r="K213" i="11"/>
  <c r="L213" i="11" s="1"/>
  <c r="F213" i="11"/>
  <c r="G213" i="11" s="1"/>
  <c r="C196" i="11"/>
  <c r="C202" i="34"/>
  <c r="E196" i="33"/>
  <c r="D196" i="37" s="1"/>
  <c r="F67" i="11"/>
  <c r="G67" i="11" s="1"/>
  <c r="K67" i="11"/>
  <c r="L67" i="11" s="1"/>
  <c r="C207" i="34"/>
  <c r="C201" i="11"/>
  <c r="E201" i="33"/>
  <c r="D201" i="37" s="1"/>
  <c r="F55" i="11"/>
  <c r="G55" i="11" s="1"/>
  <c r="K55" i="11"/>
  <c r="L55" i="11" s="1"/>
  <c r="K128" i="11"/>
  <c r="L128" i="11" s="1"/>
  <c r="F128" i="11"/>
  <c r="G128" i="11" s="1"/>
  <c r="F16" i="11"/>
  <c r="G16" i="11" s="1"/>
  <c r="K16" i="11"/>
  <c r="L16" i="11" s="1"/>
  <c r="K209" i="11"/>
  <c r="L209" i="11" s="1"/>
  <c r="F209" i="11"/>
  <c r="G209" i="11" s="1"/>
  <c r="K211" i="11"/>
  <c r="L211" i="11" s="1"/>
  <c r="F211" i="11"/>
  <c r="G211" i="11" s="1"/>
  <c r="F109" i="11"/>
  <c r="G109" i="11" s="1"/>
  <c r="K109" i="11"/>
  <c r="L109" i="11" s="1"/>
  <c r="C148" i="34"/>
  <c r="C142" i="11"/>
  <c r="E142" i="33"/>
  <c r="D142" i="37" s="1"/>
  <c r="K17" i="11"/>
  <c r="L17" i="11" s="1"/>
  <c r="F17" i="11"/>
  <c r="G17" i="11" s="1"/>
  <c r="F28" i="11"/>
  <c r="G28" i="11" s="1"/>
  <c r="K28" i="11"/>
  <c r="L28" i="11" s="1"/>
  <c r="F185" i="11"/>
  <c r="G185" i="11" s="1"/>
  <c r="K185" i="11"/>
  <c r="L185" i="11" s="1"/>
  <c r="F46" i="11"/>
  <c r="G46" i="11" s="1"/>
  <c r="K46" i="11"/>
  <c r="L46" i="11" s="1"/>
  <c r="F167" i="11"/>
  <c r="G167" i="11" s="1"/>
  <c r="K167" i="11"/>
  <c r="L167" i="11" s="1"/>
  <c r="H11" i="49"/>
  <c r="I11" i="49" s="1"/>
  <c r="H19" i="49"/>
  <c r="I19" i="49" s="1"/>
  <c r="H27" i="49"/>
  <c r="I27" i="49" s="1"/>
  <c r="H35" i="49"/>
  <c r="I35" i="49" s="1"/>
  <c r="H43" i="49"/>
  <c r="I43" i="49" s="1"/>
  <c r="H51" i="49"/>
  <c r="I51" i="49" s="1"/>
  <c r="H59" i="49"/>
  <c r="I59" i="49" s="1"/>
  <c r="H67" i="49"/>
  <c r="I67" i="49" s="1"/>
  <c r="H75" i="49"/>
  <c r="I75" i="49" s="1"/>
  <c r="H83" i="49"/>
  <c r="I83" i="49" s="1"/>
  <c r="H91" i="49"/>
  <c r="I91" i="49" s="1"/>
  <c r="H99" i="49"/>
  <c r="I99" i="49" s="1"/>
  <c r="H107" i="49"/>
  <c r="I107" i="49" s="1"/>
  <c r="H115" i="49"/>
  <c r="H123" i="49"/>
  <c r="H131" i="49"/>
  <c r="I131" i="49" s="1"/>
  <c r="H139" i="49"/>
  <c r="I139" i="49" s="1"/>
  <c r="H12" i="49"/>
  <c r="I12" i="49" s="1"/>
  <c r="H20" i="49"/>
  <c r="I20" i="49" s="1"/>
  <c r="H28" i="49"/>
  <c r="I28" i="49" s="1"/>
  <c r="H36" i="49"/>
  <c r="I36" i="49" s="1"/>
  <c r="H44" i="49"/>
  <c r="I44" i="49" s="1"/>
  <c r="H52" i="49"/>
  <c r="I52" i="49" s="1"/>
  <c r="H60" i="49"/>
  <c r="I60" i="49" s="1"/>
  <c r="H68" i="49"/>
  <c r="I68" i="49" s="1"/>
  <c r="H76" i="49"/>
  <c r="I76" i="49" s="1"/>
  <c r="H84" i="49"/>
  <c r="I84" i="49" s="1"/>
  <c r="H92" i="49"/>
  <c r="I92" i="49" s="1"/>
  <c r="H100" i="49"/>
  <c r="I100" i="49" s="1"/>
  <c r="H108" i="49"/>
  <c r="H116" i="49"/>
  <c r="H124" i="49"/>
  <c r="H132" i="49"/>
  <c r="I132" i="49" s="1"/>
  <c r="H140" i="49"/>
  <c r="I140" i="49" s="1"/>
  <c r="H13" i="49"/>
  <c r="I13" i="49" s="1"/>
  <c r="H21" i="49"/>
  <c r="I21" i="49" s="1"/>
  <c r="H29" i="49"/>
  <c r="I29" i="49" s="1"/>
  <c r="H37" i="49"/>
  <c r="I37" i="49" s="1"/>
  <c r="H45" i="49"/>
  <c r="I45" i="49" s="1"/>
  <c r="H53" i="49"/>
  <c r="I53" i="49" s="1"/>
  <c r="H61" i="49"/>
  <c r="I61" i="49" s="1"/>
  <c r="H69" i="49"/>
  <c r="I69" i="49" s="1"/>
  <c r="H77" i="49"/>
  <c r="I77" i="49" s="1"/>
  <c r="H85" i="49"/>
  <c r="I85" i="49" s="1"/>
  <c r="H93" i="49"/>
  <c r="I93" i="49" s="1"/>
  <c r="H101" i="49"/>
  <c r="I101" i="49" s="1"/>
  <c r="H109" i="49"/>
  <c r="I109" i="49" s="1"/>
  <c r="H117" i="49"/>
  <c r="I117" i="49" s="1"/>
  <c r="H125" i="49"/>
  <c r="H133" i="49"/>
  <c r="I133" i="49" s="1"/>
  <c r="H141" i="49"/>
  <c r="I141" i="49" s="1"/>
  <c r="H14" i="49"/>
  <c r="H22" i="49"/>
  <c r="I22" i="49" s="1"/>
  <c r="H30" i="49"/>
  <c r="I30" i="49" s="1"/>
  <c r="H38" i="49"/>
  <c r="I38" i="49" s="1"/>
  <c r="H46" i="49"/>
  <c r="I46" i="49" s="1"/>
  <c r="H54" i="49"/>
  <c r="I54" i="49" s="1"/>
  <c r="H62" i="49"/>
  <c r="I62" i="49" s="1"/>
  <c r="H70" i="49"/>
  <c r="I70" i="49" s="1"/>
  <c r="H78" i="49"/>
  <c r="I78" i="49" s="1"/>
  <c r="H86" i="49"/>
  <c r="I86" i="49" s="1"/>
  <c r="H94" i="49"/>
  <c r="I94" i="49" s="1"/>
  <c r="H102" i="49"/>
  <c r="I102" i="49" s="1"/>
  <c r="H110" i="49"/>
  <c r="I110" i="49" s="1"/>
  <c r="H118" i="49"/>
  <c r="H126" i="49"/>
  <c r="I126" i="49" s="1"/>
  <c r="H134" i="49"/>
  <c r="I134" i="49" s="1"/>
  <c r="H7" i="49"/>
  <c r="H15" i="49"/>
  <c r="I15" i="49" s="1"/>
  <c r="H23" i="49"/>
  <c r="I23" i="49" s="1"/>
  <c r="H31" i="49"/>
  <c r="I31" i="49" s="1"/>
  <c r="H39" i="49"/>
  <c r="I39" i="49" s="1"/>
  <c r="H47" i="49"/>
  <c r="I47" i="49" s="1"/>
  <c r="H55" i="49"/>
  <c r="I55" i="49" s="1"/>
  <c r="H63" i="49"/>
  <c r="I63" i="49" s="1"/>
  <c r="H71" i="49"/>
  <c r="I71" i="49" s="1"/>
  <c r="H79" i="49"/>
  <c r="I79" i="49" s="1"/>
  <c r="H87" i="49"/>
  <c r="I87" i="49" s="1"/>
  <c r="H95" i="49"/>
  <c r="I95" i="49" s="1"/>
  <c r="H103" i="49"/>
  <c r="I103" i="49" s="1"/>
  <c r="H111" i="49"/>
  <c r="H119" i="49"/>
  <c r="I119" i="49" s="1"/>
  <c r="H127" i="49"/>
  <c r="I127" i="49" s="1"/>
  <c r="H135" i="49"/>
  <c r="I135" i="49" s="1"/>
  <c r="H143" i="49"/>
  <c r="H9" i="49"/>
  <c r="I9" i="49" s="1"/>
  <c r="H17" i="49"/>
  <c r="I17" i="49" s="1"/>
  <c r="H25" i="49"/>
  <c r="I25" i="49" s="1"/>
  <c r="H33" i="49"/>
  <c r="I33" i="49" s="1"/>
  <c r="H41" i="49"/>
  <c r="I41" i="49" s="1"/>
  <c r="H49" i="49"/>
  <c r="I49" i="49" s="1"/>
  <c r="H57" i="49"/>
  <c r="I57" i="49" s="1"/>
  <c r="H65" i="49"/>
  <c r="I65" i="49" s="1"/>
  <c r="H73" i="49"/>
  <c r="I73" i="49" s="1"/>
  <c r="H81" i="49"/>
  <c r="I81" i="49" s="1"/>
  <c r="H89" i="49"/>
  <c r="I89" i="49" s="1"/>
  <c r="H97" i="49"/>
  <c r="I97" i="49" s="1"/>
  <c r="H105" i="49"/>
  <c r="I105" i="49" s="1"/>
  <c r="H113" i="49"/>
  <c r="H121" i="49"/>
  <c r="H129" i="49"/>
  <c r="H137" i="49"/>
  <c r="H145" i="49"/>
  <c r="I145" i="49" s="1"/>
  <c r="H32" i="49"/>
  <c r="I32" i="49" s="1"/>
  <c r="H64" i="49"/>
  <c r="I64" i="49" s="1"/>
  <c r="H96" i="49"/>
  <c r="I96" i="49" s="1"/>
  <c r="H122" i="49"/>
  <c r="H130" i="49"/>
  <c r="H149" i="49"/>
  <c r="I149" i="49" s="1"/>
  <c r="H157" i="49"/>
  <c r="I157" i="49" s="1"/>
  <c r="H165" i="49"/>
  <c r="I165" i="49" s="1"/>
  <c r="H173" i="49"/>
  <c r="I173" i="49" s="1"/>
  <c r="H181" i="49"/>
  <c r="I181" i="49" s="1"/>
  <c r="H189" i="49"/>
  <c r="I189" i="49" s="1"/>
  <c r="H197" i="49"/>
  <c r="I197" i="49" s="1"/>
  <c r="H205" i="49"/>
  <c r="I205" i="49" s="1"/>
  <c r="H213" i="49"/>
  <c r="I213" i="49" s="1"/>
  <c r="H221" i="49"/>
  <c r="I221" i="49" s="1"/>
  <c r="H229" i="49"/>
  <c r="I229" i="49" s="1"/>
  <c r="H237" i="49"/>
  <c r="I237" i="49" s="1"/>
  <c r="H245" i="49"/>
  <c r="I245" i="49" s="1"/>
  <c r="H8" i="49"/>
  <c r="I8" i="49" s="1"/>
  <c r="H26" i="49"/>
  <c r="I26" i="49" s="1"/>
  <c r="H58" i="49"/>
  <c r="I58" i="49" s="1"/>
  <c r="H90" i="49"/>
  <c r="I90" i="49" s="1"/>
  <c r="H114" i="49"/>
  <c r="H136" i="49"/>
  <c r="I136" i="49" s="1"/>
  <c r="H142" i="49"/>
  <c r="H150" i="49"/>
  <c r="H158" i="49"/>
  <c r="I158" i="49" s="1"/>
  <c r="H166" i="49"/>
  <c r="I166" i="49" s="1"/>
  <c r="H174" i="49"/>
  <c r="I174" i="49" s="1"/>
  <c r="H182" i="49"/>
  <c r="I182" i="49" s="1"/>
  <c r="H190" i="49"/>
  <c r="I190" i="49" s="1"/>
  <c r="H198" i="49"/>
  <c r="I198" i="49" s="1"/>
  <c r="H206" i="49"/>
  <c r="I206" i="49" s="1"/>
  <c r="H214" i="49"/>
  <c r="I214" i="49" s="1"/>
  <c r="H222" i="49"/>
  <c r="I222" i="49" s="1"/>
  <c r="H230" i="49"/>
  <c r="I230" i="49" s="1"/>
  <c r="H238" i="49"/>
  <c r="I238" i="49" s="1"/>
  <c r="H246" i="49"/>
  <c r="I246" i="49" s="1"/>
  <c r="H40" i="49"/>
  <c r="I40" i="49" s="1"/>
  <c r="H72" i="49"/>
  <c r="I72" i="49" s="1"/>
  <c r="H104" i="49"/>
  <c r="I104" i="49" s="1"/>
  <c r="H151" i="49"/>
  <c r="I151" i="49" s="1"/>
  <c r="H159" i="49"/>
  <c r="I159" i="49" s="1"/>
  <c r="H167" i="49"/>
  <c r="I167" i="49" s="1"/>
  <c r="H175" i="49"/>
  <c r="I175" i="49" s="1"/>
  <c r="H183" i="49"/>
  <c r="I183" i="49" s="1"/>
  <c r="H191" i="49"/>
  <c r="I191" i="49" s="1"/>
  <c r="H199" i="49"/>
  <c r="I199" i="49" s="1"/>
  <c r="H207" i="49"/>
  <c r="I207" i="49" s="1"/>
  <c r="H215" i="49"/>
  <c r="I215" i="49" s="1"/>
  <c r="H223" i="49"/>
  <c r="I223" i="49" s="1"/>
  <c r="H231" i="49"/>
  <c r="I231" i="49" s="1"/>
  <c r="H239" i="49"/>
  <c r="I239" i="49" s="1"/>
  <c r="H34" i="49"/>
  <c r="I34" i="49" s="1"/>
  <c r="H66" i="49"/>
  <c r="I66" i="49" s="1"/>
  <c r="H98" i="49"/>
  <c r="I98" i="49" s="1"/>
  <c r="H152" i="49"/>
  <c r="I152" i="49" s="1"/>
  <c r="H160" i="49"/>
  <c r="I160" i="49" s="1"/>
  <c r="H168" i="49"/>
  <c r="I168" i="49" s="1"/>
  <c r="H176" i="49"/>
  <c r="I176" i="49" s="1"/>
  <c r="H184" i="49"/>
  <c r="H192" i="49"/>
  <c r="I192" i="49" s="1"/>
  <c r="H200" i="49"/>
  <c r="I200" i="49" s="1"/>
  <c r="H208" i="49"/>
  <c r="I208" i="49" s="1"/>
  <c r="H216" i="49"/>
  <c r="I216" i="49" s="1"/>
  <c r="H224" i="49"/>
  <c r="I224" i="49" s="1"/>
  <c r="H232" i="49"/>
  <c r="I232" i="49" s="1"/>
  <c r="H10" i="49"/>
  <c r="I10" i="49" s="1"/>
  <c r="H16" i="49"/>
  <c r="I16" i="49" s="1"/>
  <c r="H48" i="49"/>
  <c r="I48" i="49" s="1"/>
  <c r="H80" i="49"/>
  <c r="I80" i="49" s="1"/>
  <c r="H120" i="49"/>
  <c r="H128" i="49"/>
  <c r="H138" i="49"/>
  <c r="I138" i="49" s="1"/>
  <c r="H153" i="49"/>
  <c r="I153" i="49" s="1"/>
  <c r="H161" i="49"/>
  <c r="I161" i="49" s="1"/>
  <c r="H169" i="49"/>
  <c r="I169" i="49" s="1"/>
  <c r="H177" i="49"/>
  <c r="I177" i="49" s="1"/>
  <c r="H185" i="49"/>
  <c r="I185" i="49" s="1"/>
  <c r="H193" i="49"/>
  <c r="I193" i="49" s="1"/>
  <c r="H201" i="49"/>
  <c r="I201" i="49" s="1"/>
  <c r="H209" i="49"/>
  <c r="I209" i="49" s="1"/>
  <c r="H217" i="49"/>
  <c r="H225" i="49"/>
  <c r="I225" i="49" s="1"/>
  <c r="H24" i="49"/>
  <c r="I24" i="49" s="1"/>
  <c r="H56" i="49"/>
  <c r="I56" i="49" s="1"/>
  <c r="H88" i="49"/>
  <c r="I88" i="49" s="1"/>
  <c r="H112" i="49"/>
  <c r="I112" i="49" s="1"/>
  <c r="H146" i="49"/>
  <c r="H155" i="49"/>
  <c r="I155" i="49" s="1"/>
  <c r="H163" i="49"/>
  <c r="I163" i="49" s="1"/>
  <c r="H171" i="49"/>
  <c r="I171" i="49" s="1"/>
  <c r="H179" i="49"/>
  <c r="I179" i="49" s="1"/>
  <c r="H187" i="49"/>
  <c r="I187" i="49" s="1"/>
  <c r="H195" i="49"/>
  <c r="H203" i="49"/>
  <c r="I203" i="49" s="1"/>
  <c r="H211" i="49"/>
  <c r="I211" i="49" s="1"/>
  <c r="H219" i="49"/>
  <c r="I219" i="49" s="1"/>
  <c r="H227" i="49"/>
  <c r="I227" i="49" s="1"/>
  <c r="H74" i="49"/>
  <c r="I74" i="49" s="1"/>
  <c r="H154" i="49"/>
  <c r="I154" i="49" s="1"/>
  <c r="H170" i="49"/>
  <c r="I170" i="49" s="1"/>
  <c r="H196" i="49"/>
  <c r="H233" i="49"/>
  <c r="I233" i="49" s="1"/>
  <c r="H234" i="49"/>
  <c r="I234" i="49" s="1"/>
  <c r="H240" i="49"/>
  <c r="I240" i="49" s="1"/>
  <c r="H243" i="49"/>
  <c r="I243" i="49" s="1"/>
  <c r="H244" i="49"/>
  <c r="I244" i="49" s="1"/>
  <c r="H249" i="49"/>
  <c r="I249" i="49" s="1"/>
  <c r="H257" i="49"/>
  <c r="I257" i="49" s="1"/>
  <c r="H265" i="49"/>
  <c r="I265" i="49" s="1"/>
  <c r="H273" i="49"/>
  <c r="H281" i="49"/>
  <c r="I281" i="49" s="1"/>
  <c r="H289" i="49"/>
  <c r="I289" i="49" s="1"/>
  <c r="H297" i="49"/>
  <c r="H305" i="49"/>
  <c r="I305" i="49" s="1"/>
  <c r="H270" i="49"/>
  <c r="H304" i="49"/>
  <c r="H50" i="49"/>
  <c r="I50" i="49" s="1"/>
  <c r="H186" i="49"/>
  <c r="I186" i="49" s="1"/>
  <c r="H212" i="49"/>
  <c r="I212" i="49" s="1"/>
  <c r="H226" i="49"/>
  <c r="I226" i="49" s="1"/>
  <c r="H241" i="49"/>
  <c r="I241" i="49" s="1"/>
  <c r="H242" i="49"/>
  <c r="I242" i="49" s="1"/>
  <c r="H250" i="49"/>
  <c r="I250" i="49" s="1"/>
  <c r="H258" i="49"/>
  <c r="I258" i="49" s="1"/>
  <c r="H266" i="49"/>
  <c r="I266" i="49" s="1"/>
  <c r="H274" i="49"/>
  <c r="H282" i="49"/>
  <c r="H290" i="49"/>
  <c r="I290" i="49" s="1"/>
  <c r="H298" i="49"/>
  <c r="H286" i="49"/>
  <c r="I286" i="49" s="1"/>
  <c r="H294" i="49"/>
  <c r="H256" i="49"/>
  <c r="I256" i="49" s="1"/>
  <c r="H272" i="49"/>
  <c r="H202" i="49"/>
  <c r="I202" i="49" s="1"/>
  <c r="H251" i="49"/>
  <c r="I251" i="49" s="1"/>
  <c r="H259" i="49"/>
  <c r="I259" i="49" s="1"/>
  <c r="H267" i="49"/>
  <c r="H275" i="49"/>
  <c r="H283" i="49"/>
  <c r="I283" i="49" s="1"/>
  <c r="H291" i="49"/>
  <c r="I291" i="49" s="1"/>
  <c r="H299" i="49"/>
  <c r="I299" i="49" s="1"/>
  <c r="H280" i="49"/>
  <c r="I280" i="49" s="1"/>
  <c r="H296" i="49"/>
  <c r="H106" i="49"/>
  <c r="H156" i="49"/>
  <c r="I156" i="49" s="1"/>
  <c r="H172" i="49"/>
  <c r="I172" i="49" s="1"/>
  <c r="H218" i="49"/>
  <c r="H252" i="49"/>
  <c r="I252" i="49" s="1"/>
  <c r="H260" i="49"/>
  <c r="I260" i="49" s="1"/>
  <c r="H268" i="49"/>
  <c r="H276" i="49"/>
  <c r="I276" i="49" s="1"/>
  <c r="H284" i="49"/>
  <c r="I284" i="49" s="1"/>
  <c r="H292" i="49"/>
  <c r="I292" i="49" s="1"/>
  <c r="H300" i="49"/>
  <c r="I300" i="49" s="1"/>
  <c r="H236" i="49"/>
  <c r="I236" i="49" s="1"/>
  <c r="H278" i="49"/>
  <c r="H288" i="49"/>
  <c r="H82" i="49"/>
  <c r="I82" i="49" s="1"/>
  <c r="H162" i="49"/>
  <c r="I162" i="49" s="1"/>
  <c r="H178" i="49"/>
  <c r="I178" i="49" s="1"/>
  <c r="H188" i="49"/>
  <c r="I188" i="49" s="1"/>
  <c r="H228" i="49"/>
  <c r="I228" i="49" s="1"/>
  <c r="H253" i="49"/>
  <c r="I253" i="49" s="1"/>
  <c r="H261" i="49"/>
  <c r="I261" i="49" s="1"/>
  <c r="H269" i="49"/>
  <c r="H277" i="49"/>
  <c r="I277" i="49" s="1"/>
  <c r="H285" i="49"/>
  <c r="I285" i="49" s="1"/>
  <c r="H293" i="49"/>
  <c r="I293" i="49" s="1"/>
  <c r="H301" i="49"/>
  <c r="I301" i="49" s="1"/>
  <c r="H148" i="49"/>
  <c r="H194" i="49"/>
  <c r="I194" i="49" s="1"/>
  <c r="H204" i="49"/>
  <c r="I204" i="49" s="1"/>
  <c r="H302" i="49"/>
  <c r="I302" i="49" s="1"/>
  <c r="H264" i="49"/>
  <c r="I264" i="49" s="1"/>
  <c r="H42" i="49"/>
  <c r="I42" i="49" s="1"/>
  <c r="H254" i="49"/>
  <c r="I254" i="49" s="1"/>
  <c r="H262" i="49"/>
  <c r="I262" i="49" s="1"/>
  <c r="H18" i="49"/>
  <c r="I18" i="49" s="1"/>
  <c r="H144" i="49"/>
  <c r="H210" i="49"/>
  <c r="I210" i="49" s="1"/>
  <c r="H235" i="49"/>
  <c r="I235" i="49" s="1"/>
  <c r="H247" i="49"/>
  <c r="I247" i="49" s="1"/>
  <c r="H255" i="49"/>
  <c r="I255" i="49" s="1"/>
  <c r="H263" i="49"/>
  <c r="I263" i="49" s="1"/>
  <c r="H271" i="49"/>
  <c r="H279" i="49"/>
  <c r="I279" i="49" s="1"/>
  <c r="H287" i="49"/>
  <c r="H295" i="49"/>
  <c r="I295" i="49" s="1"/>
  <c r="H303" i="49"/>
  <c r="I303" i="49" s="1"/>
  <c r="H147" i="49"/>
  <c r="H164" i="49"/>
  <c r="I164" i="49" s="1"/>
  <c r="H180" i="49"/>
  <c r="I180" i="49" s="1"/>
  <c r="H220" i="49"/>
  <c r="I220" i="49" s="1"/>
  <c r="H248" i="49"/>
  <c r="I248" i="49" s="1"/>
  <c r="E51" i="48"/>
  <c r="C306" i="12"/>
  <c r="Q306" i="19"/>
  <c r="C305" i="25" s="1"/>
  <c r="AK306" i="42"/>
  <c r="AM306" i="42"/>
  <c r="AC306" i="42"/>
  <c r="H46" i="40"/>
  <c r="E5" i="9"/>
  <c r="AE306" i="42"/>
  <c r="C306" i="39"/>
  <c r="J306" i="49"/>
  <c r="E312" i="34"/>
  <c r="C312" i="9"/>
  <c r="C306" i="33"/>
  <c r="E306" i="33" s="1"/>
  <c r="L6" i="11"/>
  <c r="G6" i="11"/>
  <c r="H6" i="49"/>
  <c r="C306" i="13"/>
  <c r="E305" i="25"/>
  <c r="E306" i="13" l="1"/>
  <c r="F306" i="13" s="1"/>
  <c r="F306" i="37"/>
  <c r="H165" i="37" s="1"/>
  <c r="F187" i="11"/>
  <c r="G187" i="11" s="1"/>
  <c r="K187" i="11"/>
  <c r="L187" i="11" s="1"/>
  <c r="F22" i="11"/>
  <c r="G22" i="11" s="1"/>
  <c r="K22" i="11"/>
  <c r="L22" i="11" s="1"/>
  <c r="F238" i="11"/>
  <c r="G238" i="11" s="1"/>
  <c r="K238" i="11"/>
  <c r="L238" i="11" s="1"/>
  <c r="K296" i="11"/>
  <c r="L296" i="11" s="1"/>
  <c r="F296" i="11"/>
  <c r="G296" i="11" s="1"/>
  <c r="F157" i="11"/>
  <c r="G157" i="11" s="1"/>
  <c r="K157" i="11"/>
  <c r="L157" i="11" s="1"/>
  <c r="F224" i="11"/>
  <c r="G224" i="11" s="1"/>
  <c r="K224" i="11"/>
  <c r="L224" i="11" s="1"/>
  <c r="K180" i="11"/>
  <c r="L180" i="11" s="1"/>
  <c r="F180" i="11"/>
  <c r="G180" i="11" s="1"/>
  <c r="F285" i="11"/>
  <c r="G285" i="11" s="1"/>
  <c r="K285" i="11"/>
  <c r="L285" i="11" s="1"/>
  <c r="K172" i="11"/>
  <c r="L172" i="11" s="1"/>
  <c r="F172" i="11"/>
  <c r="G172" i="11" s="1"/>
  <c r="F65" i="11"/>
  <c r="G65" i="11" s="1"/>
  <c r="K65" i="11"/>
  <c r="L65" i="11" s="1"/>
  <c r="F52" i="11"/>
  <c r="G52" i="11" s="1"/>
  <c r="K52" i="11"/>
  <c r="L52" i="11" s="1"/>
  <c r="F45" i="11"/>
  <c r="G45" i="11" s="1"/>
  <c r="K45" i="11"/>
  <c r="L45" i="11" s="1"/>
  <c r="F173" i="11"/>
  <c r="G173" i="11" s="1"/>
  <c r="K173" i="11"/>
  <c r="L173" i="11" s="1"/>
  <c r="F289" i="11"/>
  <c r="G289" i="11" s="1"/>
  <c r="K289" i="11"/>
  <c r="L289" i="11" s="1"/>
  <c r="K258" i="11"/>
  <c r="L258" i="11" s="1"/>
  <c r="F258" i="11"/>
  <c r="G258" i="11" s="1"/>
  <c r="F135" i="11"/>
  <c r="G135" i="11" s="1"/>
  <c r="K135" i="11"/>
  <c r="L135" i="11" s="1"/>
  <c r="F81" i="11"/>
  <c r="G81" i="11" s="1"/>
  <c r="K81" i="11"/>
  <c r="L81" i="11" s="1"/>
  <c r="F196" i="11"/>
  <c r="G196" i="11" s="1"/>
  <c r="K196" i="11"/>
  <c r="L196" i="11" s="1"/>
  <c r="F79" i="11"/>
  <c r="G79" i="11" s="1"/>
  <c r="K79" i="11"/>
  <c r="L79" i="11" s="1"/>
  <c r="F281" i="11"/>
  <c r="G281" i="11" s="1"/>
  <c r="K281" i="11"/>
  <c r="L281" i="11" s="1"/>
  <c r="F18" i="11"/>
  <c r="G18" i="11" s="1"/>
  <c r="K18" i="11"/>
  <c r="L18" i="11" s="1"/>
  <c r="F273" i="11"/>
  <c r="G273" i="11" s="1"/>
  <c r="K273" i="11"/>
  <c r="L273" i="11" s="1"/>
  <c r="F57" i="11"/>
  <c r="G57" i="11" s="1"/>
  <c r="K57" i="11"/>
  <c r="L57" i="11" s="1"/>
  <c r="K94" i="11"/>
  <c r="L94" i="11" s="1"/>
  <c r="F94" i="11"/>
  <c r="G94" i="11" s="1"/>
  <c r="K266" i="11"/>
  <c r="L266" i="11" s="1"/>
  <c r="F266" i="11"/>
  <c r="G266" i="11" s="1"/>
  <c r="K149" i="11"/>
  <c r="L149" i="11" s="1"/>
  <c r="F149" i="11"/>
  <c r="G149" i="11" s="1"/>
  <c r="F181" i="11"/>
  <c r="G181" i="11" s="1"/>
  <c r="K181" i="11"/>
  <c r="L181" i="11" s="1"/>
  <c r="F97" i="11"/>
  <c r="G97" i="11" s="1"/>
  <c r="K97" i="11"/>
  <c r="L97" i="11" s="1"/>
  <c r="F40" i="11"/>
  <c r="G40" i="11" s="1"/>
  <c r="K40" i="11"/>
  <c r="L40" i="11" s="1"/>
  <c r="F251" i="11"/>
  <c r="G251" i="11" s="1"/>
  <c r="K251" i="11"/>
  <c r="L251" i="11" s="1"/>
  <c r="K272" i="11"/>
  <c r="L272" i="11" s="1"/>
  <c r="F272" i="11"/>
  <c r="G272" i="11" s="1"/>
  <c r="F66" i="11"/>
  <c r="G66" i="11" s="1"/>
  <c r="K66" i="11"/>
  <c r="L66" i="11" s="1"/>
  <c r="K235" i="11"/>
  <c r="L235" i="11" s="1"/>
  <c r="F235" i="11"/>
  <c r="G235" i="11" s="1"/>
  <c r="F194" i="11"/>
  <c r="G194" i="11" s="1"/>
  <c r="K194" i="11"/>
  <c r="L194" i="11" s="1"/>
  <c r="K72" i="11"/>
  <c r="L72" i="11" s="1"/>
  <c r="F72" i="11"/>
  <c r="G72" i="11" s="1"/>
  <c r="F279" i="11"/>
  <c r="G279" i="11" s="1"/>
  <c r="K279" i="11"/>
  <c r="L279" i="11" s="1"/>
  <c r="K127" i="11"/>
  <c r="L127" i="11" s="1"/>
  <c r="F127" i="11"/>
  <c r="G127" i="11" s="1"/>
  <c r="F131" i="11"/>
  <c r="G131" i="11" s="1"/>
  <c r="K131" i="11"/>
  <c r="L131" i="11" s="1"/>
  <c r="F49" i="11"/>
  <c r="G49" i="11" s="1"/>
  <c r="K49" i="11"/>
  <c r="L49" i="11" s="1"/>
  <c r="K286" i="11"/>
  <c r="L286" i="11" s="1"/>
  <c r="F286" i="11"/>
  <c r="G286" i="11" s="1"/>
  <c r="K201" i="11"/>
  <c r="L201" i="11" s="1"/>
  <c r="F201" i="11"/>
  <c r="G201" i="11" s="1"/>
  <c r="F165" i="11"/>
  <c r="G165" i="11" s="1"/>
  <c r="K165" i="11"/>
  <c r="L165" i="11" s="1"/>
  <c r="F220" i="11"/>
  <c r="G220" i="11" s="1"/>
  <c r="K220" i="11"/>
  <c r="L220" i="11" s="1"/>
  <c r="K304" i="11"/>
  <c r="L304" i="11" s="1"/>
  <c r="F304" i="11"/>
  <c r="G304" i="11" s="1"/>
  <c r="K25" i="11"/>
  <c r="L25" i="11" s="1"/>
  <c r="F25" i="11"/>
  <c r="G25" i="11" s="1"/>
  <c r="K33" i="11"/>
  <c r="L33" i="11" s="1"/>
  <c r="F33" i="11"/>
  <c r="G33" i="11" s="1"/>
  <c r="K243" i="11"/>
  <c r="L243" i="11" s="1"/>
  <c r="F243" i="11"/>
  <c r="G243" i="11" s="1"/>
  <c r="F297" i="11"/>
  <c r="G297" i="11" s="1"/>
  <c r="K297" i="11"/>
  <c r="L297" i="11" s="1"/>
  <c r="F105" i="11"/>
  <c r="G105" i="11" s="1"/>
  <c r="K105" i="11"/>
  <c r="L105" i="11" s="1"/>
  <c r="K142" i="11"/>
  <c r="L142" i="11" s="1"/>
  <c r="F142" i="11"/>
  <c r="G142" i="11" s="1"/>
  <c r="K302" i="11"/>
  <c r="L302" i="11" s="1"/>
  <c r="F302" i="11"/>
  <c r="G302" i="11" s="1"/>
  <c r="F259" i="11"/>
  <c r="G259" i="11" s="1"/>
  <c r="K259" i="11"/>
  <c r="L259" i="11" s="1"/>
  <c r="F212" i="11"/>
  <c r="G212" i="11" s="1"/>
  <c r="K212" i="11"/>
  <c r="L212" i="11" s="1"/>
  <c r="K41" i="11"/>
  <c r="L41" i="11" s="1"/>
  <c r="F41" i="11"/>
  <c r="G41" i="11" s="1"/>
  <c r="K7" i="11"/>
  <c r="L7" i="11" s="1"/>
  <c r="F7" i="11"/>
  <c r="G7" i="11" s="1"/>
  <c r="F261" i="11"/>
  <c r="G261" i="11" s="1"/>
  <c r="K261" i="11"/>
  <c r="L261" i="11" s="1"/>
  <c r="K87" i="11"/>
  <c r="L87" i="11" s="1"/>
  <c r="F87" i="11"/>
  <c r="G87" i="11" s="1"/>
  <c r="F204" i="11"/>
  <c r="G204" i="11" s="1"/>
  <c r="K204" i="11"/>
  <c r="L204" i="11" s="1"/>
  <c r="F159" i="11"/>
  <c r="G159" i="11" s="1"/>
  <c r="K159" i="11"/>
  <c r="L159" i="11" s="1"/>
  <c r="F271" i="11"/>
  <c r="G271" i="11" s="1"/>
  <c r="K271" i="11"/>
  <c r="L271" i="11" s="1"/>
  <c r="F305" i="11"/>
  <c r="G305" i="11" s="1"/>
  <c r="K305" i="11"/>
  <c r="L305" i="11" s="1"/>
  <c r="F59" i="11"/>
  <c r="G59" i="11" s="1"/>
  <c r="K59" i="11"/>
  <c r="L59" i="11" s="1"/>
  <c r="K73" i="11"/>
  <c r="L73" i="11" s="1"/>
  <c r="F73" i="11"/>
  <c r="G73" i="11" s="1"/>
  <c r="F10" i="11"/>
  <c r="G10" i="11" s="1"/>
  <c r="K10" i="11"/>
  <c r="L10" i="11" s="1"/>
  <c r="K166" i="11"/>
  <c r="L166" i="11" s="1"/>
  <c r="F166" i="11"/>
  <c r="G166" i="11" s="1"/>
  <c r="K245" i="11"/>
  <c r="L245" i="11" s="1"/>
  <c r="F245" i="11"/>
  <c r="G245" i="11" s="1"/>
  <c r="K252" i="11"/>
  <c r="L252" i="11" s="1"/>
  <c r="F252" i="11"/>
  <c r="G252" i="11" s="1"/>
  <c r="F188" i="11"/>
  <c r="G188" i="11" s="1"/>
  <c r="K188" i="11"/>
  <c r="L188" i="11" s="1"/>
  <c r="F265" i="11"/>
  <c r="G265" i="11" s="1"/>
  <c r="K265" i="11"/>
  <c r="L265" i="11" s="1"/>
  <c r="K89" i="11"/>
  <c r="L89" i="11" s="1"/>
  <c r="F89" i="11"/>
  <c r="G89" i="11" s="1"/>
  <c r="F65" i="33"/>
  <c r="F25" i="33"/>
  <c r="F9" i="33"/>
  <c r="F70" i="33"/>
  <c r="F112" i="33"/>
  <c r="F133" i="33"/>
  <c r="F84" i="33"/>
  <c r="F125" i="33"/>
  <c r="F150" i="33"/>
  <c r="F104" i="33"/>
  <c r="F105" i="33"/>
  <c r="F109" i="33"/>
  <c r="F128" i="33"/>
  <c r="F89" i="33"/>
  <c r="F120" i="33"/>
  <c r="F152" i="33"/>
  <c r="F158" i="33"/>
  <c r="F166" i="33"/>
  <c r="F185" i="33"/>
  <c r="F92" i="33"/>
  <c r="F122" i="33"/>
  <c r="F138" i="33"/>
  <c r="F141" i="33"/>
  <c r="F146" i="33"/>
  <c r="F174" i="33"/>
  <c r="F73" i="33"/>
  <c r="F161" i="33"/>
  <c r="F177" i="33"/>
  <c r="F160" i="33"/>
  <c r="F193" i="33"/>
  <c r="F237" i="33"/>
  <c r="F269" i="33"/>
  <c r="F298" i="33"/>
  <c r="F169" i="33"/>
  <c r="F198" i="33"/>
  <c r="F236" i="33"/>
  <c r="F247" i="33"/>
  <c r="F231" i="33"/>
  <c r="F266" i="33"/>
  <c r="F221" i="33"/>
  <c r="F301" i="33"/>
  <c r="F254" i="33"/>
  <c r="F205" i="33"/>
  <c r="F229" i="33"/>
  <c r="F252" i="33"/>
  <c r="F277" i="33"/>
  <c r="F282" i="33"/>
  <c r="F287" i="33"/>
  <c r="F293" i="33"/>
  <c r="F271" i="33"/>
  <c r="F263" i="33"/>
  <c r="F303" i="33"/>
  <c r="F305" i="33"/>
  <c r="F268" i="33"/>
  <c r="F223" i="33"/>
  <c r="F204" i="33"/>
  <c r="F180" i="33"/>
  <c r="F85" i="33"/>
  <c r="F273" i="33"/>
  <c r="F202" i="33"/>
  <c r="F241" i="33"/>
  <c r="F189" i="33"/>
  <c r="F139" i="33"/>
  <c r="F186" i="33"/>
  <c r="F296" i="33"/>
  <c r="F279" i="33"/>
  <c r="F145" i="33"/>
  <c r="F245" i="33"/>
  <c r="F249" i="33"/>
  <c r="F292" i="33"/>
  <c r="F290" i="33"/>
  <c r="F281" i="33"/>
  <c r="F225" i="33"/>
  <c r="F224" i="33"/>
  <c r="F238" i="33"/>
  <c r="F165" i="33"/>
  <c r="F242" i="33"/>
  <c r="F191" i="33"/>
  <c r="F243" i="33"/>
  <c r="F211" i="33"/>
  <c r="F228" i="33"/>
  <c r="F276" i="33"/>
  <c r="F261" i="33"/>
  <c r="F285" i="33"/>
  <c r="F255" i="33"/>
  <c r="F226" i="33"/>
  <c r="F210" i="33"/>
  <c r="F264" i="33"/>
  <c r="F212" i="33"/>
  <c r="F216" i="33"/>
  <c r="F280" i="33"/>
  <c r="F270" i="33"/>
  <c r="F197" i="33"/>
  <c r="F182" i="33"/>
  <c r="F149" i="33"/>
  <c r="F295" i="33"/>
  <c r="F213" i="33"/>
  <c r="F207" i="33"/>
  <c r="F275" i="33"/>
  <c r="F291" i="33"/>
  <c r="F215" i="33"/>
  <c r="F235" i="33"/>
  <c r="F289" i="33"/>
  <c r="F234" i="33"/>
  <c r="F214" i="33"/>
  <c r="F232" i="33"/>
  <c r="F154" i="33"/>
  <c r="F124" i="33"/>
  <c r="F106" i="33"/>
  <c r="F144" i="33"/>
  <c r="F199" i="33"/>
  <c r="F167" i="33"/>
  <c r="F83" i="33"/>
  <c r="F8" i="33"/>
  <c r="F192" i="33"/>
  <c r="F218" i="33"/>
  <c r="F299" i="33"/>
  <c r="F220" i="33"/>
  <c r="F97" i="33"/>
  <c r="F153" i="33"/>
  <c r="F95" i="33"/>
  <c r="F13" i="33"/>
  <c r="F175" i="33"/>
  <c r="F173" i="33"/>
  <c r="F90" i="33"/>
  <c r="F157" i="33"/>
  <c r="F127" i="33"/>
  <c r="F93" i="33"/>
  <c r="F147" i="33"/>
  <c r="F15" i="33"/>
  <c r="F108" i="33"/>
  <c r="F67" i="33"/>
  <c r="F56" i="33"/>
  <c r="F31" i="33"/>
  <c r="F7" i="33"/>
  <c r="F21" i="33"/>
  <c r="F253" i="33"/>
  <c r="F178" i="33"/>
  <c r="F176" i="33"/>
  <c r="F102" i="33"/>
  <c r="F195" i="33"/>
  <c r="F206" i="33"/>
  <c r="F126" i="33"/>
  <c r="F188" i="33"/>
  <c r="F78" i="33"/>
  <c r="F98" i="33"/>
  <c r="F81" i="33"/>
  <c r="F137" i="33"/>
  <c r="F35" i="33"/>
  <c r="F18" i="33"/>
  <c r="F61" i="33"/>
  <c r="F44" i="33"/>
  <c r="F14" i="33"/>
  <c r="F284" i="33"/>
  <c r="F300" i="33"/>
  <c r="F251" i="33"/>
  <c r="F260" i="33"/>
  <c r="F286" i="33"/>
  <c r="F283" i="33"/>
  <c r="F155" i="33"/>
  <c r="F219" i="33"/>
  <c r="F200" i="33"/>
  <c r="F233" i="33"/>
  <c r="F187" i="33"/>
  <c r="F201" i="33"/>
  <c r="F159" i="33"/>
  <c r="F121" i="33"/>
  <c r="F119" i="33"/>
  <c r="F196" i="33"/>
  <c r="F156" i="33"/>
  <c r="F26" i="33"/>
  <c r="F265" i="33"/>
  <c r="F244" i="33"/>
  <c r="F163" i="33"/>
  <c r="F240" i="33"/>
  <c r="F184" i="33"/>
  <c r="F179" i="33"/>
  <c r="F222" i="33"/>
  <c r="F203" i="33"/>
  <c r="F259" i="33"/>
  <c r="F209" i="33"/>
  <c r="F115" i="33"/>
  <c r="F88" i="33"/>
  <c r="F86" i="33"/>
  <c r="F32" i="33"/>
  <c r="F96" i="33"/>
  <c r="F24" i="33"/>
  <c r="F62" i="33"/>
  <c r="F54" i="33"/>
  <c r="F22" i="33"/>
  <c r="F60" i="33"/>
  <c r="F28" i="33"/>
  <c r="F37" i="33"/>
  <c r="F297" i="33"/>
  <c r="F170" i="33"/>
  <c r="F132" i="33"/>
  <c r="F75" i="33"/>
  <c r="F103" i="33"/>
  <c r="F123" i="33"/>
  <c r="F74" i="33"/>
  <c r="F33" i="33"/>
  <c r="F76" i="33"/>
  <c r="F48" i="33"/>
  <c r="F46" i="33"/>
  <c r="F36" i="33"/>
  <c r="F34" i="33"/>
  <c r="F217" i="33"/>
  <c r="F82" i="33"/>
  <c r="F110" i="33"/>
  <c r="F38" i="33"/>
  <c r="F55" i="33"/>
  <c r="F42" i="33"/>
  <c r="F10" i="33"/>
  <c r="F181" i="33"/>
  <c r="F190" i="33"/>
  <c r="F87" i="33"/>
  <c r="F113" i="33"/>
  <c r="F258" i="33"/>
  <c r="F257" i="33"/>
  <c r="F227" i="33"/>
  <c r="F304" i="33"/>
  <c r="F151" i="33"/>
  <c r="F134" i="33"/>
  <c r="F51" i="33"/>
  <c r="F130" i="33"/>
  <c r="F41" i="33"/>
  <c r="F50" i="33"/>
  <c r="F23" i="33"/>
  <c r="F52" i="33"/>
  <c r="F53" i="33"/>
  <c r="F142" i="33"/>
  <c r="F19" i="33"/>
  <c r="F239" i="33"/>
  <c r="F250" i="33"/>
  <c r="F58" i="33"/>
  <c r="F16" i="33"/>
  <c r="F68" i="33"/>
  <c r="F69" i="33"/>
  <c r="F59" i="33"/>
  <c r="F63" i="33"/>
  <c r="F40" i="33"/>
  <c r="F20" i="33"/>
  <c r="F45" i="33"/>
  <c r="F208" i="33"/>
  <c r="F140" i="33"/>
  <c r="F101" i="33"/>
  <c r="F131" i="33"/>
  <c r="F77" i="33"/>
  <c r="F66" i="33"/>
  <c r="F71" i="33"/>
  <c r="F12" i="33"/>
  <c r="F171" i="33"/>
  <c r="F274" i="33"/>
  <c r="F143" i="33"/>
  <c r="F30" i="33"/>
  <c r="F39" i="33"/>
  <c r="F29" i="33"/>
  <c r="F47" i="33"/>
  <c r="F94" i="33"/>
  <c r="F183" i="33"/>
  <c r="F267" i="33"/>
  <c r="F162" i="33"/>
  <c r="F129" i="33"/>
  <c r="F11" i="33"/>
  <c r="F117" i="33"/>
  <c r="F27" i="33"/>
  <c r="F136" i="33"/>
  <c r="F114" i="33"/>
  <c r="F49" i="33"/>
  <c r="F118" i="33"/>
  <c r="F57" i="33"/>
  <c r="F17" i="33"/>
  <c r="F43" i="33"/>
  <c r="F64" i="33"/>
  <c r="F116" i="33"/>
  <c r="F248" i="33"/>
  <c r="F172" i="33"/>
  <c r="F91" i="33"/>
  <c r="F288" i="33"/>
  <c r="F194" i="33"/>
  <c r="F302" i="33"/>
  <c r="F294" i="33"/>
  <c r="F148" i="33"/>
  <c r="F100" i="33"/>
  <c r="F80" i="33"/>
  <c r="F246" i="33"/>
  <c r="F230" i="33"/>
  <c r="F111" i="33"/>
  <c r="F99" i="33"/>
  <c r="F79" i="33"/>
  <c r="F135" i="33"/>
  <c r="F107" i="33"/>
  <c r="F272" i="33"/>
  <c r="F262" i="33"/>
  <c r="F168" i="33"/>
  <c r="F72" i="33"/>
  <c r="F164" i="33"/>
  <c r="F256" i="33"/>
  <c r="F278" i="33"/>
  <c r="H306" i="49"/>
  <c r="I306" i="49"/>
  <c r="K5" i="49" s="1"/>
  <c r="K3" i="33"/>
  <c r="H3" i="33"/>
  <c r="G3" i="33"/>
  <c r="J3" i="33"/>
  <c r="I3" i="33"/>
  <c r="D306" i="37"/>
  <c r="F6" i="33"/>
  <c r="C312" i="34"/>
  <c r="E306" i="12"/>
  <c r="D5" i="9"/>
  <c r="D6" i="9"/>
  <c r="C306" i="11"/>
  <c r="K47" i="40"/>
  <c r="B47" i="40" s="1"/>
  <c r="I5" i="13" s="1"/>
  <c r="I301" i="13" s="1"/>
  <c r="J301" i="13" s="1"/>
  <c r="G40" i="40"/>
  <c r="H10" i="37" l="1"/>
  <c r="H71" i="37"/>
  <c r="H147" i="37"/>
  <c r="H97" i="37"/>
  <c r="H136" i="37"/>
  <c r="H37" i="37"/>
  <c r="H222" i="37"/>
  <c r="H84" i="37"/>
  <c r="H299" i="37"/>
  <c r="H199" i="37"/>
  <c r="H116" i="37"/>
  <c r="H197" i="37"/>
  <c r="H215" i="37"/>
  <c r="H145" i="37"/>
  <c r="H119" i="37"/>
  <c r="H159" i="37"/>
  <c r="H77" i="37"/>
  <c r="H228" i="37"/>
  <c r="H169" i="37"/>
  <c r="H108" i="37"/>
  <c r="H18" i="37"/>
  <c r="H185" i="37"/>
  <c r="H105" i="37"/>
  <c r="H223" i="37"/>
  <c r="H67" i="37"/>
  <c r="H286" i="37"/>
  <c r="H132" i="37"/>
  <c r="H107" i="37"/>
  <c r="H87" i="37"/>
  <c r="H181" i="37"/>
  <c r="H92" i="37"/>
  <c r="H143" i="37"/>
  <c r="H235" i="37"/>
  <c r="H44" i="37"/>
  <c r="H161" i="37"/>
  <c r="H241" i="37"/>
  <c r="H164" i="37"/>
  <c r="H172" i="37"/>
  <c r="H35" i="37"/>
  <c r="H174" i="37"/>
  <c r="H139" i="37"/>
  <c r="H280" i="37"/>
  <c r="H106" i="37"/>
  <c r="H89" i="37"/>
  <c r="H149" i="37"/>
  <c r="H15" i="37"/>
  <c r="H203" i="37"/>
  <c r="H188" i="37"/>
  <c r="H21" i="37"/>
  <c r="H283" i="37"/>
  <c r="H238" i="37"/>
  <c r="H237" i="37"/>
  <c r="H140" i="37"/>
  <c r="H8" i="37"/>
  <c r="H59" i="37"/>
  <c r="H75" i="37"/>
  <c r="H212" i="37"/>
  <c r="H304" i="37"/>
  <c r="H70" i="37"/>
  <c r="H125" i="37"/>
  <c r="H93" i="37"/>
  <c r="H295" i="37"/>
  <c r="H265" i="37"/>
  <c r="H294" i="37"/>
  <c r="H34" i="37"/>
  <c r="H60" i="37"/>
  <c r="H22" i="37"/>
  <c r="H220" i="37"/>
  <c r="H255" i="37"/>
  <c r="H259" i="37"/>
  <c r="H282" i="37"/>
  <c r="H297" i="37"/>
  <c r="H296" i="37"/>
  <c r="H33" i="37"/>
  <c r="H278" i="37"/>
  <c r="H273" i="37"/>
  <c r="H162" i="37"/>
  <c r="H247" i="37"/>
  <c r="H91" i="37"/>
  <c r="H216" i="37"/>
  <c r="H243" i="37"/>
  <c r="H152" i="37"/>
  <c r="H209" i="37"/>
  <c r="H293" i="37"/>
  <c r="H225" i="37"/>
  <c r="H233" i="37"/>
  <c r="H124" i="37"/>
  <c r="H171" i="37"/>
  <c r="H275" i="37"/>
  <c r="H168" i="37"/>
  <c r="H29" i="37"/>
  <c r="H79" i="37"/>
  <c r="H210" i="37"/>
  <c r="H6" i="37"/>
  <c r="H146" i="37"/>
  <c r="H123" i="37"/>
  <c r="H219" i="37"/>
  <c r="H9" i="37"/>
  <c r="H12" i="37"/>
  <c r="H227" i="37"/>
  <c r="H74" i="37"/>
  <c r="H66" i="37"/>
  <c r="H184" i="37"/>
  <c r="H57" i="37"/>
  <c r="H43" i="37"/>
  <c r="H73" i="37"/>
  <c r="H115" i="37"/>
  <c r="H176" i="37"/>
  <c r="H173" i="37"/>
  <c r="H268" i="37"/>
  <c r="H153" i="37"/>
  <c r="H20" i="37"/>
  <c r="H72" i="37"/>
  <c r="H194" i="37"/>
  <c r="H306" i="37"/>
  <c r="H170" i="37"/>
  <c r="H175" i="37"/>
  <c r="H130" i="37"/>
  <c r="H285" i="37"/>
  <c r="H208" i="37"/>
  <c r="H50" i="37"/>
  <c r="H102" i="37"/>
  <c r="H193" i="37"/>
  <c r="H200" i="37"/>
  <c r="H230" i="37"/>
  <c r="H257" i="37"/>
  <c r="H246" i="37"/>
  <c r="H254" i="37"/>
  <c r="H192" i="37"/>
  <c r="H103" i="37"/>
  <c r="H266" i="37"/>
  <c r="H151" i="37"/>
  <c r="H13" i="37"/>
  <c r="H63" i="37"/>
  <c r="H178" i="37"/>
  <c r="H284" i="37"/>
  <c r="H207" i="37"/>
  <c r="H274" i="37"/>
  <c r="H128" i="37"/>
  <c r="H138" i="37"/>
  <c r="H180" i="37"/>
  <c r="H83" i="37"/>
  <c r="H256" i="37"/>
  <c r="H26" i="37"/>
  <c r="H303" i="37"/>
  <c r="H42" i="37"/>
  <c r="H85" i="37"/>
  <c r="H166" i="37"/>
  <c r="H221" i="37"/>
  <c r="H271" i="37"/>
  <c r="H202" i="37"/>
  <c r="H111" i="37"/>
  <c r="H229" i="37"/>
  <c r="H31" i="37"/>
  <c r="H141" i="37"/>
  <c r="H277" i="37"/>
  <c r="H260" i="37"/>
  <c r="H19" i="37"/>
  <c r="H134" i="37"/>
  <c r="H32" i="37"/>
  <c r="H298" i="37"/>
  <c r="H45" i="37"/>
  <c r="H135" i="37"/>
  <c r="H242" i="37"/>
  <c r="H17" i="37"/>
  <c r="H65" i="37"/>
  <c r="H25" i="37"/>
  <c r="H244" i="37"/>
  <c r="H160" i="37"/>
  <c r="H206" i="37"/>
  <c r="H214" i="37"/>
  <c r="H127" i="37"/>
  <c r="H99" i="37"/>
  <c r="H236" i="37"/>
  <c r="H248" i="37"/>
  <c r="H76" i="37"/>
  <c r="H110" i="37"/>
  <c r="H11" i="37"/>
  <c r="H290" i="37"/>
  <c r="H292" i="37"/>
  <c r="H270" i="37"/>
  <c r="H69" i="37"/>
  <c r="H154" i="37"/>
  <c r="H96" i="37"/>
  <c r="H39" i="37"/>
  <c r="H23" i="37"/>
  <c r="H234" i="37"/>
  <c r="H109" i="37"/>
  <c r="H133" i="37"/>
  <c r="H61" i="37"/>
  <c r="H261" i="37"/>
  <c r="H155" i="37"/>
  <c r="H47" i="37"/>
  <c r="H267" i="37"/>
  <c r="H163" i="37"/>
  <c r="H179" i="37"/>
  <c r="H190" i="37"/>
  <c r="H198" i="37"/>
  <c r="H114" i="37"/>
  <c r="H14" i="37"/>
  <c r="H38" i="37"/>
  <c r="H240" i="37"/>
  <c r="H53" i="37"/>
  <c r="H269" i="37"/>
  <c r="H131" i="37"/>
  <c r="H264" i="37"/>
  <c r="H263" i="37"/>
  <c r="H276" i="37"/>
  <c r="H142" i="37"/>
  <c r="H301" i="37"/>
  <c r="H150" i="37"/>
  <c r="H27" i="37"/>
  <c r="H95" i="37"/>
  <c r="H7" i="37"/>
  <c r="H55" i="37"/>
  <c r="H16" i="37"/>
  <c r="H253" i="37"/>
  <c r="H218" i="37"/>
  <c r="H300" i="37"/>
  <c r="H113" i="37"/>
  <c r="H52" i="37"/>
  <c r="H245" i="37"/>
  <c r="H137" i="37"/>
  <c r="H40" i="37"/>
  <c r="H258" i="37"/>
  <c r="H148" i="37"/>
  <c r="H126" i="37"/>
  <c r="H302" i="37"/>
  <c r="H158" i="37"/>
  <c r="H239" i="37"/>
  <c r="H49" i="37"/>
  <c r="H182" i="37"/>
  <c r="H231" i="37"/>
  <c r="H129" i="37"/>
  <c r="H204" i="37"/>
  <c r="H196" i="37"/>
  <c r="H30" i="37"/>
  <c r="H251" i="37"/>
  <c r="H122" i="37"/>
  <c r="H167" i="37"/>
  <c r="H305" i="37"/>
  <c r="H201" i="37"/>
  <c r="H82" i="37"/>
  <c r="H62" i="37"/>
  <c r="H249" i="37"/>
  <c r="H217" i="37"/>
  <c r="H98" i="37"/>
  <c r="H112" i="37"/>
  <c r="H58" i="37"/>
  <c r="H289" i="37"/>
  <c r="H232" i="37"/>
  <c r="H156" i="37"/>
  <c r="H189" i="37"/>
  <c r="H48" i="37"/>
  <c r="H287" i="37"/>
  <c r="H186" i="37"/>
  <c r="H291" i="37"/>
  <c r="H100" i="37"/>
  <c r="H36" i="37"/>
  <c r="H213" i="37"/>
  <c r="H88" i="37"/>
  <c r="H24" i="37"/>
  <c r="H226" i="37"/>
  <c r="H121" i="37"/>
  <c r="H90" i="37"/>
  <c r="H195" i="37"/>
  <c r="H191" i="37"/>
  <c r="H51" i="37"/>
  <c r="H211" i="37"/>
  <c r="H183" i="37"/>
  <c r="H187" i="37"/>
  <c r="H281" i="37"/>
  <c r="H177" i="37"/>
  <c r="H78" i="37"/>
  <c r="H118" i="37"/>
  <c r="H81" i="37"/>
  <c r="H41" i="37"/>
  <c r="H101" i="37"/>
  <c r="H117" i="37"/>
  <c r="H54" i="37"/>
  <c r="H28" i="37"/>
  <c r="H224" i="37"/>
  <c r="H279" i="37"/>
  <c r="H252" i="37"/>
  <c r="H46" i="37"/>
  <c r="H94" i="37"/>
  <c r="H86" i="37"/>
  <c r="H262" i="37"/>
  <c r="H104" i="37"/>
  <c r="H205" i="37"/>
  <c r="H80" i="37"/>
  <c r="H64" i="37"/>
  <c r="H250" i="37"/>
  <c r="H120" i="37"/>
  <c r="H144" i="37"/>
  <c r="H68" i="37"/>
  <c r="H272" i="37"/>
  <c r="H157" i="37"/>
  <c r="H56" i="37"/>
  <c r="H288" i="37"/>
  <c r="E8" i="37"/>
  <c r="G8" i="37" s="1"/>
  <c r="E16" i="37"/>
  <c r="G16" i="37" s="1"/>
  <c r="E24" i="37"/>
  <c r="G24" i="37" s="1"/>
  <c r="E32" i="37"/>
  <c r="G32" i="37" s="1"/>
  <c r="I32" i="37" s="1"/>
  <c r="F38" i="34" s="1"/>
  <c r="F32" i="12" s="1"/>
  <c r="E40" i="37"/>
  <c r="G40" i="37" s="1"/>
  <c r="E82" i="37"/>
  <c r="G82" i="37" s="1"/>
  <c r="E86" i="37"/>
  <c r="G86" i="37" s="1"/>
  <c r="E80" i="37"/>
  <c r="G80" i="37" s="1"/>
  <c r="E84" i="37"/>
  <c r="G84" i="37" s="1"/>
  <c r="E62" i="37"/>
  <c r="G62" i="37" s="1"/>
  <c r="E116" i="37"/>
  <c r="G116" i="37" s="1"/>
  <c r="I116" i="37" s="1"/>
  <c r="F122" i="34" s="1"/>
  <c r="F116" i="12" s="1"/>
  <c r="E126" i="37"/>
  <c r="G126" i="37" s="1"/>
  <c r="E131" i="37"/>
  <c r="G131" i="37" s="1"/>
  <c r="E147" i="37"/>
  <c r="G147" i="37" s="1"/>
  <c r="I147" i="37" s="1"/>
  <c r="F153" i="34" s="1"/>
  <c r="F147" i="12" s="1"/>
  <c r="E179" i="37"/>
  <c r="G179" i="37" s="1"/>
  <c r="E183" i="37"/>
  <c r="G183" i="37" s="1"/>
  <c r="E202" i="37"/>
  <c r="G202" i="37" s="1"/>
  <c r="E245" i="37"/>
  <c r="G245" i="37" s="1"/>
  <c r="I245" i="37" s="1"/>
  <c r="F251" i="34" s="1"/>
  <c r="F245" i="12" s="1"/>
  <c r="E251" i="37"/>
  <c r="G251" i="37" s="1"/>
  <c r="E50" i="37"/>
  <c r="G50" i="37" s="1"/>
  <c r="E74" i="37"/>
  <c r="G74" i="37" s="1"/>
  <c r="E96" i="37"/>
  <c r="G96" i="37" s="1"/>
  <c r="E110" i="37"/>
  <c r="G110" i="37" s="1"/>
  <c r="E115" i="37"/>
  <c r="G115" i="37" s="1"/>
  <c r="E130" i="37"/>
  <c r="G130" i="37" s="1"/>
  <c r="E187" i="37"/>
  <c r="G187" i="37" s="1"/>
  <c r="E191" i="37"/>
  <c r="G191" i="37" s="1"/>
  <c r="E201" i="37"/>
  <c r="G201" i="37" s="1"/>
  <c r="E210" i="37"/>
  <c r="G210" i="37" s="1"/>
  <c r="E225" i="37"/>
  <c r="G225" i="37" s="1"/>
  <c r="E226" i="37"/>
  <c r="G226" i="37" s="1"/>
  <c r="E231" i="37"/>
  <c r="G231" i="37" s="1"/>
  <c r="E261" i="37"/>
  <c r="G261" i="37" s="1"/>
  <c r="E18" i="37"/>
  <c r="G18" i="37" s="1"/>
  <c r="E26" i="37"/>
  <c r="G26" i="37" s="1"/>
  <c r="E48" i="37"/>
  <c r="G48" i="37" s="1"/>
  <c r="E72" i="37"/>
  <c r="G72" i="37" s="1"/>
  <c r="I72" i="37" s="1"/>
  <c r="F78" i="34" s="1"/>
  <c r="F72" i="12" s="1"/>
  <c r="E92" i="37"/>
  <c r="G92" i="37" s="1"/>
  <c r="E146" i="37"/>
  <c r="G146" i="37" s="1"/>
  <c r="E150" i="37"/>
  <c r="G150" i="37" s="1"/>
  <c r="E154" i="37"/>
  <c r="G154" i="37" s="1"/>
  <c r="E34" i="37"/>
  <c r="G34" i="37" s="1"/>
  <c r="E42" i="37"/>
  <c r="G42" i="37" s="1"/>
  <c r="E64" i="37"/>
  <c r="G64" i="37" s="1"/>
  <c r="E76" i="37"/>
  <c r="G76" i="37" s="1"/>
  <c r="E107" i="37"/>
  <c r="G107" i="37" s="1"/>
  <c r="I107" i="37" s="1"/>
  <c r="F113" i="34" s="1"/>
  <c r="F107" i="12" s="1"/>
  <c r="E114" i="37"/>
  <c r="G114" i="37" s="1"/>
  <c r="E120" i="37"/>
  <c r="G120" i="37" s="1"/>
  <c r="E124" i="37"/>
  <c r="G124" i="37" s="1"/>
  <c r="E134" i="37"/>
  <c r="G134" i="37" s="1"/>
  <c r="E142" i="37"/>
  <c r="G142" i="37" s="1"/>
  <c r="E94" i="37"/>
  <c r="G94" i="37" s="1"/>
  <c r="E138" i="37"/>
  <c r="G138" i="37" s="1"/>
  <c r="E199" i="37"/>
  <c r="G199" i="37" s="1"/>
  <c r="I199" i="37" s="1"/>
  <c r="F205" i="34" s="1"/>
  <c r="F199" i="12" s="1"/>
  <c r="E22" i="37"/>
  <c r="G22" i="37" s="1"/>
  <c r="I22" i="37" s="1"/>
  <c r="F28" i="34" s="1"/>
  <c r="F22" i="12" s="1"/>
  <c r="E30" i="37"/>
  <c r="G30" i="37" s="1"/>
  <c r="E56" i="37"/>
  <c r="G56" i="37" s="1"/>
  <c r="E78" i="37"/>
  <c r="G78" i="37" s="1"/>
  <c r="E102" i="37"/>
  <c r="G102" i="37" s="1"/>
  <c r="E123" i="37"/>
  <c r="G123" i="37" s="1"/>
  <c r="I123" i="37" s="1"/>
  <c r="F129" i="34" s="1"/>
  <c r="F123" i="12" s="1"/>
  <c r="E136" i="37"/>
  <c r="G136" i="37" s="1"/>
  <c r="I136" i="37" s="1"/>
  <c r="F142" i="34" s="1"/>
  <c r="F136" i="12" s="1"/>
  <c r="E140" i="37"/>
  <c r="G140" i="37" s="1"/>
  <c r="E144" i="37"/>
  <c r="G144" i="37" s="1"/>
  <c r="E148" i="37"/>
  <c r="G148" i="37" s="1"/>
  <c r="E178" i="37"/>
  <c r="G178" i="37" s="1"/>
  <c r="E181" i="37"/>
  <c r="G181" i="37" s="1"/>
  <c r="I181" i="37" s="1"/>
  <c r="F187" i="34" s="1"/>
  <c r="F181" i="12" s="1"/>
  <c r="E195" i="37"/>
  <c r="G195" i="37" s="1"/>
  <c r="E211" i="37"/>
  <c r="G211" i="37" s="1"/>
  <c r="E229" i="37"/>
  <c r="G229" i="37" s="1"/>
  <c r="I229" i="37" s="1"/>
  <c r="F235" i="34" s="1"/>
  <c r="F229" i="12" s="1"/>
  <c r="E263" i="37"/>
  <c r="G263" i="37" s="1"/>
  <c r="E275" i="37"/>
  <c r="G275" i="37" s="1"/>
  <c r="E283" i="37"/>
  <c r="G283" i="37" s="1"/>
  <c r="E293" i="37"/>
  <c r="G293" i="37" s="1"/>
  <c r="E38" i="37"/>
  <c r="G38" i="37" s="1"/>
  <c r="E46" i="37"/>
  <c r="G46" i="37" s="1"/>
  <c r="E112" i="37"/>
  <c r="G112" i="37" s="1"/>
  <c r="I112" i="37" s="1"/>
  <c r="F118" i="34" s="1"/>
  <c r="F112" i="12" s="1"/>
  <c r="E132" i="37"/>
  <c r="G132" i="37" s="1"/>
  <c r="I132" i="37" s="1"/>
  <c r="F138" i="34" s="1"/>
  <c r="F132" i="12" s="1"/>
  <c r="E174" i="37"/>
  <c r="G174" i="37" s="1"/>
  <c r="E58" i="37"/>
  <c r="G58" i="37" s="1"/>
  <c r="E88" i="37"/>
  <c r="G88" i="37" s="1"/>
  <c r="E98" i="37"/>
  <c r="G98" i="37" s="1"/>
  <c r="E122" i="37"/>
  <c r="G122" i="37" s="1"/>
  <c r="E143" i="37"/>
  <c r="G143" i="37" s="1"/>
  <c r="E162" i="37"/>
  <c r="G162" i="37" s="1"/>
  <c r="E166" i="37"/>
  <c r="G166" i="37" s="1"/>
  <c r="E170" i="37"/>
  <c r="G170" i="37" s="1"/>
  <c r="E193" i="37"/>
  <c r="G193" i="37" s="1"/>
  <c r="I193" i="37" s="1"/>
  <c r="F199" i="34" s="1"/>
  <c r="F193" i="12" s="1"/>
  <c r="E197" i="37"/>
  <c r="G197" i="37" s="1"/>
  <c r="I197" i="37" s="1"/>
  <c r="F203" i="34" s="1"/>
  <c r="F197" i="12" s="1"/>
  <c r="E207" i="37"/>
  <c r="G207" i="37" s="1"/>
  <c r="E221" i="37"/>
  <c r="G221" i="37" s="1"/>
  <c r="E239" i="37"/>
  <c r="G239" i="37" s="1"/>
  <c r="E259" i="37"/>
  <c r="G259" i="37" s="1"/>
  <c r="E274" i="37"/>
  <c r="G274" i="37" s="1"/>
  <c r="E278" i="37"/>
  <c r="G278" i="37" s="1"/>
  <c r="E282" i="37"/>
  <c r="G282" i="37" s="1"/>
  <c r="E291" i="37"/>
  <c r="G291" i="37" s="1"/>
  <c r="E90" i="37"/>
  <c r="G90" i="37" s="1"/>
  <c r="E106" i="37"/>
  <c r="G106" i="37" s="1"/>
  <c r="I106" i="37" s="1"/>
  <c r="F112" i="34" s="1"/>
  <c r="F106" i="12" s="1"/>
  <c r="E108" i="37"/>
  <c r="G108" i="37" s="1"/>
  <c r="E177" i="37"/>
  <c r="G177" i="37" s="1"/>
  <c r="E68" i="37"/>
  <c r="G68" i="37" s="1"/>
  <c r="E118" i="37"/>
  <c r="G118" i="37" s="1"/>
  <c r="E139" i="37"/>
  <c r="G139" i="37" s="1"/>
  <c r="E158" i="37"/>
  <c r="G158" i="37" s="1"/>
  <c r="E185" i="37"/>
  <c r="G185" i="37" s="1"/>
  <c r="E209" i="37"/>
  <c r="G209" i="37" s="1"/>
  <c r="E217" i="37"/>
  <c r="G217" i="37" s="1"/>
  <c r="E234" i="37"/>
  <c r="G234" i="37" s="1"/>
  <c r="E237" i="37"/>
  <c r="G237" i="37" s="1"/>
  <c r="E273" i="37"/>
  <c r="G273" i="37" s="1"/>
  <c r="E66" i="37"/>
  <c r="G66" i="37" s="1"/>
  <c r="E70" i="37"/>
  <c r="G70" i="37" s="1"/>
  <c r="I70" i="37" s="1"/>
  <c r="F76" i="34" s="1"/>
  <c r="F70" i="12" s="1"/>
  <c r="E258" i="37"/>
  <c r="G258" i="37" s="1"/>
  <c r="E10" i="37"/>
  <c r="G10" i="37" s="1"/>
  <c r="I10" i="37" s="1"/>
  <c r="F16" i="34" s="1"/>
  <c r="F10" i="12" s="1"/>
  <c r="E14" i="37"/>
  <c r="G14" i="37" s="1"/>
  <c r="E128" i="37"/>
  <c r="G128" i="37" s="1"/>
  <c r="E189" i="37"/>
  <c r="G189" i="37" s="1"/>
  <c r="I189" i="37" s="1"/>
  <c r="F195" i="34" s="1"/>
  <c r="F189" i="12" s="1"/>
  <c r="E194" i="37"/>
  <c r="G194" i="37" s="1"/>
  <c r="I194" i="37" s="1"/>
  <c r="F200" i="34" s="1"/>
  <c r="F194" i="12" s="1"/>
  <c r="E203" i="37"/>
  <c r="G203" i="37" s="1"/>
  <c r="E213" i="37"/>
  <c r="G213" i="37" s="1"/>
  <c r="I213" i="37" s="1"/>
  <c r="F219" i="34" s="1"/>
  <c r="F213" i="12" s="1"/>
  <c r="E233" i="37"/>
  <c r="G233" i="37" s="1"/>
  <c r="E242" i="37"/>
  <c r="G242" i="37" s="1"/>
  <c r="E269" i="37"/>
  <c r="G269" i="37" s="1"/>
  <c r="E100" i="37"/>
  <c r="G100" i="37" s="1"/>
  <c r="E205" i="37"/>
  <c r="G205" i="37" s="1"/>
  <c r="E215" i="37"/>
  <c r="G215" i="37" s="1"/>
  <c r="E241" i="37"/>
  <c r="G241" i="37" s="1"/>
  <c r="E247" i="37"/>
  <c r="G247" i="37" s="1"/>
  <c r="E267" i="37"/>
  <c r="G267" i="37" s="1"/>
  <c r="E277" i="37"/>
  <c r="G277" i="37" s="1"/>
  <c r="E295" i="37"/>
  <c r="G295" i="37" s="1"/>
  <c r="E299" i="37"/>
  <c r="G299" i="37" s="1"/>
  <c r="E186" i="37"/>
  <c r="G186" i="37" s="1"/>
  <c r="E218" i="37"/>
  <c r="G218" i="37" s="1"/>
  <c r="I218" i="37" s="1"/>
  <c r="F224" i="34" s="1"/>
  <c r="F218" i="12" s="1"/>
  <c r="E250" i="37"/>
  <c r="G250" i="37" s="1"/>
  <c r="E266" i="37"/>
  <c r="G266" i="37" s="1"/>
  <c r="I266" i="37" s="1"/>
  <c r="F272" i="34" s="1"/>
  <c r="F266" i="12" s="1"/>
  <c r="E285" i="37"/>
  <c r="G285" i="37" s="1"/>
  <c r="E104" i="37"/>
  <c r="G104" i="37" s="1"/>
  <c r="E235" i="37"/>
  <c r="G235" i="37" s="1"/>
  <c r="E253" i="37"/>
  <c r="G253" i="37" s="1"/>
  <c r="E265" i="37"/>
  <c r="G265" i="37" s="1"/>
  <c r="E305" i="37"/>
  <c r="G305" i="37" s="1"/>
  <c r="E54" i="37"/>
  <c r="G54" i="37" s="1"/>
  <c r="E219" i="37"/>
  <c r="G219" i="37" s="1"/>
  <c r="E290" i="37"/>
  <c r="G290" i="37" s="1"/>
  <c r="E297" i="37"/>
  <c r="G297" i="37" s="1"/>
  <c r="E303" i="37"/>
  <c r="G303" i="37" s="1"/>
  <c r="E255" i="37"/>
  <c r="G255" i="37" s="1"/>
  <c r="E289" i="37"/>
  <c r="G289" i="37" s="1"/>
  <c r="E257" i="37"/>
  <c r="G257" i="37" s="1"/>
  <c r="E302" i="37"/>
  <c r="G302" i="37" s="1"/>
  <c r="E249" i="37"/>
  <c r="G249" i="37" s="1"/>
  <c r="E243" i="37"/>
  <c r="G243" i="37" s="1"/>
  <c r="E298" i="37"/>
  <c r="G298" i="37" s="1"/>
  <c r="E223" i="37"/>
  <c r="G223" i="37" s="1"/>
  <c r="E227" i="37"/>
  <c r="G227" i="37" s="1"/>
  <c r="E281" i="37"/>
  <c r="G281" i="37" s="1"/>
  <c r="E287" i="37"/>
  <c r="G287" i="37" s="1"/>
  <c r="E301" i="37"/>
  <c r="G301" i="37" s="1"/>
  <c r="E91" i="37"/>
  <c r="G91" i="37" s="1"/>
  <c r="E155" i="37"/>
  <c r="G155" i="37" s="1"/>
  <c r="E52" i="37"/>
  <c r="G52" i="37" s="1"/>
  <c r="E13" i="37"/>
  <c r="G13" i="37" s="1"/>
  <c r="E19" i="37"/>
  <c r="G19" i="37" s="1"/>
  <c r="E11" i="37"/>
  <c r="G11" i="37" s="1"/>
  <c r="E61" i="37"/>
  <c r="G61" i="37" s="1"/>
  <c r="E125" i="37"/>
  <c r="G125" i="37" s="1"/>
  <c r="E184" i="37"/>
  <c r="G184" i="37" s="1"/>
  <c r="E9" i="37"/>
  <c r="G9" i="37" s="1"/>
  <c r="E51" i="37"/>
  <c r="G51" i="37" s="1"/>
  <c r="E206" i="37"/>
  <c r="G206" i="37" s="1"/>
  <c r="E270" i="37"/>
  <c r="G270" i="37" s="1"/>
  <c r="E79" i="37"/>
  <c r="G79" i="37" s="1"/>
  <c r="E152" i="37"/>
  <c r="G152" i="37" s="1"/>
  <c r="I152" i="37" s="1"/>
  <c r="F158" i="34" s="1"/>
  <c r="F152" i="12" s="1"/>
  <c r="E216" i="37"/>
  <c r="G216" i="37" s="1"/>
  <c r="E280" i="37"/>
  <c r="G280" i="37" s="1"/>
  <c r="E99" i="37"/>
  <c r="G99" i="37" s="1"/>
  <c r="I99" i="37" s="1"/>
  <c r="F105" i="34" s="1"/>
  <c r="F99" i="12" s="1"/>
  <c r="E208" i="37"/>
  <c r="G208" i="37" s="1"/>
  <c r="E272" i="37"/>
  <c r="G272" i="37" s="1"/>
  <c r="E180" i="37"/>
  <c r="G180" i="37" s="1"/>
  <c r="E77" i="37"/>
  <c r="G77" i="37" s="1"/>
  <c r="I77" i="37" s="1"/>
  <c r="F83" i="34" s="1"/>
  <c r="F77" i="12" s="1"/>
  <c r="E254" i="37"/>
  <c r="G254" i="37" s="1"/>
  <c r="E153" i="37"/>
  <c r="G153" i="37" s="1"/>
  <c r="E236" i="37"/>
  <c r="G236" i="37" s="1"/>
  <c r="E75" i="37"/>
  <c r="G75" i="37" s="1"/>
  <c r="E73" i="37"/>
  <c r="G73" i="37" s="1"/>
  <c r="E284" i="37"/>
  <c r="G284" i="37" s="1"/>
  <c r="E238" i="37"/>
  <c r="G238" i="37" s="1"/>
  <c r="I238" i="37" s="1"/>
  <c r="F244" i="34" s="1"/>
  <c r="F238" i="12" s="1"/>
  <c r="E230" i="37"/>
  <c r="G230" i="37" s="1"/>
  <c r="I230" i="37" s="1"/>
  <c r="F236" i="34" s="1"/>
  <c r="F230" i="12" s="1"/>
  <c r="E31" i="37"/>
  <c r="G31" i="37" s="1"/>
  <c r="I31" i="37" s="1"/>
  <c r="F37" i="34" s="1"/>
  <c r="F31" i="12" s="1"/>
  <c r="E204" i="37"/>
  <c r="G204" i="37" s="1"/>
  <c r="I204" i="37" s="1"/>
  <c r="F210" i="34" s="1"/>
  <c r="F204" i="12" s="1"/>
  <c r="E268" i="37"/>
  <c r="G268" i="37" s="1"/>
  <c r="E271" i="37"/>
  <c r="G271" i="37" s="1"/>
  <c r="E224" i="37"/>
  <c r="G224" i="37" s="1"/>
  <c r="E41" i="37"/>
  <c r="G41" i="37" s="1"/>
  <c r="E163" i="37"/>
  <c r="G163" i="37" s="1"/>
  <c r="I163" i="37" s="1"/>
  <c r="F169" i="34" s="1"/>
  <c r="F163" i="12" s="1"/>
  <c r="E33" i="37"/>
  <c r="G33" i="37" s="1"/>
  <c r="E97" i="37"/>
  <c r="G97" i="37" s="1"/>
  <c r="I97" i="37" s="1"/>
  <c r="F103" i="34" s="1"/>
  <c r="F97" i="12" s="1"/>
  <c r="E85" i="37"/>
  <c r="G85" i="37" s="1"/>
  <c r="I85" i="37" s="1"/>
  <c r="F91" i="34" s="1"/>
  <c r="F85" i="12" s="1"/>
  <c r="E63" i="37"/>
  <c r="G63" i="37" s="1"/>
  <c r="E127" i="37"/>
  <c r="G127" i="37" s="1"/>
  <c r="E244" i="37"/>
  <c r="G244" i="37" s="1"/>
  <c r="E182" i="37"/>
  <c r="G182" i="37" s="1"/>
  <c r="E83" i="37"/>
  <c r="G83" i="37" s="1"/>
  <c r="E137" i="37"/>
  <c r="G137" i="37" s="1"/>
  <c r="E53" i="37"/>
  <c r="G53" i="37" s="1"/>
  <c r="I53" i="37" s="1"/>
  <c r="F59" i="34" s="1"/>
  <c r="F53" i="12" s="1"/>
  <c r="E294" i="37"/>
  <c r="G294" i="37" s="1"/>
  <c r="E103" i="37"/>
  <c r="G103" i="37" s="1"/>
  <c r="E286" i="37"/>
  <c r="G286" i="37" s="1"/>
  <c r="E47" i="37"/>
  <c r="G47" i="37" s="1"/>
  <c r="E12" i="37"/>
  <c r="G12" i="37" s="1"/>
  <c r="E37" i="37"/>
  <c r="G37" i="37" s="1"/>
  <c r="I37" i="37" s="1"/>
  <c r="F43" i="34" s="1"/>
  <c r="F37" i="12" s="1"/>
  <c r="E151" i="37"/>
  <c r="G151" i="37" s="1"/>
  <c r="I151" i="37" s="1"/>
  <c r="F157" i="34" s="1"/>
  <c r="F151" i="12" s="1"/>
  <c r="E279" i="37"/>
  <c r="G279" i="37" s="1"/>
  <c r="I279" i="37" s="1"/>
  <c r="F285" i="34" s="1"/>
  <c r="F279" i="12" s="1"/>
  <c r="E49" i="37"/>
  <c r="G49" i="37" s="1"/>
  <c r="E169" i="37"/>
  <c r="G169" i="37" s="1"/>
  <c r="I169" i="37" s="1"/>
  <c r="F175" i="34" s="1"/>
  <c r="F169" i="12" s="1"/>
  <c r="E60" i="37"/>
  <c r="G60" i="37" s="1"/>
  <c r="E188" i="37"/>
  <c r="G188" i="37" s="1"/>
  <c r="E198" i="37"/>
  <c r="G198" i="37" s="1"/>
  <c r="E141" i="37"/>
  <c r="G141" i="37" s="1"/>
  <c r="I141" i="37" s="1"/>
  <c r="F147" i="34" s="1"/>
  <c r="F141" i="12" s="1"/>
  <c r="E135" i="37"/>
  <c r="G135" i="37" s="1"/>
  <c r="I135" i="37" s="1"/>
  <c r="F141" i="34" s="1"/>
  <c r="F135" i="12" s="1"/>
  <c r="E300" i="37"/>
  <c r="G300" i="37" s="1"/>
  <c r="I300" i="37" s="1"/>
  <c r="F306" i="34" s="1"/>
  <c r="F300" i="12" s="1"/>
  <c r="E304" i="37"/>
  <c r="G304" i="37" s="1"/>
  <c r="E192" i="37"/>
  <c r="G192" i="37" s="1"/>
  <c r="E145" i="37"/>
  <c r="G145" i="37" s="1"/>
  <c r="E117" i="37"/>
  <c r="G117" i="37" s="1"/>
  <c r="E39" i="37"/>
  <c r="G39" i="37" s="1"/>
  <c r="E167" i="37"/>
  <c r="G167" i="37" s="1"/>
  <c r="I167" i="37" s="1"/>
  <c r="F173" i="34" s="1"/>
  <c r="F167" i="12" s="1"/>
  <c r="E176" i="37"/>
  <c r="G176" i="37" s="1"/>
  <c r="I176" i="37" s="1"/>
  <c r="F182" i="34" s="1"/>
  <c r="F176" i="12" s="1"/>
  <c r="E248" i="37"/>
  <c r="G248" i="37" s="1"/>
  <c r="E214" i="37"/>
  <c r="G214" i="37" s="1"/>
  <c r="I214" i="37" s="1"/>
  <c r="F220" i="34" s="1"/>
  <c r="F214" i="12" s="1"/>
  <c r="E23" i="37"/>
  <c r="G23" i="37" s="1"/>
  <c r="E87" i="37"/>
  <c r="G87" i="37" s="1"/>
  <c r="I87" i="37" s="1"/>
  <c r="F93" i="34" s="1"/>
  <c r="F87" i="12" s="1"/>
  <c r="E232" i="37"/>
  <c r="G232" i="37" s="1"/>
  <c r="E105" i="37"/>
  <c r="G105" i="37" s="1"/>
  <c r="I105" i="37" s="1"/>
  <c r="F111" i="34" s="1"/>
  <c r="F105" i="12" s="1"/>
  <c r="E262" i="37"/>
  <c r="G262" i="37" s="1"/>
  <c r="I262" i="37" s="1"/>
  <c r="F268" i="34" s="1"/>
  <c r="F262" i="12" s="1"/>
  <c r="E7" i="37"/>
  <c r="G7" i="37" s="1"/>
  <c r="E161" i="37"/>
  <c r="G161" i="37" s="1"/>
  <c r="I161" i="37" s="1"/>
  <c r="F167" i="34" s="1"/>
  <c r="F161" i="12" s="1"/>
  <c r="E264" i="37"/>
  <c r="G264" i="37" s="1"/>
  <c r="E69" i="37"/>
  <c r="G69" i="37" s="1"/>
  <c r="E55" i="37"/>
  <c r="G55" i="37" s="1"/>
  <c r="E119" i="37"/>
  <c r="G119" i="37" s="1"/>
  <c r="E256" i="37"/>
  <c r="G256" i="37" s="1"/>
  <c r="I256" i="37" s="1"/>
  <c r="F262" i="34" s="1"/>
  <c r="F256" i="12" s="1"/>
  <c r="E81" i="37"/>
  <c r="G81" i="37" s="1"/>
  <c r="E28" i="37"/>
  <c r="G28" i="37" s="1"/>
  <c r="I28" i="37" s="1"/>
  <c r="F34" i="34" s="1"/>
  <c r="F28" i="12" s="1"/>
  <c r="E65" i="37"/>
  <c r="G65" i="37" s="1"/>
  <c r="E59" i="37"/>
  <c r="G59" i="37" s="1"/>
  <c r="E20" i="37"/>
  <c r="G20" i="37" s="1"/>
  <c r="E212" i="37"/>
  <c r="G212" i="37" s="1"/>
  <c r="I212" i="37" s="1"/>
  <c r="F218" i="34" s="1"/>
  <c r="F212" i="12" s="1"/>
  <c r="E276" i="37"/>
  <c r="G276" i="37" s="1"/>
  <c r="E95" i="37"/>
  <c r="G95" i="37" s="1"/>
  <c r="E168" i="37"/>
  <c r="G168" i="37" s="1"/>
  <c r="E101" i="37"/>
  <c r="G101" i="37" s="1"/>
  <c r="E222" i="37"/>
  <c r="G222" i="37" s="1"/>
  <c r="E160" i="37"/>
  <c r="G160" i="37" s="1"/>
  <c r="E288" i="37"/>
  <c r="G288" i="37" s="1"/>
  <c r="I288" i="37" s="1"/>
  <c r="F294" i="34" s="1"/>
  <c r="F288" i="12" s="1"/>
  <c r="E113" i="37"/>
  <c r="G113" i="37" s="1"/>
  <c r="E43" i="37"/>
  <c r="G43" i="37" s="1"/>
  <c r="E15" i="37"/>
  <c r="G15" i="37" s="1"/>
  <c r="E71" i="37"/>
  <c r="G71" i="37" s="1"/>
  <c r="I71" i="37" s="1"/>
  <c r="F77" i="34" s="1"/>
  <c r="F71" i="12" s="1"/>
  <c r="E200" i="37"/>
  <c r="G200" i="37" s="1"/>
  <c r="I200" i="37" s="1"/>
  <c r="F206" i="34" s="1"/>
  <c r="F200" i="12" s="1"/>
  <c r="E25" i="37"/>
  <c r="G25" i="37" s="1"/>
  <c r="E44" i="37"/>
  <c r="G44" i="37" s="1"/>
  <c r="E133" i="37"/>
  <c r="G133" i="37" s="1"/>
  <c r="E17" i="37"/>
  <c r="G17" i="37" s="1"/>
  <c r="I17" i="37" s="1"/>
  <c r="F23" i="34" s="1"/>
  <c r="F17" i="12" s="1"/>
  <c r="E36" i="37"/>
  <c r="G36" i="37" s="1"/>
  <c r="I36" i="37" s="1"/>
  <c r="F42" i="34" s="1"/>
  <c r="F36" i="12" s="1"/>
  <c r="E156" i="37"/>
  <c r="G156" i="37" s="1"/>
  <c r="E129" i="37"/>
  <c r="G129" i="37" s="1"/>
  <c r="E220" i="37"/>
  <c r="G220" i="37" s="1"/>
  <c r="I220" i="37" s="1"/>
  <c r="F226" i="34" s="1"/>
  <c r="F220" i="12" s="1"/>
  <c r="E45" i="37"/>
  <c r="G45" i="37" s="1"/>
  <c r="I45" i="37" s="1"/>
  <c r="F51" i="34" s="1"/>
  <c r="F45" i="12" s="1"/>
  <c r="E240" i="37"/>
  <c r="G240" i="37" s="1"/>
  <c r="E296" i="37"/>
  <c r="G296" i="37" s="1"/>
  <c r="E171" i="37"/>
  <c r="G171" i="37" s="1"/>
  <c r="E260" i="37"/>
  <c r="G260" i="37" s="1"/>
  <c r="E21" i="37"/>
  <c r="G21" i="37" s="1"/>
  <c r="E89" i="37"/>
  <c r="G89" i="37" s="1"/>
  <c r="I89" i="37" s="1"/>
  <c r="F95" i="34" s="1"/>
  <c r="F89" i="12" s="1"/>
  <c r="E190" i="37"/>
  <c r="G190" i="37" s="1"/>
  <c r="I190" i="37" s="1"/>
  <c r="F196" i="34" s="1"/>
  <c r="F190" i="12" s="1"/>
  <c r="E164" i="37"/>
  <c r="G164" i="37" s="1"/>
  <c r="I164" i="37" s="1"/>
  <c r="F170" i="34" s="1"/>
  <c r="F164" i="12" s="1"/>
  <c r="E246" i="37"/>
  <c r="G246" i="37" s="1"/>
  <c r="E111" i="37"/>
  <c r="G111" i="37" s="1"/>
  <c r="E228" i="37"/>
  <c r="G228" i="37" s="1"/>
  <c r="E57" i="37"/>
  <c r="G57" i="37" s="1"/>
  <c r="E165" i="37"/>
  <c r="G165" i="37" s="1"/>
  <c r="I165" i="37" s="1"/>
  <c r="F171" i="34" s="1"/>
  <c r="F165" i="12" s="1"/>
  <c r="E196" i="37"/>
  <c r="G196" i="37" s="1"/>
  <c r="I196" i="37" s="1"/>
  <c r="F202" i="34" s="1"/>
  <c r="F196" i="12" s="1"/>
  <c r="E149" i="37"/>
  <c r="G149" i="37" s="1"/>
  <c r="I149" i="37" s="1"/>
  <c r="F155" i="34" s="1"/>
  <c r="F149" i="12" s="1"/>
  <c r="E27" i="37"/>
  <c r="G27" i="37" s="1"/>
  <c r="I27" i="37" s="1"/>
  <c r="F33" i="34" s="1"/>
  <c r="F27" i="12" s="1"/>
  <c r="E252" i="37"/>
  <c r="G252" i="37" s="1"/>
  <c r="E172" i="37"/>
  <c r="G172" i="37" s="1"/>
  <c r="I172" i="37" s="1"/>
  <c r="F178" i="34" s="1"/>
  <c r="F172" i="12" s="1"/>
  <c r="E292" i="37"/>
  <c r="G292" i="37" s="1"/>
  <c r="E175" i="37"/>
  <c r="G175" i="37" s="1"/>
  <c r="I175" i="37" s="1"/>
  <c r="F181" i="34" s="1"/>
  <c r="F175" i="12" s="1"/>
  <c r="E67" i="37"/>
  <c r="G67" i="37" s="1"/>
  <c r="E109" i="37"/>
  <c r="G109" i="37" s="1"/>
  <c r="I109" i="37" s="1"/>
  <c r="F115" i="34" s="1"/>
  <c r="F109" i="12" s="1"/>
  <c r="E173" i="37"/>
  <c r="G173" i="37" s="1"/>
  <c r="I173" i="37" s="1"/>
  <c r="F179" i="34" s="1"/>
  <c r="F173" i="12" s="1"/>
  <c r="E159" i="37"/>
  <c r="G159" i="37" s="1"/>
  <c r="E121" i="37"/>
  <c r="G121" i="37" s="1"/>
  <c r="E29" i="37"/>
  <c r="G29" i="37" s="1"/>
  <c r="I29" i="37" s="1"/>
  <c r="F35" i="34" s="1"/>
  <c r="F29" i="12" s="1"/>
  <c r="E93" i="37"/>
  <c r="G93" i="37" s="1"/>
  <c r="I93" i="37" s="1"/>
  <c r="F99" i="34" s="1"/>
  <c r="F93" i="12" s="1"/>
  <c r="E35" i="37"/>
  <c r="G35" i="37" s="1"/>
  <c r="E157" i="37"/>
  <c r="G157" i="37" s="1"/>
  <c r="K8" i="49"/>
  <c r="L8" i="49" s="1"/>
  <c r="H7" i="25" s="1"/>
  <c r="J8" i="54" s="1"/>
  <c r="K8" i="54" s="1"/>
  <c r="K16" i="49"/>
  <c r="L16" i="49" s="1"/>
  <c r="H15" i="25" s="1"/>
  <c r="K24" i="49"/>
  <c r="L24" i="49" s="1"/>
  <c r="H23" i="25" s="1"/>
  <c r="J24" i="54" s="1"/>
  <c r="K24" i="54" s="1"/>
  <c r="K32" i="49"/>
  <c r="L32" i="49" s="1"/>
  <c r="H31" i="25" s="1"/>
  <c r="K40" i="49"/>
  <c r="L40" i="49" s="1"/>
  <c r="H39" i="25" s="1"/>
  <c r="J40" i="54" s="1"/>
  <c r="K40" i="54" s="1"/>
  <c r="K48" i="49"/>
  <c r="L48" i="49" s="1"/>
  <c r="H47" i="25" s="1"/>
  <c r="K56" i="49"/>
  <c r="L56" i="49" s="1"/>
  <c r="H55" i="25" s="1"/>
  <c r="J56" i="54" s="1"/>
  <c r="K56" i="54" s="1"/>
  <c r="K64" i="49"/>
  <c r="L64" i="49" s="1"/>
  <c r="K72" i="49"/>
  <c r="L72" i="49" s="1"/>
  <c r="H71" i="25" s="1"/>
  <c r="J72" i="54" s="1"/>
  <c r="K72" i="54" s="1"/>
  <c r="K80" i="49"/>
  <c r="L80" i="49" s="1"/>
  <c r="H79" i="25" s="1"/>
  <c r="K88" i="49"/>
  <c r="L88" i="49" s="1"/>
  <c r="H87" i="25" s="1"/>
  <c r="J88" i="54" s="1"/>
  <c r="K88" i="54" s="1"/>
  <c r="K96" i="49"/>
  <c r="L96" i="49" s="1"/>
  <c r="H95" i="25" s="1"/>
  <c r="K104" i="49"/>
  <c r="L104" i="49" s="1"/>
  <c r="H103" i="25" s="1"/>
  <c r="J104" i="54" s="1"/>
  <c r="K104" i="54" s="1"/>
  <c r="K112" i="49"/>
  <c r="L112" i="49" s="1"/>
  <c r="H111" i="25" s="1"/>
  <c r="K120" i="49"/>
  <c r="L120" i="49" s="1"/>
  <c r="H119" i="25" s="1"/>
  <c r="J120" i="54" s="1"/>
  <c r="K120" i="54" s="1"/>
  <c r="K128" i="49"/>
  <c r="L128" i="49" s="1"/>
  <c r="K136" i="49"/>
  <c r="L136" i="49" s="1"/>
  <c r="H135" i="25" s="1"/>
  <c r="J136" i="54" s="1"/>
  <c r="K136" i="54" s="1"/>
  <c r="K144" i="49"/>
  <c r="L144" i="49" s="1"/>
  <c r="H143" i="25" s="1"/>
  <c r="K9" i="49"/>
  <c r="L9" i="49" s="1"/>
  <c r="H8" i="25" s="1"/>
  <c r="J9" i="54" s="1"/>
  <c r="K9" i="54" s="1"/>
  <c r="K17" i="49"/>
  <c r="L17" i="49" s="1"/>
  <c r="K25" i="49"/>
  <c r="L25" i="49" s="1"/>
  <c r="H24" i="25" s="1"/>
  <c r="J25" i="54" s="1"/>
  <c r="K25" i="54" s="1"/>
  <c r="K33" i="49"/>
  <c r="L33" i="49" s="1"/>
  <c r="H32" i="25" s="1"/>
  <c r="K41" i="49"/>
  <c r="L41" i="49" s="1"/>
  <c r="H40" i="25" s="1"/>
  <c r="J41" i="54" s="1"/>
  <c r="K41" i="54" s="1"/>
  <c r="K49" i="49"/>
  <c r="L49" i="49" s="1"/>
  <c r="K57" i="49"/>
  <c r="L57" i="49" s="1"/>
  <c r="H56" i="25" s="1"/>
  <c r="J57" i="54" s="1"/>
  <c r="K57" i="54" s="1"/>
  <c r="K65" i="49"/>
  <c r="L65" i="49" s="1"/>
  <c r="H64" i="25" s="1"/>
  <c r="K73" i="49"/>
  <c r="L73" i="49" s="1"/>
  <c r="H72" i="25" s="1"/>
  <c r="J73" i="54" s="1"/>
  <c r="K73" i="54" s="1"/>
  <c r="K81" i="49"/>
  <c r="L81" i="49" s="1"/>
  <c r="K89" i="49"/>
  <c r="L89" i="49" s="1"/>
  <c r="H88" i="25" s="1"/>
  <c r="J89" i="54" s="1"/>
  <c r="K89" i="54" s="1"/>
  <c r="K97" i="49"/>
  <c r="L97" i="49" s="1"/>
  <c r="H96" i="25" s="1"/>
  <c r="K105" i="49"/>
  <c r="L105" i="49" s="1"/>
  <c r="H104" i="25" s="1"/>
  <c r="J105" i="54" s="1"/>
  <c r="K105" i="54" s="1"/>
  <c r="K113" i="49"/>
  <c r="L113" i="49" s="1"/>
  <c r="K121" i="49"/>
  <c r="L121" i="49" s="1"/>
  <c r="H120" i="25" s="1"/>
  <c r="J121" i="54" s="1"/>
  <c r="K121" i="54" s="1"/>
  <c r="K129" i="49"/>
  <c r="L129" i="49" s="1"/>
  <c r="H128" i="25" s="1"/>
  <c r="K137" i="49"/>
  <c r="L137" i="49" s="1"/>
  <c r="H136" i="25" s="1"/>
  <c r="J137" i="54" s="1"/>
  <c r="K137" i="54" s="1"/>
  <c r="K10" i="49"/>
  <c r="L10" i="49" s="1"/>
  <c r="H9" i="25" s="1"/>
  <c r="K18" i="49"/>
  <c r="L18" i="49" s="1"/>
  <c r="H17" i="25" s="1"/>
  <c r="J18" i="54" s="1"/>
  <c r="K18" i="54" s="1"/>
  <c r="K26" i="49"/>
  <c r="L26" i="49" s="1"/>
  <c r="H25" i="25" s="1"/>
  <c r="K34" i="49"/>
  <c r="L34" i="49" s="1"/>
  <c r="H33" i="25" s="1"/>
  <c r="J34" i="54" s="1"/>
  <c r="K34" i="54" s="1"/>
  <c r="K42" i="49"/>
  <c r="L42" i="49" s="1"/>
  <c r="H41" i="25" s="1"/>
  <c r="J42" i="54" s="1"/>
  <c r="K42" i="54" s="1"/>
  <c r="K50" i="49"/>
  <c r="L50" i="49" s="1"/>
  <c r="H49" i="25" s="1"/>
  <c r="J50" i="54" s="1"/>
  <c r="K50" i="54" s="1"/>
  <c r="K58" i="49"/>
  <c r="L58" i="49" s="1"/>
  <c r="K66" i="49"/>
  <c r="L66" i="49" s="1"/>
  <c r="H65" i="25" s="1"/>
  <c r="J66" i="54" s="1"/>
  <c r="K66" i="54" s="1"/>
  <c r="K74" i="49"/>
  <c r="L74" i="49" s="1"/>
  <c r="K82" i="49"/>
  <c r="L82" i="49" s="1"/>
  <c r="H81" i="25" s="1"/>
  <c r="J82" i="54" s="1"/>
  <c r="K82" i="54" s="1"/>
  <c r="K90" i="49"/>
  <c r="L90" i="49" s="1"/>
  <c r="H89" i="25" s="1"/>
  <c r="K98" i="49"/>
  <c r="L98" i="49" s="1"/>
  <c r="H97" i="25" s="1"/>
  <c r="J98" i="54" s="1"/>
  <c r="K98" i="54" s="1"/>
  <c r="K106" i="49"/>
  <c r="L106" i="49" s="1"/>
  <c r="H105" i="25" s="1"/>
  <c r="J106" i="54" s="1"/>
  <c r="K106" i="54" s="1"/>
  <c r="K114" i="49"/>
  <c r="L114" i="49" s="1"/>
  <c r="H113" i="25" s="1"/>
  <c r="J114" i="54" s="1"/>
  <c r="K114" i="54" s="1"/>
  <c r="K122" i="49"/>
  <c r="L122" i="49" s="1"/>
  <c r="H121" i="25" s="1"/>
  <c r="K130" i="49"/>
  <c r="L130" i="49" s="1"/>
  <c r="H129" i="25" s="1"/>
  <c r="J130" i="54" s="1"/>
  <c r="K130" i="54" s="1"/>
  <c r="K138" i="49"/>
  <c r="L138" i="49" s="1"/>
  <c r="H137" i="25" s="1"/>
  <c r="K11" i="49"/>
  <c r="L11" i="49" s="1"/>
  <c r="H10" i="25" s="1"/>
  <c r="J11" i="54" s="1"/>
  <c r="K11" i="54" s="1"/>
  <c r="K19" i="49"/>
  <c r="L19" i="49" s="1"/>
  <c r="H18" i="25" s="1"/>
  <c r="K27" i="49"/>
  <c r="L27" i="49" s="1"/>
  <c r="H26" i="25" s="1"/>
  <c r="J27" i="54" s="1"/>
  <c r="K27" i="54" s="1"/>
  <c r="K35" i="49"/>
  <c r="L35" i="49" s="1"/>
  <c r="K43" i="49"/>
  <c r="L43" i="49" s="1"/>
  <c r="H42" i="25" s="1"/>
  <c r="J43" i="54" s="1"/>
  <c r="K43" i="54" s="1"/>
  <c r="K51" i="49"/>
  <c r="L51" i="49" s="1"/>
  <c r="H50" i="25" s="1"/>
  <c r="K59" i="49"/>
  <c r="L59" i="49" s="1"/>
  <c r="H58" i="25" s="1"/>
  <c r="J59" i="54" s="1"/>
  <c r="K59" i="54" s="1"/>
  <c r="K67" i="49"/>
  <c r="L67" i="49" s="1"/>
  <c r="K75" i="49"/>
  <c r="L75" i="49" s="1"/>
  <c r="H74" i="25" s="1"/>
  <c r="J75" i="54" s="1"/>
  <c r="K75" i="54" s="1"/>
  <c r="K83" i="49"/>
  <c r="L83" i="49" s="1"/>
  <c r="H82" i="25" s="1"/>
  <c r="K91" i="49"/>
  <c r="L91" i="49" s="1"/>
  <c r="H90" i="25" s="1"/>
  <c r="J91" i="54" s="1"/>
  <c r="K91" i="54" s="1"/>
  <c r="K99" i="49"/>
  <c r="L99" i="49" s="1"/>
  <c r="K107" i="49"/>
  <c r="L107" i="49" s="1"/>
  <c r="H106" i="25" s="1"/>
  <c r="J107" i="54" s="1"/>
  <c r="K107" i="54" s="1"/>
  <c r="K115" i="49"/>
  <c r="L115" i="49" s="1"/>
  <c r="K123" i="49"/>
  <c r="L123" i="49" s="1"/>
  <c r="H122" i="25" s="1"/>
  <c r="J123" i="54" s="1"/>
  <c r="K123" i="54" s="1"/>
  <c r="K131" i="49"/>
  <c r="L131" i="49" s="1"/>
  <c r="H130" i="25" s="1"/>
  <c r="K139" i="49"/>
  <c r="L139" i="49" s="1"/>
  <c r="H138" i="25" s="1"/>
  <c r="J139" i="54" s="1"/>
  <c r="K139" i="54" s="1"/>
  <c r="K12" i="49"/>
  <c r="L12" i="49" s="1"/>
  <c r="H11" i="25" s="1"/>
  <c r="K20" i="49"/>
  <c r="L20" i="49" s="1"/>
  <c r="H19" i="25" s="1"/>
  <c r="J20" i="54" s="1"/>
  <c r="K20" i="54" s="1"/>
  <c r="K28" i="49"/>
  <c r="L28" i="49" s="1"/>
  <c r="K36" i="49"/>
  <c r="L36" i="49" s="1"/>
  <c r="H35" i="25" s="1"/>
  <c r="J36" i="54" s="1"/>
  <c r="K36" i="54" s="1"/>
  <c r="K44" i="49"/>
  <c r="L44" i="49" s="1"/>
  <c r="H43" i="25" s="1"/>
  <c r="K52" i="49"/>
  <c r="L52" i="49" s="1"/>
  <c r="H51" i="25" s="1"/>
  <c r="J52" i="54" s="1"/>
  <c r="K52" i="54" s="1"/>
  <c r="K60" i="49"/>
  <c r="L60" i="49" s="1"/>
  <c r="H59" i="25" s="1"/>
  <c r="K68" i="49"/>
  <c r="L68" i="49" s="1"/>
  <c r="H67" i="25" s="1"/>
  <c r="J68" i="54" s="1"/>
  <c r="K68" i="54" s="1"/>
  <c r="K76" i="49"/>
  <c r="L76" i="49" s="1"/>
  <c r="H75" i="25" s="1"/>
  <c r="K84" i="49"/>
  <c r="L84" i="49" s="1"/>
  <c r="H83" i="25" s="1"/>
  <c r="J84" i="54" s="1"/>
  <c r="K84" i="54" s="1"/>
  <c r="K92" i="49"/>
  <c r="L92" i="49" s="1"/>
  <c r="K100" i="49"/>
  <c r="L100" i="49" s="1"/>
  <c r="H99" i="25" s="1"/>
  <c r="J100" i="54" s="1"/>
  <c r="K100" i="54" s="1"/>
  <c r="K108" i="49"/>
  <c r="L108" i="49" s="1"/>
  <c r="H107" i="25" s="1"/>
  <c r="K116" i="49"/>
  <c r="L116" i="49" s="1"/>
  <c r="H115" i="25" s="1"/>
  <c r="J116" i="54" s="1"/>
  <c r="K116" i="54" s="1"/>
  <c r="K124" i="49"/>
  <c r="L124" i="49" s="1"/>
  <c r="H123" i="25" s="1"/>
  <c r="K132" i="49"/>
  <c r="L132" i="49" s="1"/>
  <c r="H131" i="25" s="1"/>
  <c r="J132" i="54" s="1"/>
  <c r="K132" i="54" s="1"/>
  <c r="K140" i="49"/>
  <c r="L140" i="49" s="1"/>
  <c r="H139" i="25" s="1"/>
  <c r="K14" i="49"/>
  <c r="L14" i="49" s="1"/>
  <c r="H13" i="25" s="1"/>
  <c r="J14" i="54" s="1"/>
  <c r="K14" i="54" s="1"/>
  <c r="K22" i="49"/>
  <c r="L22" i="49" s="1"/>
  <c r="H21" i="25" s="1"/>
  <c r="J22" i="54" s="1"/>
  <c r="K22" i="54" s="1"/>
  <c r="K30" i="49"/>
  <c r="L30" i="49" s="1"/>
  <c r="H29" i="25" s="1"/>
  <c r="J30" i="54" s="1"/>
  <c r="K30" i="54" s="1"/>
  <c r="K38" i="49"/>
  <c r="L38" i="49" s="1"/>
  <c r="H37" i="25" s="1"/>
  <c r="K46" i="49"/>
  <c r="L46" i="49" s="1"/>
  <c r="H45" i="25" s="1"/>
  <c r="J46" i="54" s="1"/>
  <c r="K46" i="54" s="1"/>
  <c r="K54" i="49"/>
  <c r="L54" i="49" s="1"/>
  <c r="H53" i="25" s="1"/>
  <c r="K62" i="49"/>
  <c r="L62" i="49" s="1"/>
  <c r="H61" i="25" s="1"/>
  <c r="J62" i="54" s="1"/>
  <c r="K62" i="54" s="1"/>
  <c r="K70" i="49"/>
  <c r="L70" i="49" s="1"/>
  <c r="H69" i="25" s="1"/>
  <c r="K78" i="49"/>
  <c r="L78" i="49" s="1"/>
  <c r="H77" i="25" s="1"/>
  <c r="J78" i="54" s="1"/>
  <c r="K78" i="54" s="1"/>
  <c r="K86" i="49"/>
  <c r="L86" i="49" s="1"/>
  <c r="K94" i="49"/>
  <c r="L94" i="49" s="1"/>
  <c r="H93" i="25" s="1"/>
  <c r="J94" i="54" s="1"/>
  <c r="K94" i="54" s="1"/>
  <c r="K102" i="49"/>
  <c r="L102" i="49" s="1"/>
  <c r="H101" i="25" s="1"/>
  <c r="K110" i="49"/>
  <c r="L110" i="49" s="1"/>
  <c r="H109" i="25" s="1"/>
  <c r="J110" i="54" s="1"/>
  <c r="K110" i="54" s="1"/>
  <c r="K118" i="49"/>
  <c r="L118" i="49" s="1"/>
  <c r="H117" i="25" s="1"/>
  <c r="K126" i="49"/>
  <c r="L126" i="49" s="1"/>
  <c r="H125" i="25" s="1"/>
  <c r="J126" i="54" s="1"/>
  <c r="K126" i="54" s="1"/>
  <c r="K134" i="49"/>
  <c r="L134" i="49" s="1"/>
  <c r="H133" i="25" s="1"/>
  <c r="K142" i="49"/>
  <c r="L142" i="49" s="1"/>
  <c r="H141" i="25" s="1"/>
  <c r="J142" i="54" s="1"/>
  <c r="K142" i="54" s="1"/>
  <c r="K15" i="49"/>
  <c r="L15" i="49" s="1"/>
  <c r="H14" i="25" s="1"/>
  <c r="K47" i="49"/>
  <c r="L47" i="49" s="1"/>
  <c r="H46" i="25" s="1"/>
  <c r="J47" i="54" s="1"/>
  <c r="K47" i="54" s="1"/>
  <c r="K79" i="49"/>
  <c r="L79" i="49" s="1"/>
  <c r="K119" i="49"/>
  <c r="L119" i="49" s="1"/>
  <c r="H118" i="25" s="1"/>
  <c r="J119" i="54" s="1"/>
  <c r="K119" i="54" s="1"/>
  <c r="K127" i="49"/>
  <c r="L127" i="49" s="1"/>
  <c r="H126" i="25" s="1"/>
  <c r="K154" i="49"/>
  <c r="L154" i="49" s="1"/>
  <c r="H153" i="25" s="1"/>
  <c r="J154" i="54" s="1"/>
  <c r="K154" i="54" s="1"/>
  <c r="K162" i="49"/>
  <c r="L162" i="49" s="1"/>
  <c r="H161" i="25" s="1"/>
  <c r="K170" i="49"/>
  <c r="L170" i="49" s="1"/>
  <c r="H169" i="25" s="1"/>
  <c r="J170" i="54" s="1"/>
  <c r="K170" i="54" s="1"/>
  <c r="K178" i="49"/>
  <c r="L178" i="49" s="1"/>
  <c r="K186" i="49"/>
  <c r="L186" i="49" s="1"/>
  <c r="H185" i="25" s="1"/>
  <c r="J186" i="54" s="1"/>
  <c r="K186" i="54" s="1"/>
  <c r="K194" i="49"/>
  <c r="L194" i="49" s="1"/>
  <c r="H193" i="25" s="1"/>
  <c r="K202" i="49"/>
  <c r="L202" i="49" s="1"/>
  <c r="H201" i="25" s="1"/>
  <c r="J202" i="54" s="1"/>
  <c r="K202" i="54" s="1"/>
  <c r="K210" i="49"/>
  <c r="L210" i="49" s="1"/>
  <c r="H209" i="25" s="1"/>
  <c r="K218" i="49"/>
  <c r="L218" i="49" s="1"/>
  <c r="H217" i="25" s="1"/>
  <c r="J218" i="54" s="1"/>
  <c r="K218" i="54" s="1"/>
  <c r="K226" i="49"/>
  <c r="L226" i="49" s="1"/>
  <c r="H225" i="25" s="1"/>
  <c r="K234" i="49"/>
  <c r="L234" i="49" s="1"/>
  <c r="H233" i="25" s="1"/>
  <c r="J234" i="54" s="1"/>
  <c r="K234" i="54" s="1"/>
  <c r="K242" i="49"/>
  <c r="L242" i="49" s="1"/>
  <c r="K29" i="49"/>
  <c r="L29" i="49" s="1"/>
  <c r="H28" i="25" s="1"/>
  <c r="J29" i="54" s="1"/>
  <c r="K29" i="54" s="1"/>
  <c r="K61" i="49"/>
  <c r="L61" i="49" s="1"/>
  <c r="K93" i="49"/>
  <c r="L93" i="49" s="1"/>
  <c r="H92" i="25" s="1"/>
  <c r="J93" i="54" s="1"/>
  <c r="K93" i="54" s="1"/>
  <c r="K133" i="49"/>
  <c r="L133" i="49" s="1"/>
  <c r="H132" i="25" s="1"/>
  <c r="K145" i="49"/>
  <c r="L145" i="49" s="1"/>
  <c r="H144" i="25" s="1"/>
  <c r="J145" i="54" s="1"/>
  <c r="K145" i="54" s="1"/>
  <c r="K146" i="49"/>
  <c r="L146" i="49" s="1"/>
  <c r="H145" i="25" s="1"/>
  <c r="K155" i="49"/>
  <c r="L155" i="49" s="1"/>
  <c r="H154" i="25" s="1"/>
  <c r="J155" i="54" s="1"/>
  <c r="K155" i="54" s="1"/>
  <c r="K163" i="49"/>
  <c r="L163" i="49" s="1"/>
  <c r="K171" i="49"/>
  <c r="L171" i="49" s="1"/>
  <c r="H170" i="25" s="1"/>
  <c r="J171" i="54" s="1"/>
  <c r="K171" i="54" s="1"/>
  <c r="K179" i="49"/>
  <c r="L179" i="49" s="1"/>
  <c r="K187" i="49"/>
  <c r="L187" i="49" s="1"/>
  <c r="H186" i="25" s="1"/>
  <c r="J187" i="54" s="1"/>
  <c r="K187" i="54" s="1"/>
  <c r="K195" i="49"/>
  <c r="L195" i="49" s="1"/>
  <c r="K203" i="49"/>
  <c r="L203" i="49" s="1"/>
  <c r="H202" i="25" s="1"/>
  <c r="J203" i="54" s="1"/>
  <c r="K203" i="54" s="1"/>
  <c r="K211" i="49"/>
  <c r="L211" i="49" s="1"/>
  <c r="H210" i="25" s="1"/>
  <c r="K219" i="49"/>
  <c r="L219" i="49" s="1"/>
  <c r="H218" i="25" s="1"/>
  <c r="J219" i="54" s="1"/>
  <c r="K219" i="54" s="1"/>
  <c r="K227" i="49"/>
  <c r="L227" i="49" s="1"/>
  <c r="K235" i="49"/>
  <c r="L235" i="49" s="1"/>
  <c r="H234" i="25" s="1"/>
  <c r="J235" i="54" s="1"/>
  <c r="K235" i="54" s="1"/>
  <c r="K243" i="49"/>
  <c r="L243" i="49" s="1"/>
  <c r="H242" i="25" s="1"/>
  <c r="K23" i="49"/>
  <c r="L23" i="49" s="1"/>
  <c r="H22" i="25" s="1"/>
  <c r="J23" i="54" s="1"/>
  <c r="K23" i="54" s="1"/>
  <c r="K55" i="49"/>
  <c r="L55" i="49" s="1"/>
  <c r="H54" i="25" s="1"/>
  <c r="K87" i="49"/>
  <c r="L87" i="49" s="1"/>
  <c r="H86" i="25" s="1"/>
  <c r="J87" i="54" s="1"/>
  <c r="K87" i="54" s="1"/>
  <c r="K111" i="49"/>
  <c r="L111" i="49" s="1"/>
  <c r="H110" i="25" s="1"/>
  <c r="K147" i="49"/>
  <c r="L147" i="49" s="1"/>
  <c r="H146" i="25" s="1"/>
  <c r="J147" i="54" s="1"/>
  <c r="K147" i="54" s="1"/>
  <c r="K148" i="49"/>
  <c r="L148" i="49" s="1"/>
  <c r="H147" i="25" s="1"/>
  <c r="J148" i="54" s="1"/>
  <c r="K148" i="54" s="1"/>
  <c r="K156" i="49"/>
  <c r="L156" i="49" s="1"/>
  <c r="H155" i="25" s="1"/>
  <c r="J156" i="54" s="1"/>
  <c r="K156" i="54" s="1"/>
  <c r="K164" i="49"/>
  <c r="L164" i="49" s="1"/>
  <c r="H163" i="25" s="1"/>
  <c r="K172" i="49"/>
  <c r="L172" i="49" s="1"/>
  <c r="H171" i="25" s="1"/>
  <c r="J172" i="54" s="1"/>
  <c r="K172" i="54" s="1"/>
  <c r="K180" i="49"/>
  <c r="L180" i="49" s="1"/>
  <c r="H179" i="25" s="1"/>
  <c r="K188" i="49"/>
  <c r="L188" i="49" s="1"/>
  <c r="H187" i="25" s="1"/>
  <c r="J188" i="54" s="1"/>
  <c r="K188" i="54" s="1"/>
  <c r="K196" i="49"/>
  <c r="L196" i="49" s="1"/>
  <c r="H195" i="25" s="1"/>
  <c r="K204" i="49"/>
  <c r="L204" i="49" s="1"/>
  <c r="H203" i="25" s="1"/>
  <c r="J204" i="54" s="1"/>
  <c r="K204" i="54" s="1"/>
  <c r="K212" i="49"/>
  <c r="L212" i="49" s="1"/>
  <c r="H211" i="25" s="1"/>
  <c r="J212" i="54" s="1"/>
  <c r="K212" i="54" s="1"/>
  <c r="K220" i="49"/>
  <c r="L220" i="49" s="1"/>
  <c r="H219" i="25" s="1"/>
  <c r="J220" i="54" s="1"/>
  <c r="K220" i="54" s="1"/>
  <c r="K228" i="49"/>
  <c r="L228" i="49" s="1"/>
  <c r="H227" i="25" s="1"/>
  <c r="K236" i="49"/>
  <c r="L236" i="49" s="1"/>
  <c r="H235" i="25" s="1"/>
  <c r="J236" i="54" s="1"/>
  <c r="K236" i="54" s="1"/>
  <c r="K37" i="49"/>
  <c r="L37" i="49" s="1"/>
  <c r="H36" i="25" s="1"/>
  <c r="K69" i="49"/>
  <c r="L69" i="49" s="1"/>
  <c r="H68" i="25" s="1"/>
  <c r="J69" i="54" s="1"/>
  <c r="K69" i="54" s="1"/>
  <c r="K101" i="49"/>
  <c r="L101" i="49" s="1"/>
  <c r="H100" i="25" s="1"/>
  <c r="K143" i="49"/>
  <c r="L143" i="49" s="1"/>
  <c r="H142" i="25" s="1"/>
  <c r="J143" i="54" s="1"/>
  <c r="K143" i="54" s="1"/>
  <c r="K149" i="49"/>
  <c r="L149" i="49" s="1"/>
  <c r="K157" i="49"/>
  <c r="L157" i="49" s="1"/>
  <c r="H156" i="25" s="1"/>
  <c r="J157" i="54" s="1"/>
  <c r="K157" i="54" s="1"/>
  <c r="K165" i="49"/>
  <c r="L165" i="49" s="1"/>
  <c r="H164" i="25" s="1"/>
  <c r="K173" i="49"/>
  <c r="L173" i="49" s="1"/>
  <c r="H172" i="25" s="1"/>
  <c r="J173" i="54" s="1"/>
  <c r="K173" i="54" s="1"/>
  <c r="K181" i="49"/>
  <c r="L181" i="49" s="1"/>
  <c r="H180" i="25" s="1"/>
  <c r="K189" i="49"/>
  <c r="L189" i="49" s="1"/>
  <c r="H188" i="25" s="1"/>
  <c r="J189" i="54" s="1"/>
  <c r="K189" i="54" s="1"/>
  <c r="K197" i="49"/>
  <c r="L197" i="49" s="1"/>
  <c r="H196" i="25" s="1"/>
  <c r="K205" i="49"/>
  <c r="L205" i="49" s="1"/>
  <c r="H204" i="25" s="1"/>
  <c r="J205" i="54" s="1"/>
  <c r="K205" i="54" s="1"/>
  <c r="K213" i="49"/>
  <c r="L213" i="49" s="1"/>
  <c r="K221" i="49"/>
  <c r="L221" i="49" s="1"/>
  <c r="H220" i="25" s="1"/>
  <c r="J221" i="54" s="1"/>
  <c r="K221" i="54" s="1"/>
  <c r="K229" i="49"/>
  <c r="L229" i="49" s="1"/>
  <c r="K13" i="49"/>
  <c r="L13" i="49" s="1"/>
  <c r="H12" i="25" s="1"/>
  <c r="J13" i="54" s="1"/>
  <c r="K13" i="54" s="1"/>
  <c r="K31" i="49"/>
  <c r="L31" i="49" s="1"/>
  <c r="H30" i="25" s="1"/>
  <c r="K63" i="49"/>
  <c r="L63" i="49" s="1"/>
  <c r="H62" i="25" s="1"/>
  <c r="J63" i="54" s="1"/>
  <c r="K63" i="54" s="1"/>
  <c r="K95" i="49"/>
  <c r="L95" i="49" s="1"/>
  <c r="H94" i="25" s="1"/>
  <c r="K117" i="49"/>
  <c r="L117" i="49" s="1"/>
  <c r="H116" i="25" s="1"/>
  <c r="J117" i="54" s="1"/>
  <c r="K117" i="54" s="1"/>
  <c r="K125" i="49"/>
  <c r="L125" i="49" s="1"/>
  <c r="K150" i="49"/>
  <c r="L150" i="49" s="1"/>
  <c r="H149" i="25" s="1"/>
  <c r="J150" i="54" s="1"/>
  <c r="K150" i="54" s="1"/>
  <c r="K158" i="49"/>
  <c r="L158" i="49" s="1"/>
  <c r="H157" i="25" s="1"/>
  <c r="K166" i="49"/>
  <c r="L166" i="49" s="1"/>
  <c r="H165" i="25" s="1"/>
  <c r="J166" i="54" s="1"/>
  <c r="K166" i="54" s="1"/>
  <c r="K174" i="49"/>
  <c r="L174" i="49" s="1"/>
  <c r="K182" i="49"/>
  <c r="L182" i="49" s="1"/>
  <c r="H181" i="25" s="1"/>
  <c r="J182" i="54" s="1"/>
  <c r="K182" i="54" s="1"/>
  <c r="K190" i="49"/>
  <c r="L190" i="49" s="1"/>
  <c r="H189" i="25" s="1"/>
  <c r="K198" i="49"/>
  <c r="L198" i="49" s="1"/>
  <c r="H197" i="25" s="1"/>
  <c r="J198" i="54" s="1"/>
  <c r="K198" i="54" s="1"/>
  <c r="K206" i="49"/>
  <c r="L206" i="49" s="1"/>
  <c r="K214" i="49"/>
  <c r="L214" i="49" s="1"/>
  <c r="H213" i="25" s="1"/>
  <c r="J214" i="54" s="1"/>
  <c r="K214" i="54" s="1"/>
  <c r="K222" i="49"/>
  <c r="L222" i="49" s="1"/>
  <c r="H221" i="25" s="1"/>
  <c r="K230" i="49"/>
  <c r="L230" i="49" s="1"/>
  <c r="H229" i="25" s="1"/>
  <c r="J230" i="54" s="1"/>
  <c r="K230" i="54" s="1"/>
  <c r="K39" i="49"/>
  <c r="L39" i="49" s="1"/>
  <c r="H38" i="25" s="1"/>
  <c r="K71" i="49"/>
  <c r="L71" i="49" s="1"/>
  <c r="H70" i="25" s="1"/>
  <c r="J71" i="54" s="1"/>
  <c r="K71" i="54" s="1"/>
  <c r="K103" i="49"/>
  <c r="L103" i="49" s="1"/>
  <c r="H102" i="25" s="1"/>
  <c r="K152" i="49"/>
  <c r="L152" i="49" s="1"/>
  <c r="H151" i="25" s="1"/>
  <c r="J152" i="54" s="1"/>
  <c r="K152" i="54" s="1"/>
  <c r="K160" i="49"/>
  <c r="L160" i="49" s="1"/>
  <c r="K168" i="49"/>
  <c r="L168" i="49" s="1"/>
  <c r="H167" i="25" s="1"/>
  <c r="J168" i="54" s="1"/>
  <c r="K168" i="54" s="1"/>
  <c r="K176" i="49"/>
  <c r="L176" i="49" s="1"/>
  <c r="H175" i="25" s="1"/>
  <c r="K184" i="49"/>
  <c r="L184" i="49" s="1"/>
  <c r="H183" i="25" s="1"/>
  <c r="J184" i="54" s="1"/>
  <c r="K184" i="54" s="1"/>
  <c r="K192" i="49"/>
  <c r="L192" i="49" s="1"/>
  <c r="H191" i="25" s="1"/>
  <c r="K200" i="49"/>
  <c r="L200" i="49" s="1"/>
  <c r="H199" i="25" s="1"/>
  <c r="J200" i="54" s="1"/>
  <c r="K200" i="54" s="1"/>
  <c r="K208" i="49"/>
  <c r="L208" i="49" s="1"/>
  <c r="H207" i="25" s="1"/>
  <c r="K216" i="49"/>
  <c r="L216" i="49" s="1"/>
  <c r="H215" i="25" s="1"/>
  <c r="J216" i="54" s="1"/>
  <c r="K216" i="54" s="1"/>
  <c r="K224" i="49"/>
  <c r="L224" i="49" s="1"/>
  <c r="K232" i="49"/>
  <c r="L232" i="49" s="1"/>
  <c r="H231" i="25" s="1"/>
  <c r="J232" i="54" s="1"/>
  <c r="K232" i="54" s="1"/>
  <c r="K53" i="49"/>
  <c r="L53" i="49" s="1"/>
  <c r="H52" i="25" s="1"/>
  <c r="K141" i="49"/>
  <c r="L141" i="49" s="1"/>
  <c r="H140" i="25" s="1"/>
  <c r="J141" i="54" s="1"/>
  <c r="K141" i="54" s="1"/>
  <c r="K193" i="49"/>
  <c r="L193" i="49" s="1"/>
  <c r="H192" i="25" s="1"/>
  <c r="K254" i="49"/>
  <c r="L254" i="49" s="1"/>
  <c r="H253" i="25" s="1"/>
  <c r="J254" i="54" s="1"/>
  <c r="K254" i="54" s="1"/>
  <c r="K262" i="49"/>
  <c r="L262" i="49" s="1"/>
  <c r="H261" i="25" s="1"/>
  <c r="K270" i="49"/>
  <c r="L270" i="49" s="1"/>
  <c r="H269" i="25" s="1"/>
  <c r="J270" i="54" s="1"/>
  <c r="K270" i="54" s="1"/>
  <c r="K278" i="49"/>
  <c r="L278" i="49" s="1"/>
  <c r="H277" i="25" s="1"/>
  <c r="K286" i="49"/>
  <c r="L286" i="49" s="1"/>
  <c r="H285" i="25" s="1"/>
  <c r="J286" i="54" s="1"/>
  <c r="K286" i="54" s="1"/>
  <c r="K294" i="49"/>
  <c r="L294" i="49" s="1"/>
  <c r="H293" i="25" s="1"/>
  <c r="K302" i="49"/>
  <c r="L302" i="49" s="1"/>
  <c r="H301" i="25" s="1"/>
  <c r="J302" i="54" s="1"/>
  <c r="K302" i="54" s="1"/>
  <c r="K201" i="49"/>
  <c r="L201" i="49" s="1"/>
  <c r="H200" i="25" s="1"/>
  <c r="K207" i="49"/>
  <c r="L207" i="49" s="1"/>
  <c r="H206" i="25" s="1"/>
  <c r="J207" i="54" s="1"/>
  <c r="K207" i="54" s="1"/>
  <c r="K275" i="49"/>
  <c r="L275" i="49" s="1"/>
  <c r="H274" i="25" s="1"/>
  <c r="K285" i="49"/>
  <c r="L285" i="49" s="1"/>
  <c r="H284" i="25" s="1"/>
  <c r="J285" i="54" s="1"/>
  <c r="K285" i="54" s="1"/>
  <c r="K199" i="49"/>
  <c r="L199" i="49" s="1"/>
  <c r="K209" i="49"/>
  <c r="L209" i="49" s="1"/>
  <c r="H208" i="25" s="1"/>
  <c r="J209" i="54" s="1"/>
  <c r="K209" i="54" s="1"/>
  <c r="K215" i="49"/>
  <c r="L215" i="49" s="1"/>
  <c r="K245" i="49"/>
  <c r="L245" i="49" s="1"/>
  <c r="H244" i="25" s="1"/>
  <c r="J245" i="54" s="1"/>
  <c r="K245" i="54" s="1"/>
  <c r="K246" i="49"/>
  <c r="L246" i="49" s="1"/>
  <c r="H245" i="25" s="1"/>
  <c r="K247" i="49"/>
  <c r="L247" i="49" s="1"/>
  <c r="H246" i="25" s="1"/>
  <c r="J247" i="54" s="1"/>
  <c r="K247" i="54" s="1"/>
  <c r="K255" i="49"/>
  <c r="L255" i="49" s="1"/>
  <c r="H254" i="25" s="1"/>
  <c r="K263" i="49"/>
  <c r="L263" i="49" s="1"/>
  <c r="H262" i="25" s="1"/>
  <c r="J263" i="54" s="1"/>
  <c r="K263" i="54" s="1"/>
  <c r="K271" i="49"/>
  <c r="L271" i="49" s="1"/>
  <c r="K279" i="49"/>
  <c r="L279" i="49" s="1"/>
  <c r="H278" i="25" s="1"/>
  <c r="J279" i="54" s="1"/>
  <c r="K279" i="54" s="1"/>
  <c r="K287" i="49"/>
  <c r="L287" i="49" s="1"/>
  <c r="H286" i="25" s="1"/>
  <c r="K295" i="49"/>
  <c r="L295" i="49" s="1"/>
  <c r="H294" i="25" s="1"/>
  <c r="J295" i="54" s="1"/>
  <c r="K295" i="54" s="1"/>
  <c r="K303" i="49"/>
  <c r="L303" i="49" s="1"/>
  <c r="K251" i="49"/>
  <c r="L251" i="49" s="1"/>
  <c r="H250" i="25" s="1"/>
  <c r="J251" i="54" s="1"/>
  <c r="K251" i="54" s="1"/>
  <c r="K239" i="49"/>
  <c r="L239" i="49" s="1"/>
  <c r="H238" i="25" s="1"/>
  <c r="K244" i="49"/>
  <c r="L244" i="49" s="1"/>
  <c r="H243" i="25" s="1"/>
  <c r="J244" i="54" s="1"/>
  <c r="K244" i="54" s="1"/>
  <c r="K248" i="49"/>
  <c r="L248" i="49" s="1"/>
  <c r="K256" i="49"/>
  <c r="L256" i="49" s="1"/>
  <c r="H255" i="25" s="1"/>
  <c r="J256" i="54" s="1"/>
  <c r="K256" i="54" s="1"/>
  <c r="K264" i="49"/>
  <c r="L264" i="49" s="1"/>
  <c r="H263" i="25" s="1"/>
  <c r="K272" i="49"/>
  <c r="L272" i="49" s="1"/>
  <c r="H271" i="25" s="1"/>
  <c r="K280" i="49"/>
  <c r="L280" i="49" s="1"/>
  <c r="H279" i="25" s="1"/>
  <c r="K288" i="49"/>
  <c r="L288" i="49" s="1"/>
  <c r="H287" i="25" s="1"/>
  <c r="J288" i="54" s="1"/>
  <c r="K288" i="54" s="1"/>
  <c r="K296" i="49"/>
  <c r="L296" i="49" s="1"/>
  <c r="H295" i="25" s="1"/>
  <c r="K304" i="49"/>
  <c r="L304" i="49" s="1"/>
  <c r="H303" i="25" s="1"/>
  <c r="J304" i="54" s="1"/>
  <c r="K304" i="54" s="1"/>
  <c r="K237" i="49"/>
  <c r="L237" i="49" s="1"/>
  <c r="H236" i="25" s="1"/>
  <c r="K299" i="49"/>
  <c r="L299" i="49" s="1"/>
  <c r="H298" i="25" s="1"/>
  <c r="J299" i="54" s="1"/>
  <c r="K299" i="54" s="1"/>
  <c r="K261" i="49"/>
  <c r="L261" i="49" s="1"/>
  <c r="H260" i="25" s="1"/>
  <c r="K85" i="49"/>
  <c r="L85" i="49" s="1"/>
  <c r="H84" i="25" s="1"/>
  <c r="J85" i="54" s="1"/>
  <c r="K85" i="54" s="1"/>
  <c r="K153" i="49"/>
  <c r="L153" i="49" s="1"/>
  <c r="K159" i="49"/>
  <c r="L159" i="49" s="1"/>
  <c r="H158" i="25" s="1"/>
  <c r="J159" i="54" s="1"/>
  <c r="K159" i="54" s="1"/>
  <c r="K169" i="49"/>
  <c r="L169" i="49" s="1"/>
  <c r="H168" i="25" s="1"/>
  <c r="K175" i="49"/>
  <c r="L175" i="49" s="1"/>
  <c r="H174" i="25" s="1"/>
  <c r="J175" i="54" s="1"/>
  <c r="K175" i="54" s="1"/>
  <c r="K233" i="49"/>
  <c r="L233" i="49" s="1"/>
  <c r="K238" i="49"/>
  <c r="L238" i="49" s="1"/>
  <c r="H237" i="25" s="1"/>
  <c r="J238" i="54" s="1"/>
  <c r="K238" i="54" s="1"/>
  <c r="K240" i="49"/>
  <c r="L240" i="49" s="1"/>
  <c r="K249" i="49"/>
  <c r="L249" i="49" s="1"/>
  <c r="H248" i="25" s="1"/>
  <c r="J249" i="54" s="1"/>
  <c r="K249" i="54" s="1"/>
  <c r="K257" i="49"/>
  <c r="L257" i="49" s="1"/>
  <c r="H256" i="25" s="1"/>
  <c r="K265" i="49"/>
  <c r="L265" i="49" s="1"/>
  <c r="H264" i="25" s="1"/>
  <c r="J265" i="54" s="1"/>
  <c r="K265" i="54" s="1"/>
  <c r="K273" i="49"/>
  <c r="L273" i="49" s="1"/>
  <c r="H272" i="25" s="1"/>
  <c r="K281" i="49"/>
  <c r="L281" i="49" s="1"/>
  <c r="H280" i="25" s="1"/>
  <c r="J281" i="54" s="1"/>
  <c r="K281" i="54" s="1"/>
  <c r="K289" i="49"/>
  <c r="L289" i="49" s="1"/>
  <c r="K297" i="49"/>
  <c r="L297" i="49" s="1"/>
  <c r="H296" i="25" s="1"/>
  <c r="J297" i="54" s="1"/>
  <c r="K297" i="54" s="1"/>
  <c r="K305" i="49"/>
  <c r="L305" i="49" s="1"/>
  <c r="H304" i="25" s="1"/>
  <c r="K283" i="49"/>
  <c r="L283" i="49" s="1"/>
  <c r="H282" i="25" s="1"/>
  <c r="J283" i="54" s="1"/>
  <c r="K283" i="54" s="1"/>
  <c r="K293" i="49"/>
  <c r="L293" i="49" s="1"/>
  <c r="H292" i="25" s="1"/>
  <c r="K45" i="49"/>
  <c r="L45" i="49" s="1"/>
  <c r="H44" i="25" s="1"/>
  <c r="J45" i="54" s="1"/>
  <c r="K45" i="54" s="1"/>
  <c r="K109" i="49"/>
  <c r="L109" i="49" s="1"/>
  <c r="H108" i="25" s="1"/>
  <c r="K135" i="49"/>
  <c r="L135" i="49" s="1"/>
  <c r="H134" i="25" s="1"/>
  <c r="J135" i="54" s="1"/>
  <c r="K135" i="54" s="1"/>
  <c r="K185" i="49"/>
  <c r="L185" i="49" s="1"/>
  <c r="K191" i="49"/>
  <c r="L191" i="49" s="1"/>
  <c r="H190" i="25" s="1"/>
  <c r="J191" i="54" s="1"/>
  <c r="K191" i="54" s="1"/>
  <c r="K225" i="49"/>
  <c r="L225" i="49" s="1"/>
  <c r="K231" i="49"/>
  <c r="L231" i="49" s="1"/>
  <c r="H230" i="25" s="1"/>
  <c r="J231" i="54" s="1"/>
  <c r="K231" i="54" s="1"/>
  <c r="K241" i="49"/>
  <c r="L241" i="49" s="1"/>
  <c r="H240" i="25" s="1"/>
  <c r="K250" i="49"/>
  <c r="L250" i="49" s="1"/>
  <c r="H249" i="25" s="1"/>
  <c r="J250" i="54" s="1"/>
  <c r="K250" i="54" s="1"/>
  <c r="K258" i="49"/>
  <c r="L258" i="49" s="1"/>
  <c r="H257" i="25" s="1"/>
  <c r="K266" i="49"/>
  <c r="L266" i="49" s="1"/>
  <c r="H265" i="25" s="1"/>
  <c r="J266" i="54" s="1"/>
  <c r="K266" i="54" s="1"/>
  <c r="K274" i="49"/>
  <c r="L274" i="49" s="1"/>
  <c r="K282" i="49"/>
  <c r="L282" i="49" s="1"/>
  <c r="H281" i="25" s="1"/>
  <c r="J282" i="54" s="1"/>
  <c r="K282" i="54" s="1"/>
  <c r="K290" i="49"/>
  <c r="L290" i="49" s="1"/>
  <c r="H289" i="25" s="1"/>
  <c r="K298" i="49"/>
  <c r="L298" i="49" s="1"/>
  <c r="H297" i="25" s="1"/>
  <c r="J298" i="54" s="1"/>
  <c r="K298" i="54" s="1"/>
  <c r="K7" i="49"/>
  <c r="L7" i="49" s="1"/>
  <c r="K259" i="49"/>
  <c r="L259" i="49" s="1"/>
  <c r="H258" i="25" s="1"/>
  <c r="J259" i="54" s="1"/>
  <c r="K259" i="54" s="1"/>
  <c r="K267" i="49"/>
  <c r="L267" i="49" s="1"/>
  <c r="H266" i="25" s="1"/>
  <c r="K291" i="49"/>
  <c r="L291" i="49" s="1"/>
  <c r="H290" i="25" s="1"/>
  <c r="J291" i="54" s="1"/>
  <c r="K291" i="54" s="1"/>
  <c r="K301" i="49"/>
  <c r="L301" i="49" s="1"/>
  <c r="H300" i="25" s="1"/>
  <c r="J301" i="54" s="1"/>
  <c r="K301" i="54" s="1"/>
  <c r="K21" i="49"/>
  <c r="L21" i="49" s="1"/>
  <c r="H20" i="25" s="1"/>
  <c r="K223" i="49"/>
  <c r="L223" i="49" s="1"/>
  <c r="H222" i="25" s="1"/>
  <c r="K269" i="49"/>
  <c r="L269" i="49" s="1"/>
  <c r="H268" i="25" s="1"/>
  <c r="J269" i="54" s="1"/>
  <c r="K269" i="54" s="1"/>
  <c r="K217" i="49"/>
  <c r="L217" i="49" s="1"/>
  <c r="H216" i="25" s="1"/>
  <c r="K252" i="49"/>
  <c r="L252" i="49" s="1"/>
  <c r="H251" i="25" s="1"/>
  <c r="J252" i="54" s="1"/>
  <c r="K252" i="54" s="1"/>
  <c r="K260" i="49"/>
  <c r="L260" i="49" s="1"/>
  <c r="H259" i="25" s="1"/>
  <c r="K268" i="49"/>
  <c r="L268" i="49" s="1"/>
  <c r="H267" i="25" s="1"/>
  <c r="J268" i="54" s="1"/>
  <c r="K268" i="54" s="1"/>
  <c r="K276" i="49"/>
  <c r="L276" i="49" s="1"/>
  <c r="H275" i="25" s="1"/>
  <c r="J276" i="54" s="1"/>
  <c r="K276" i="54" s="1"/>
  <c r="K284" i="49"/>
  <c r="L284" i="49" s="1"/>
  <c r="H283" i="25" s="1"/>
  <c r="J284" i="54" s="1"/>
  <c r="K284" i="54" s="1"/>
  <c r="K292" i="49"/>
  <c r="L292" i="49" s="1"/>
  <c r="H291" i="25" s="1"/>
  <c r="K300" i="49"/>
  <c r="L300" i="49" s="1"/>
  <c r="H299" i="25" s="1"/>
  <c r="J300" i="54" s="1"/>
  <c r="K300" i="54" s="1"/>
  <c r="K77" i="49"/>
  <c r="L77" i="49" s="1"/>
  <c r="K151" i="49"/>
  <c r="L151" i="49" s="1"/>
  <c r="H150" i="25" s="1"/>
  <c r="J151" i="54" s="1"/>
  <c r="K151" i="54" s="1"/>
  <c r="K161" i="49"/>
  <c r="L161" i="49" s="1"/>
  <c r="H160" i="25" s="1"/>
  <c r="K167" i="49"/>
  <c r="L167" i="49" s="1"/>
  <c r="H166" i="25" s="1"/>
  <c r="J167" i="54" s="1"/>
  <c r="K167" i="54" s="1"/>
  <c r="K177" i="49"/>
  <c r="L177" i="49" s="1"/>
  <c r="K183" i="49"/>
  <c r="L183" i="49" s="1"/>
  <c r="H182" i="25" s="1"/>
  <c r="J183" i="54" s="1"/>
  <c r="K183" i="54" s="1"/>
  <c r="K253" i="49"/>
  <c r="L253" i="49" s="1"/>
  <c r="H252" i="25" s="1"/>
  <c r="K277" i="49"/>
  <c r="L277" i="49" s="1"/>
  <c r="H276" i="25" s="1"/>
  <c r="J277" i="54" s="1"/>
  <c r="K277" i="54" s="1"/>
  <c r="I10" i="33"/>
  <c r="I34" i="33"/>
  <c r="I63" i="33"/>
  <c r="I141" i="33"/>
  <c r="I89" i="33"/>
  <c r="I94" i="33"/>
  <c r="I133" i="33"/>
  <c r="I115" i="33"/>
  <c r="I118" i="33"/>
  <c r="I131" i="33"/>
  <c r="I137" i="33"/>
  <c r="I123" i="33"/>
  <c r="I134" i="33"/>
  <c r="I177" i="33"/>
  <c r="I188" i="33"/>
  <c r="I93" i="33"/>
  <c r="I201" i="33"/>
  <c r="I147" i="33"/>
  <c r="I167" i="33"/>
  <c r="I193" i="33"/>
  <c r="I199" i="33"/>
  <c r="I66" i="33"/>
  <c r="I109" i="33"/>
  <c r="I150" i="33"/>
  <c r="I83" i="33"/>
  <c r="I86" i="33"/>
  <c r="I175" i="33"/>
  <c r="I161" i="33"/>
  <c r="I277" i="33"/>
  <c r="I238" i="33"/>
  <c r="I224" i="33"/>
  <c r="I253" i="33"/>
  <c r="I264" i="33"/>
  <c r="I287" i="33"/>
  <c r="I187" i="33"/>
  <c r="I153" i="33"/>
  <c r="I222" i="33"/>
  <c r="I285" i="33"/>
  <c r="I229" i="33"/>
  <c r="I301" i="33"/>
  <c r="I170" i="33"/>
  <c r="I178" i="33"/>
  <c r="I240" i="33"/>
  <c r="I300" i="33"/>
  <c r="I206" i="33"/>
  <c r="I298" i="33"/>
  <c r="I228" i="33"/>
  <c r="I183" i="33"/>
  <c r="I269" i="33"/>
  <c r="I232" i="33"/>
  <c r="I205" i="33"/>
  <c r="I231" i="33"/>
  <c r="I211" i="33"/>
  <c r="I250" i="33"/>
  <c r="I217" i="33"/>
  <c r="I209" i="33"/>
  <c r="I151" i="33"/>
  <c r="I97" i="33"/>
  <c r="I185" i="33"/>
  <c r="I159" i="33"/>
  <c r="I95" i="33"/>
  <c r="I267" i="33"/>
  <c r="I214" i="33"/>
  <c r="I257" i="33"/>
  <c r="I204" i="33"/>
  <c r="I180" i="33"/>
  <c r="I241" i="33"/>
  <c r="I181" i="33"/>
  <c r="I266" i="33"/>
  <c r="I265" i="33"/>
  <c r="I268" i="33"/>
  <c r="I215" i="33"/>
  <c r="I292" i="33"/>
  <c r="I221" i="33"/>
  <c r="I297" i="33"/>
  <c r="I286" i="33"/>
  <c r="I242" i="33"/>
  <c r="I139" i="33"/>
  <c r="I280" i="33"/>
  <c r="I219" i="33"/>
  <c r="I184" i="33"/>
  <c r="I179" i="33"/>
  <c r="I192" i="33"/>
  <c r="I171" i="33"/>
  <c r="I290" i="33"/>
  <c r="I145" i="33"/>
  <c r="I196" i="33"/>
  <c r="I276" i="33"/>
  <c r="I303" i="33"/>
  <c r="I255" i="33"/>
  <c r="I235" i="33"/>
  <c r="I299" i="33"/>
  <c r="I305" i="33"/>
  <c r="I207" i="33"/>
  <c r="I273" i="33"/>
  <c r="I239" i="33"/>
  <c r="I189" i="33"/>
  <c r="I270" i="33"/>
  <c r="I223" i="33"/>
  <c r="I197" i="33"/>
  <c r="I247" i="33"/>
  <c r="I149" i="33"/>
  <c r="I195" i="33"/>
  <c r="I162" i="33"/>
  <c r="I143" i="33"/>
  <c r="I190" i="33"/>
  <c r="I271" i="33"/>
  <c r="I291" i="33"/>
  <c r="I212" i="33"/>
  <c r="I213" i="33"/>
  <c r="I289" i="33"/>
  <c r="I234" i="33"/>
  <c r="I129" i="33"/>
  <c r="I11" i="33"/>
  <c r="I158" i="33"/>
  <c r="I152" i="33"/>
  <c r="I42" i="33"/>
  <c r="I20" i="33"/>
  <c r="I82" i="33"/>
  <c r="I41" i="33"/>
  <c r="I49" i="33"/>
  <c r="I23" i="33"/>
  <c r="I16" i="33"/>
  <c r="I76" i="33"/>
  <c r="I39" i="33"/>
  <c r="I46" i="33"/>
  <c r="I43" i="33"/>
  <c r="I45" i="33"/>
  <c r="I275" i="33"/>
  <c r="I284" i="33"/>
  <c r="I260" i="33"/>
  <c r="I259" i="33"/>
  <c r="I261" i="33"/>
  <c r="I296" i="33"/>
  <c r="I165" i="33"/>
  <c r="I282" i="33"/>
  <c r="I252" i="33"/>
  <c r="I227" i="33"/>
  <c r="I263" i="33"/>
  <c r="I198" i="33"/>
  <c r="I160" i="33"/>
  <c r="I140" i="33"/>
  <c r="I169" i="33"/>
  <c r="I113" i="33"/>
  <c r="I90" i="33"/>
  <c r="I27" i="33"/>
  <c r="I104" i="33"/>
  <c r="I50" i="33"/>
  <c r="I48" i="33"/>
  <c r="I69" i="33"/>
  <c r="I70" i="33"/>
  <c r="I60" i="33"/>
  <c r="I37" i="33"/>
  <c r="I249" i="33"/>
  <c r="I281" i="33"/>
  <c r="I244" i="33"/>
  <c r="I85" i="33"/>
  <c r="I258" i="33"/>
  <c r="I202" i="33"/>
  <c r="I293" i="33"/>
  <c r="I176" i="33"/>
  <c r="I156" i="33"/>
  <c r="I102" i="33"/>
  <c r="I13" i="33"/>
  <c r="I166" i="33"/>
  <c r="I87" i="33"/>
  <c r="I120" i="33"/>
  <c r="I210" i="33"/>
  <c r="I295" i="33"/>
  <c r="I216" i="33"/>
  <c r="I191" i="33"/>
  <c r="I236" i="33"/>
  <c r="I157" i="33"/>
  <c r="I163" i="33"/>
  <c r="I155" i="33"/>
  <c r="I132" i="33"/>
  <c r="I121" i="33"/>
  <c r="I174" i="33"/>
  <c r="I146" i="33"/>
  <c r="I138" i="33"/>
  <c r="I119" i="33"/>
  <c r="I144" i="33"/>
  <c r="I75" i="33"/>
  <c r="I128" i="33"/>
  <c r="I73" i="33"/>
  <c r="I35" i="33"/>
  <c r="I18" i="33"/>
  <c r="I33" i="33"/>
  <c r="I68" i="33"/>
  <c r="I61" i="33"/>
  <c r="I55" i="33"/>
  <c r="I52" i="33"/>
  <c r="I14" i="33"/>
  <c r="I251" i="33"/>
  <c r="I283" i="33"/>
  <c r="I200" i="33"/>
  <c r="I142" i="33"/>
  <c r="I254" i="33"/>
  <c r="I126" i="33"/>
  <c r="I182" i="33"/>
  <c r="I81" i="33"/>
  <c r="I105" i="33"/>
  <c r="I71" i="33"/>
  <c r="I12" i="33"/>
  <c r="I186" i="33"/>
  <c r="I88" i="33"/>
  <c r="I30" i="33"/>
  <c r="I106" i="33"/>
  <c r="I92" i="33"/>
  <c r="I103" i="33"/>
  <c r="I32" i="33"/>
  <c r="I19" i="33"/>
  <c r="I67" i="33"/>
  <c r="I56" i="33"/>
  <c r="I9" i="33"/>
  <c r="I65" i="33"/>
  <c r="I31" i="33"/>
  <c r="I29" i="33"/>
  <c r="I22" i="33"/>
  <c r="I243" i="33"/>
  <c r="I173" i="33"/>
  <c r="I74" i="33"/>
  <c r="I62" i="33"/>
  <c r="I21" i="33"/>
  <c r="I279" i="33"/>
  <c r="I233" i="33"/>
  <c r="I154" i="33"/>
  <c r="I117" i="33"/>
  <c r="I136" i="33"/>
  <c r="I225" i="33"/>
  <c r="I304" i="33"/>
  <c r="I208" i="33"/>
  <c r="I237" i="33"/>
  <c r="I274" i="33"/>
  <c r="I124" i="33"/>
  <c r="I51" i="33"/>
  <c r="I130" i="33"/>
  <c r="I110" i="33"/>
  <c r="I38" i="33"/>
  <c r="I84" i="33"/>
  <c r="I44" i="33"/>
  <c r="I7" i="33"/>
  <c r="I245" i="33"/>
  <c r="I218" i="33"/>
  <c r="I203" i="33"/>
  <c r="I127" i="33"/>
  <c r="I122" i="33"/>
  <c r="I58" i="33"/>
  <c r="I17" i="33"/>
  <c r="I28" i="33"/>
  <c r="I26" i="33"/>
  <c r="I15" i="33"/>
  <c r="I47" i="33"/>
  <c r="I108" i="33"/>
  <c r="I114" i="33"/>
  <c r="I101" i="33"/>
  <c r="I125" i="33"/>
  <c r="I59" i="33"/>
  <c r="I40" i="33"/>
  <c r="I226" i="33"/>
  <c r="I53" i="33"/>
  <c r="I220" i="33"/>
  <c r="I78" i="33"/>
  <c r="I8" i="33"/>
  <c r="I98" i="33"/>
  <c r="I96" i="33"/>
  <c r="I77" i="33"/>
  <c r="I112" i="33"/>
  <c r="I24" i="33"/>
  <c r="I54" i="33"/>
  <c r="I36" i="33"/>
  <c r="I57" i="33"/>
  <c r="I25" i="33"/>
  <c r="I99" i="33"/>
  <c r="I135" i="33"/>
  <c r="I107" i="33"/>
  <c r="I168" i="33"/>
  <c r="I100" i="33"/>
  <c r="I272" i="33"/>
  <c r="I256" i="33"/>
  <c r="I288" i="33"/>
  <c r="I248" i="33"/>
  <c r="I64" i="33"/>
  <c r="I194" i="33"/>
  <c r="I302" i="33"/>
  <c r="I91" i="33"/>
  <c r="I294" i="33"/>
  <c r="I79" i="33"/>
  <c r="I72" i="33"/>
  <c r="I80" i="33"/>
  <c r="I164" i="33"/>
  <c r="I111" i="33"/>
  <c r="I278" i="33"/>
  <c r="I172" i="33"/>
  <c r="I246" i="33"/>
  <c r="I230" i="33"/>
  <c r="I148" i="33"/>
  <c r="I262" i="33"/>
  <c r="I116" i="33"/>
  <c r="J12" i="33"/>
  <c r="J20" i="33"/>
  <c r="J28" i="33"/>
  <c r="J36" i="33"/>
  <c r="J53" i="33"/>
  <c r="J21" i="33"/>
  <c r="J45" i="33"/>
  <c r="J29" i="33"/>
  <c r="J77" i="33"/>
  <c r="J61" i="33"/>
  <c r="J66" i="33"/>
  <c r="J84" i="33"/>
  <c r="J93" i="33"/>
  <c r="J118" i="33"/>
  <c r="J74" i="33"/>
  <c r="J133" i="33"/>
  <c r="J152" i="33"/>
  <c r="J125" i="33"/>
  <c r="J141" i="33"/>
  <c r="J112" i="33"/>
  <c r="J94" i="33"/>
  <c r="J159" i="33"/>
  <c r="J117" i="33"/>
  <c r="J128" i="33"/>
  <c r="J188" i="33"/>
  <c r="J136" i="33"/>
  <c r="J158" i="33"/>
  <c r="J166" i="33"/>
  <c r="J198" i="33"/>
  <c r="J76" i="33"/>
  <c r="J89" i="33"/>
  <c r="J108" i="33"/>
  <c r="J174" i="33"/>
  <c r="J154" i="33"/>
  <c r="J175" i="33"/>
  <c r="J105" i="33"/>
  <c r="J267" i="33"/>
  <c r="J209" i="33"/>
  <c r="J258" i="33"/>
  <c r="J68" i="33"/>
  <c r="J273" i="33"/>
  <c r="J240" i="33"/>
  <c r="J161" i="33"/>
  <c r="J241" i="33"/>
  <c r="J243" i="33"/>
  <c r="J227" i="33"/>
  <c r="J37" i="33"/>
  <c r="J266" i="33"/>
  <c r="J284" i="33"/>
  <c r="J244" i="33"/>
  <c r="J283" i="33"/>
  <c r="J210" i="33"/>
  <c r="J239" i="33"/>
  <c r="J212" i="33"/>
  <c r="J252" i="33"/>
  <c r="J213" i="33"/>
  <c r="J179" i="33"/>
  <c r="J234" i="33"/>
  <c r="J203" i="33"/>
  <c r="J197" i="33"/>
  <c r="J196" i="33"/>
  <c r="J153" i="33"/>
  <c r="J275" i="33"/>
  <c r="J276" i="33"/>
  <c r="J303" i="33"/>
  <c r="J202" i="33"/>
  <c r="J110" i="33"/>
  <c r="J139" i="33"/>
  <c r="J279" i="33"/>
  <c r="J208" i="33"/>
  <c r="J301" i="33"/>
  <c r="J204" i="33"/>
  <c r="J180" i="33"/>
  <c r="J232" i="33"/>
  <c r="J189" i="33"/>
  <c r="J298" i="33"/>
  <c r="J222" i="33"/>
  <c r="J176" i="33"/>
  <c r="J142" i="33"/>
  <c r="J247" i="33"/>
  <c r="J160" i="33"/>
  <c r="J140" i="33"/>
  <c r="J169" i="33"/>
  <c r="J251" i="33"/>
  <c r="J265" i="33"/>
  <c r="J225" i="33"/>
  <c r="J226" i="33"/>
  <c r="J217" i="33"/>
  <c r="J304" i="33"/>
  <c r="J257" i="33"/>
  <c r="J221" i="33"/>
  <c r="J183" i="33"/>
  <c r="J253" i="33"/>
  <c r="J277" i="33"/>
  <c r="J235" i="33"/>
  <c r="J211" i="33"/>
  <c r="J206" i="33"/>
  <c r="J145" i="33"/>
  <c r="J151" i="33"/>
  <c r="J129" i="33"/>
  <c r="J173" i="33"/>
  <c r="J157" i="33"/>
  <c r="J127" i="33"/>
  <c r="J147" i="33"/>
  <c r="J268" i="33"/>
  <c r="J269" i="33"/>
  <c r="J224" i="33"/>
  <c r="J207" i="33"/>
  <c r="J287" i="33"/>
  <c r="J274" i="33"/>
  <c r="J229" i="33"/>
  <c r="J181" i="33"/>
  <c r="J171" i="33"/>
  <c r="J295" i="33"/>
  <c r="J261" i="33"/>
  <c r="J223" i="33"/>
  <c r="J162" i="33"/>
  <c r="J143" i="33"/>
  <c r="J138" i="33"/>
  <c r="J103" i="33"/>
  <c r="J137" i="33"/>
  <c r="J123" i="33"/>
  <c r="J32" i="33"/>
  <c r="J109" i="33"/>
  <c r="J24" i="33"/>
  <c r="J62" i="33"/>
  <c r="J54" i="33"/>
  <c r="J22" i="33"/>
  <c r="J34" i="33"/>
  <c r="J10" i="33"/>
  <c r="J300" i="33"/>
  <c r="J297" i="33"/>
  <c r="J215" i="33"/>
  <c r="J263" i="33"/>
  <c r="J238" i="33"/>
  <c r="J270" i="33"/>
  <c r="J219" i="33"/>
  <c r="J205" i="33"/>
  <c r="J264" i="33"/>
  <c r="J231" i="33"/>
  <c r="J254" i="33"/>
  <c r="J97" i="33"/>
  <c r="J95" i="33"/>
  <c r="J155" i="33"/>
  <c r="J11" i="33"/>
  <c r="J124" i="33"/>
  <c r="J144" i="33"/>
  <c r="J185" i="33"/>
  <c r="J26" i="33"/>
  <c r="J130" i="33"/>
  <c r="J41" i="33"/>
  <c r="J49" i="33"/>
  <c r="J23" i="33"/>
  <c r="J16" i="33"/>
  <c r="J39" i="33"/>
  <c r="J46" i="33"/>
  <c r="J43" i="33"/>
  <c r="J260" i="33"/>
  <c r="J291" i="33"/>
  <c r="J233" i="33"/>
  <c r="J305" i="33"/>
  <c r="J293" i="33"/>
  <c r="J292" i="33"/>
  <c r="J165" i="33"/>
  <c r="J280" i="33"/>
  <c r="J184" i="33"/>
  <c r="J259" i="33"/>
  <c r="J218" i="33"/>
  <c r="J289" i="33"/>
  <c r="J220" i="33"/>
  <c r="J126" i="33"/>
  <c r="J201" i="33"/>
  <c r="J187" i="33"/>
  <c r="J106" i="33"/>
  <c r="J163" i="33"/>
  <c r="J178" i="33"/>
  <c r="J115" i="33"/>
  <c r="J8" i="33"/>
  <c r="J249" i="33"/>
  <c r="J255" i="33"/>
  <c r="J281" i="33"/>
  <c r="J237" i="33"/>
  <c r="J199" i="33"/>
  <c r="J290" i="33"/>
  <c r="J242" i="33"/>
  <c r="J299" i="33"/>
  <c r="J200" i="33"/>
  <c r="J102" i="33"/>
  <c r="J285" i="33"/>
  <c r="J193" i="33"/>
  <c r="J13" i="33"/>
  <c r="J170" i="33"/>
  <c r="J87" i="33"/>
  <c r="J134" i="33"/>
  <c r="J92" i="33"/>
  <c r="J120" i="33"/>
  <c r="J81" i="33"/>
  <c r="J47" i="33"/>
  <c r="J82" i="33"/>
  <c r="J114" i="33"/>
  <c r="J101" i="33"/>
  <c r="J50" i="33"/>
  <c r="J56" i="33"/>
  <c r="J63" i="33"/>
  <c r="J150" i="33"/>
  <c r="J27" i="33"/>
  <c r="J113" i="33"/>
  <c r="J96" i="33"/>
  <c r="J30" i="33"/>
  <c r="J42" i="33"/>
  <c r="J52" i="33"/>
  <c r="J271" i="33"/>
  <c r="J149" i="33"/>
  <c r="J132" i="33"/>
  <c r="J195" i="33"/>
  <c r="J182" i="33"/>
  <c r="J75" i="33"/>
  <c r="J88" i="33"/>
  <c r="J58" i="33"/>
  <c r="J18" i="33"/>
  <c r="J104" i="33"/>
  <c r="J85" i="33"/>
  <c r="J192" i="33"/>
  <c r="J214" i="33"/>
  <c r="J177" i="33"/>
  <c r="J167" i="33"/>
  <c r="J122" i="33"/>
  <c r="J48" i="33"/>
  <c r="J19" i="33"/>
  <c r="J67" i="33"/>
  <c r="J70" i="33"/>
  <c r="J9" i="33"/>
  <c r="J31" i="33"/>
  <c r="J156" i="33"/>
  <c r="J35" i="33"/>
  <c r="J57" i="33"/>
  <c r="J25" i="33"/>
  <c r="J286" i="33"/>
  <c r="J216" i="33"/>
  <c r="J190" i="33"/>
  <c r="J121" i="33"/>
  <c r="J83" i="33"/>
  <c r="J73" i="33"/>
  <c r="J71" i="33"/>
  <c r="J250" i="33"/>
  <c r="J78" i="33"/>
  <c r="J296" i="33"/>
  <c r="J245" i="33"/>
  <c r="J282" i="33"/>
  <c r="J236" i="33"/>
  <c r="J186" i="33"/>
  <c r="J51" i="33"/>
  <c r="J38" i="33"/>
  <c r="J131" i="33"/>
  <c r="J44" i="33"/>
  <c r="J7" i="33"/>
  <c r="J146" i="33"/>
  <c r="J228" i="33"/>
  <c r="J119" i="33"/>
  <c r="J98" i="33"/>
  <c r="J69" i="33"/>
  <c r="J17" i="33"/>
  <c r="J60" i="33"/>
  <c r="J14" i="33"/>
  <c r="J55" i="33"/>
  <c r="J191" i="33"/>
  <c r="J90" i="33"/>
  <c r="J15" i="33"/>
  <c r="J86" i="33"/>
  <c r="J33" i="33"/>
  <c r="J65" i="33"/>
  <c r="J59" i="33"/>
  <c r="J40" i="33"/>
  <c r="J148" i="33"/>
  <c r="J91" i="33"/>
  <c r="J135" i="33"/>
  <c r="J262" i="33"/>
  <c r="J116" i="33"/>
  <c r="J302" i="33"/>
  <c r="J168" i="33"/>
  <c r="J79" i="33"/>
  <c r="J100" i="33"/>
  <c r="J80" i="33"/>
  <c r="J246" i="33"/>
  <c r="J230" i="33"/>
  <c r="J64" i="33"/>
  <c r="J256" i="33"/>
  <c r="J288" i="33"/>
  <c r="J248" i="33"/>
  <c r="J99" i="33"/>
  <c r="J194" i="33"/>
  <c r="J107" i="33"/>
  <c r="J294" i="33"/>
  <c r="J278" i="33"/>
  <c r="J72" i="33"/>
  <c r="J164" i="33"/>
  <c r="J111" i="33"/>
  <c r="J272" i="33"/>
  <c r="J172" i="33"/>
  <c r="G20" i="33"/>
  <c r="G44" i="33"/>
  <c r="G28" i="33"/>
  <c r="G12" i="33"/>
  <c r="G36" i="33"/>
  <c r="G65" i="33"/>
  <c r="G141" i="33"/>
  <c r="G112" i="33"/>
  <c r="G76" i="33"/>
  <c r="G93" i="33"/>
  <c r="G133" i="33"/>
  <c r="G104" i="33"/>
  <c r="G109" i="33"/>
  <c r="G125" i="33"/>
  <c r="G128" i="33"/>
  <c r="G131" i="33"/>
  <c r="G101" i="33"/>
  <c r="G96" i="33"/>
  <c r="G67" i="33"/>
  <c r="G84" i="33"/>
  <c r="G151" i="33"/>
  <c r="G169" i="33"/>
  <c r="G193" i="33"/>
  <c r="G198" i="33"/>
  <c r="G60" i="33"/>
  <c r="G147" i="33"/>
  <c r="G152" i="33"/>
  <c r="G177" i="33"/>
  <c r="G224" i="33"/>
  <c r="G298" i="33"/>
  <c r="G201" i="33"/>
  <c r="G269" i="33"/>
  <c r="G226" i="33"/>
  <c r="G239" i="33"/>
  <c r="G159" i="33"/>
  <c r="G263" i="33"/>
  <c r="G115" i="33"/>
  <c r="G253" i="33"/>
  <c r="G208" i="33"/>
  <c r="G231" i="33"/>
  <c r="G266" i="33"/>
  <c r="G216" i="33"/>
  <c r="G240" i="33"/>
  <c r="G242" i="33"/>
  <c r="G297" i="33"/>
  <c r="G301" i="33"/>
  <c r="G258" i="33"/>
  <c r="G277" i="33"/>
  <c r="G264" i="33"/>
  <c r="G275" i="33"/>
  <c r="G232" i="33"/>
  <c r="G287" i="33"/>
  <c r="G234" i="33"/>
  <c r="G295" i="33"/>
  <c r="G219" i="33"/>
  <c r="G171" i="33"/>
  <c r="G218" i="33"/>
  <c r="G236" i="33"/>
  <c r="G220" i="33"/>
  <c r="G129" i="33"/>
  <c r="G291" i="33"/>
  <c r="G268" i="33"/>
  <c r="G207" i="33"/>
  <c r="G270" i="33"/>
  <c r="G292" i="33"/>
  <c r="G254" i="33"/>
  <c r="G267" i="33"/>
  <c r="G189" i="33"/>
  <c r="G285" i="33"/>
  <c r="G184" i="33"/>
  <c r="G179" i="33"/>
  <c r="G192" i="33"/>
  <c r="G247" i="33"/>
  <c r="G282" i="33"/>
  <c r="G260" i="33"/>
  <c r="G257" i="33"/>
  <c r="G225" i="33"/>
  <c r="G238" i="33"/>
  <c r="G261" i="33"/>
  <c r="G191" i="33"/>
  <c r="G181" i="33"/>
  <c r="G243" i="33"/>
  <c r="G211" i="33"/>
  <c r="G233" i="33"/>
  <c r="G214" i="33"/>
  <c r="G206" i="33"/>
  <c r="G123" i="33"/>
  <c r="G221" i="33"/>
  <c r="G183" i="33"/>
  <c r="G212" i="33"/>
  <c r="G271" i="33"/>
  <c r="G180" i="33"/>
  <c r="G241" i="33"/>
  <c r="G229" i="33"/>
  <c r="G205" i="33"/>
  <c r="G274" i="33"/>
  <c r="G178" i="33"/>
  <c r="G119" i="33"/>
  <c r="G75" i="33"/>
  <c r="G284" i="33"/>
  <c r="G300" i="33"/>
  <c r="G250" i="33"/>
  <c r="G296" i="33"/>
  <c r="G215" i="33"/>
  <c r="G235" i="33"/>
  <c r="G252" i="33"/>
  <c r="G197" i="33"/>
  <c r="G132" i="33"/>
  <c r="G161" i="33"/>
  <c r="G124" i="33"/>
  <c r="G199" i="33"/>
  <c r="G167" i="33"/>
  <c r="G83" i="33"/>
  <c r="G8" i="33"/>
  <c r="G51" i="33"/>
  <c r="G122" i="33"/>
  <c r="G58" i="33"/>
  <c r="G113" i="33"/>
  <c r="G94" i="33"/>
  <c r="G118" i="33"/>
  <c r="G55" i="33"/>
  <c r="G17" i="33"/>
  <c r="G70" i="33"/>
  <c r="G9" i="33"/>
  <c r="G57" i="33"/>
  <c r="G29" i="33"/>
  <c r="G244" i="33"/>
  <c r="G305" i="33"/>
  <c r="G202" i="33"/>
  <c r="G200" i="33"/>
  <c r="G299" i="33"/>
  <c r="G153" i="33"/>
  <c r="G143" i="33"/>
  <c r="G121" i="33"/>
  <c r="G13" i="33"/>
  <c r="G175" i="33"/>
  <c r="G186" i="33"/>
  <c r="G157" i="33"/>
  <c r="G166" i="33"/>
  <c r="G127" i="33"/>
  <c r="G15" i="33"/>
  <c r="G103" i="33"/>
  <c r="G108" i="33"/>
  <c r="G89" i="33"/>
  <c r="G56" i="33"/>
  <c r="G31" i="33"/>
  <c r="G7" i="33"/>
  <c r="G21" i="33"/>
  <c r="G273" i="33"/>
  <c r="G210" i="33"/>
  <c r="G204" i="33"/>
  <c r="G165" i="33"/>
  <c r="G249" i="33"/>
  <c r="G281" i="33"/>
  <c r="G237" i="33"/>
  <c r="G228" i="33"/>
  <c r="G227" i="33"/>
  <c r="G139" i="33"/>
  <c r="G217" i="33"/>
  <c r="G289" i="33"/>
  <c r="G140" i="33"/>
  <c r="G95" i="33"/>
  <c r="G195" i="33"/>
  <c r="G146" i="33"/>
  <c r="G134" i="33"/>
  <c r="G92" i="33"/>
  <c r="G251" i="33"/>
  <c r="G303" i="33"/>
  <c r="G283" i="33"/>
  <c r="G85" i="33"/>
  <c r="G188" i="33"/>
  <c r="G142" i="33"/>
  <c r="G286" i="33"/>
  <c r="G245" i="33"/>
  <c r="G187" i="33"/>
  <c r="G90" i="33"/>
  <c r="G163" i="33"/>
  <c r="G78" i="33"/>
  <c r="G26" i="33"/>
  <c r="G117" i="33"/>
  <c r="G130" i="33"/>
  <c r="G136" i="33"/>
  <c r="G38" i="33"/>
  <c r="G23" i="33"/>
  <c r="G77" i="33"/>
  <c r="G39" i="33"/>
  <c r="G40" i="33"/>
  <c r="G223" i="33"/>
  <c r="G259" i="33"/>
  <c r="G87" i="33"/>
  <c r="G88" i="33"/>
  <c r="G47" i="33"/>
  <c r="G19" i="33"/>
  <c r="G62" i="33"/>
  <c r="G43" i="33"/>
  <c r="G34" i="33"/>
  <c r="G45" i="33"/>
  <c r="G52" i="33"/>
  <c r="G255" i="33"/>
  <c r="G185" i="33"/>
  <c r="G173" i="33"/>
  <c r="G102" i="33"/>
  <c r="G280" i="33"/>
  <c r="G160" i="33"/>
  <c r="G97" i="33"/>
  <c r="G170" i="33"/>
  <c r="G190" i="33"/>
  <c r="G138" i="33"/>
  <c r="G74" i="33"/>
  <c r="G48" i="33"/>
  <c r="G46" i="33"/>
  <c r="G37" i="33"/>
  <c r="G209" i="33"/>
  <c r="G126" i="33"/>
  <c r="G82" i="33"/>
  <c r="G32" i="33"/>
  <c r="G279" i="33"/>
  <c r="G145" i="33"/>
  <c r="G149" i="33"/>
  <c r="G162" i="33"/>
  <c r="G120" i="33"/>
  <c r="G150" i="33"/>
  <c r="G110" i="33"/>
  <c r="G18" i="33"/>
  <c r="G42" i="33"/>
  <c r="G10" i="33"/>
  <c r="G182" i="33"/>
  <c r="G11" i="33"/>
  <c r="G41" i="33"/>
  <c r="G176" i="33"/>
  <c r="G293" i="33"/>
  <c r="G174" i="33"/>
  <c r="G137" i="33"/>
  <c r="G114" i="33"/>
  <c r="G49" i="33"/>
  <c r="G50" i="33"/>
  <c r="G14" i="33"/>
  <c r="G265" i="33"/>
  <c r="G213" i="33"/>
  <c r="G155" i="33"/>
  <c r="G144" i="33"/>
  <c r="G98" i="33"/>
  <c r="G86" i="33"/>
  <c r="G105" i="33"/>
  <c r="G33" i="33"/>
  <c r="G16" i="33"/>
  <c r="G68" i="33"/>
  <c r="G69" i="33"/>
  <c r="G24" i="33"/>
  <c r="G59" i="33"/>
  <c r="G54" i="33"/>
  <c r="G63" i="33"/>
  <c r="G81" i="33"/>
  <c r="G53" i="33"/>
  <c r="G276" i="33"/>
  <c r="G196" i="33"/>
  <c r="G203" i="33"/>
  <c r="G73" i="33"/>
  <c r="G35" i="33"/>
  <c r="G61" i="33"/>
  <c r="G66" i="33"/>
  <c r="G71" i="33"/>
  <c r="G22" i="33"/>
  <c r="G25" i="33"/>
  <c r="G106" i="33"/>
  <c r="G290" i="33"/>
  <c r="G222" i="33"/>
  <c r="G304" i="33"/>
  <c r="G154" i="33"/>
  <c r="G156" i="33"/>
  <c r="G158" i="33"/>
  <c r="G30" i="33"/>
  <c r="G27" i="33"/>
  <c r="G164" i="33"/>
  <c r="G194" i="33"/>
  <c r="G294" i="33"/>
  <c r="G256" i="33"/>
  <c r="G64" i="33"/>
  <c r="G99" i="33"/>
  <c r="G111" i="33"/>
  <c r="G248" i="33"/>
  <c r="G172" i="33"/>
  <c r="G135" i="33"/>
  <c r="G72" i="33"/>
  <c r="G91" i="33"/>
  <c r="G278" i="33"/>
  <c r="G79" i="33"/>
  <c r="G116" i="33"/>
  <c r="G262" i="33"/>
  <c r="G100" i="33"/>
  <c r="G246" i="33"/>
  <c r="G230" i="33"/>
  <c r="G288" i="33"/>
  <c r="G148" i="33"/>
  <c r="G302" i="33"/>
  <c r="G107" i="33"/>
  <c r="G80" i="33"/>
  <c r="G168" i="33"/>
  <c r="G272" i="33"/>
  <c r="H12" i="33"/>
  <c r="H20" i="33"/>
  <c r="H28" i="33"/>
  <c r="H36" i="33"/>
  <c r="H31" i="33"/>
  <c r="H141" i="33"/>
  <c r="H7" i="33"/>
  <c r="H68" i="33"/>
  <c r="H112" i="33"/>
  <c r="H131" i="33"/>
  <c r="H152" i="33"/>
  <c r="H23" i="33"/>
  <c r="H39" i="33"/>
  <c r="H63" i="33"/>
  <c r="H110" i="33"/>
  <c r="H114" i="33"/>
  <c r="H125" i="33"/>
  <c r="H47" i="33"/>
  <c r="H81" i="33"/>
  <c r="H103" i="33"/>
  <c r="H70" i="33"/>
  <c r="H94" i="33"/>
  <c r="H98" i="33"/>
  <c r="H128" i="33"/>
  <c r="H201" i="33"/>
  <c r="H104" i="33"/>
  <c r="H120" i="33"/>
  <c r="H167" i="33"/>
  <c r="H193" i="33"/>
  <c r="H198" i="33"/>
  <c r="H199" i="33"/>
  <c r="H133" i="33"/>
  <c r="H127" i="33"/>
  <c r="H175" i="33"/>
  <c r="H185" i="33"/>
  <c r="H88" i="33"/>
  <c r="H226" i="33"/>
  <c r="H253" i="33"/>
  <c r="H183" i="33"/>
  <c r="H292" i="33"/>
  <c r="H177" i="33"/>
  <c r="H237" i="33"/>
  <c r="H293" i="33"/>
  <c r="H298" i="33"/>
  <c r="H299" i="33"/>
  <c r="H182" i="33"/>
  <c r="H188" i="33"/>
  <c r="H277" i="33"/>
  <c r="H192" i="33"/>
  <c r="H211" i="33"/>
  <c r="H243" i="33"/>
  <c r="H285" i="33"/>
  <c r="H219" i="33"/>
  <c r="H266" i="33"/>
  <c r="H267" i="33"/>
  <c r="H282" i="33"/>
  <c r="H229" i="33"/>
  <c r="H301" i="33"/>
  <c r="H251" i="33"/>
  <c r="H260" i="33"/>
  <c r="H280" i="33"/>
  <c r="H242" i="33"/>
  <c r="H224" i="33"/>
  <c r="H261" i="33"/>
  <c r="H216" i="33"/>
  <c r="H289" i="33"/>
  <c r="H200" i="33"/>
  <c r="H102" i="33"/>
  <c r="H286" i="33"/>
  <c r="H223" i="33"/>
  <c r="H126" i="33"/>
  <c r="H190" i="33"/>
  <c r="H300" i="33"/>
  <c r="H265" i="33"/>
  <c r="H215" i="33"/>
  <c r="H221" i="33"/>
  <c r="H297" i="33"/>
  <c r="H240" i="33"/>
  <c r="H291" i="33"/>
  <c r="H249" i="33"/>
  <c r="H281" i="33"/>
  <c r="H207" i="33"/>
  <c r="H270" i="33"/>
  <c r="H254" i="33"/>
  <c r="H165" i="33"/>
  <c r="H264" i="33"/>
  <c r="H232" i="33"/>
  <c r="H154" i="33"/>
  <c r="H203" i="33"/>
  <c r="H305" i="33"/>
  <c r="H257" i="33"/>
  <c r="H273" i="33"/>
  <c r="H239" i="33"/>
  <c r="H276" i="33"/>
  <c r="H283" i="33"/>
  <c r="H212" i="33"/>
  <c r="H287" i="33"/>
  <c r="H213" i="33"/>
  <c r="H181" i="33"/>
  <c r="H171" i="33"/>
  <c r="H142" i="33"/>
  <c r="H295" i="33"/>
  <c r="H97" i="33"/>
  <c r="H11" i="33"/>
  <c r="H146" i="33"/>
  <c r="H90" i="33"/>
  <c r="H158" i="33"/>
  <c r="H275" i="33"/>
  <c r="H180" i="33"/>
  <c r="H263" i="33"/>
  <c r="H241" i="33"/>
  <c r="H205" i="33"/>
  <c r="H269" i="33"/>
  <c r="H231" i="33"/>
  <c r="H214" i="33"/>
  <c r="H140" i="33"/>
  <c r="H169" i="33"/>
  <c r="H178" i="33"/>
  <c r="H119" i="33"/>
  <c r="H144" i="33"/>
  <c r="H78" i="33"/>
  <c r="H27" i="33"/>
  <c r="H101" i="33"/>
  <c r="H50" i="33"/>
  <c r="H48" i="33"/>
  <c r="H69" i="33"/>
  <c r="H66" i="33"/>
  <c r="H60" i="33"/>
  <c r="H53" i="33"/>
  <c r="H268" i="33"/>
  <c r="H85" i="33"/>
  <c r="H279" i="33"/>
  <c r="H218" i="33"/>
  <c r="H220" i="33"/>
  <c r="H161" i="33"/>
  <c r="H173" i="33"/>
  <c r="H136" i="33"/>
  <c r="H92" i="33"/>
  <c r="H83" i="33"/>
  <c r="H8" i="33"/>
  <c r="H147" i="33"/>
  <c r="H51" i="33"/>
  <c r="H117" i="33"/>
  <c r="H58" i="33"/>
  <c r="H73" i="33"/>
  <c r="H113" i="33"/>
  <c r="H84" i="33"/>
  <c r="H55" i="33"/>
  <c r="H17" i="33"/>
  <c r="H67" i="33"/>
  <c r="H65" i="33"/>
  <c r="H9" i="33"/>
  <c r="H57" i="33"/>
  <c r="H45" i="33"/>
  <c r="H244" i="33"/>
  <c r="H227" i="33"/>
  <c r="H238" i="33"/>
  <c r="H202" i="33"/>
  <c r="H284" i="33"/>
  <c r="H274" i="33"/>
  <c r="H255" i="33"/>
  <c r="H210" i="33"/>
  <c r="H204" i="33"/>
  <c r="H296" i="33"/>
  <c r="H245" i="33"/>
  <c r="H191" i="33"/>
  <c r="H250" i="33"/>
  <c r="H258" i="33"/>
  <c r="H236" i="33"/>
  <c r="H160" i="33"/>
  <c r="H170" i="33"/>
  <c r="H155" i="33"/>
  <c r="H132" i="33"/>
  <c r="H174" i="33"/>
  <c r="H138" i="33"/>
  <c r="H150" i="33"/>
  <c r="H122" i="33"/>
  <c r="H75" i="33"/>
  <c r="H271" i="33"/>
  <c r="H252" i="33"/>
  <c r="H225" i="33"/>
  <c r="H228" i="33"/>
  <c r="H139" i="33"/>
  <c r="H208" i="33"/>
  <c r="H176" i="33"/>
  <c r="H233" i="33"/>
  <c r="H217" i="33"/>
  <c r="H159" i="33"/>
  <c r="H149" i="33"/>
  <c r="H195" i="33"/>
  <c r="H156" i="33"/>
  <c r="H74" i="33"/>
  <c r="H19" i="33"/>
  <c r="H59" i="33"/>
  <c r="H30" i="33"/>
  <c r="H34" i="33"/>
  <c r="H25" i="33"/>
  <c r="H10" i="33"/>
  <c r="H21" i="33"/>
  <c r="H179" i="33"/>
  <c r="H209" i="33"/>
  <c r="H153" i="33"/>
  <c r="H106" i="33"/>
  <c r="H15" i="33"/>
  <c r="H41" i="33"/>
  <c r="H32" i="33"/>
  <c r="H89" i="33"/>
  <c r="H56" i="33"/>
  <c r="H189" i="33"/>
  <c r="H290" i="33"/>
  <c r="H234" i="33"/>
  <c r="H247" i="33"/>
  <c r="H206" i="33"/>
  <c r="H87" i="33"/>
  <c r="H123" i="33"/>
  <c r="H96" i="33"/>
  <c r="H76" i="33"/>
  <c r="H62" i="33"/>
  <c r="H43" i="33"/>
  <c r="H222" i="33"/>
  <c r="H121" i="33"/>
  <c r="H124" i="33"/>
  <c r="H82" i="33"/>
  <c r="H118" i="33"/>
  <c r="H109" i="33"/>
  <c r="H38" i="33"/>
  <c r="H93" i="33"/>
  <c r="H44" i="33"/>
  <c r="H46" i="33"/>
  <c r="H145" i="33"/>
  <c r="H151" i="33"/>
  <c r="H95" i="33"/>
  <c r="H162" i="33"/>
  <c r="H186" i="33"/>
  <c r="H134" i="33"/>
  <c r="H18" i="33"/>
  <c r="H42" i="33"/>
  <c r="H52" i="33"/>
  <c r="H163" i="33"/>
  <c r="H166" i="33"/>
  <c r="H26" i="33"/>
  <c r="H108" i="33"/>
  <c r="H137" i="33"/>
  <c r="H49" i="33"/>
  <c r="H40" i="33"/>
  <c r="H14" i="33"/>
  <c r="H235" i="33"/>
  <c r="H129" i="33"/>
  <c r="H196" i="33"/>
  <c r="H13" i="33"/>
  <c r="H130" i="33"/>
  <c r="H157" i="33"/>
  <c r="H86" i="33"/>
  <c r="H105" i="33"/>
  <c r="H33" i="33"/>
  <c r="H16" i="33"/>
  <c r="H77" i="33"/>
  <c r="H24" i="33"/>
  <c r="H54" i="33"/>
  <c r="H37" i="33"/>
  <c r="H303" i="33"/>
  <c r="H184" i="33"/>
  <c r="H304" i="33"/>
  <c r="H197" i="33"/>
  <c r="H259" i="33"/>
  <c r="H187" i="33"/>
  <c r="H143" i="33"/>
  <c r="H115" i="33"/>
  <c r="H71" i="33"/>
  <c r="H35" i="33"/>
  <c r="H61" i="33"/>
  <c r="H22" i="33"/>
  <c r="H29" i="33"/>
  <c r="H100" i="33"/>
  <c r="H272" i="33"/>
  <c r="H194" i="33"/>
  <c r="H294" i="33"/>
  <c r="H256" i="33"/>
  <c r="H64" i="33"/>
  <c r="H148" i="33"/>
  <c r="H168" i="33"/>
  <c r="H172" i="33"/>
  <c r="H135" i="33"/>
  <c r="H72" i="33"/>
  <c r="H278" i="33"/>
  <c r="H164" i="33"/>
  <c r="H288" i="33"/>
  <c r="H262" i="33"/>
  <c r="H246" i="33"/>
  <c r="H91" i="33"/>
  <c r="H230" i="33"/>
  <c r="H116" i="33"/>
  <c r="H80" i="33"/>
  <c r="H248" i="33"/>
  <c r="H99" i="33"/>
  <c r="H79" i="33"/>
  <c r="H302" i="33"/>
  <c r="H107" i="33"/>
  <c r="H111" i="33"/>
  <c r="K56" i="33"/>
  <c r="K69" i="33"/>
  <c r="K40" i="33"/>
  <c r="K112" i="33"/>
  <c r="K147" i="33"/>
  <c r="K71" i="33"/>
  <c r="K131" i="33"/>
  <c r="K104" i="33"/>
  <c r="K8" i="33"/>
  <c r="K160" i="33"/>
  <c r="K134" i="33"/>
  <c r="K151" i="33"/>
  <c r="K159" i="33"/>
  <c r="K169" i="33"/>
  <c r="K177" i="33"/>
  <c r="K178" i="33"/>
  <c r="K84" i="33"/>
  <c r="K201" i="33"/>
  <c r="K113" i="33"/>
  <c r="K149" i="33"/>
  <c r="K204" i="33"/>
  <c r="K227" i="33"/>
  <c r="K301" i="33"/>
  <c r="K228" i="33"/>
  <c r="K277" i="33"/>
  <c r="K154" i="33"/>
  <c r="K261" i="33"/>
  <c r="K88" i="33"/>
  <c r="K269" i="33"/>
  <c r="K222" i="33"/>
  <c r="K252" i="33"/>
  <c r="K297" i="33"/>
  <c r="K243" i="33"/>
  <c r="K281" i="33"/>
  <c r="K304" i="33"/>
  <c r="K165" i="33"/>
  <c r="K184" i="33"/>
  <c r="K254" i="33"/>
  <c r="K142" i="33"/>
  <c r="K162" i="33"/>
  <c r="K182" i="33"/>
  <c r="K251" i="33"/>
  <c r="K284" i="33"/>
  <c r="K255" i="33"/>
  <c r="K237" i="33"/>
  <c r="K264" i="33"/>
  <c r="K287" i="33"/>
  <c r="K216" i="33"/>
  <c r="K229" i="33"/>
  <c r="K275" i="33"/>
  <c r="K300" i="33"/>
  <c r="K303" i="33"/>
  <c r="K197" i="33"/>
  <c r="K286" i="33"/>
  <c r="K202" i="33"/>
  <c r="K279" i="33"/>
  <c r="K240" i="33"/>
  <c r="K208" i="33"/>
  <c r="K266" i="33"/>
  <c r="K218" i="33"/>
  <c r="K245" i="33"/>
  <c r="K217" i="33"/>
  <c r="K292" i="33"/>
  <c r="K209" i="33"/>
  <c r="K185" i="33"/>
  <c r="K129" i="33"/>
  <c r="K271" i="33"/>
  <c r="K283" i="33"/>
  <c r="K180" i="33"/>
  <c r="K265" i="33"/>
  <c r="K236" i="33"/>
  <c r="K285" i="33"/>
  <c r="K226" i="33"/>
  <c r="K192" i="33"/>
  <c r="K274" i="33"/>
  <c r="K273" i="33"/>
  <c r="K173" i="33"/>
  <c r="K132" i="33"/>
  <c r="K13" i="33"/>
  <c r="K175" i="33"/>
  <c r="K161" i="33"/>
  <c r="K87" i="33"/>
  <c r="K78" i="33"/>
  <c r="K276" i="33"/>
  <c r="K305" i="33"/>
  <c r="K191" i="33"/>
  <c r="K257" i="33"/>
  <c r="K239" i="33"/>
  <c r="K221" i="33"/>
  <c r="K183" i="33"/>
  <c r="K189" i="33"/>
  <c r="K211" i="33"/>
  <c r="K102" i="33"/>
  <c r="K267" i="33"/>
  <c r="K247" i="33"/>
  <c r="K206" i="33"/>
  <c r="K145" i="33"/>
  <c r="K188" i="33"/>
  <c r="K190" i="33"/>
  <c r="K98" i="33"/>
  <c r="K81" i="33"/>
  <c r="K38" i="33"/>
  <c r="K18" i="33"/>
  <c r="K93" i="33"/>
  <c r="K61" i="33"/>
  <c r="K44" i="33"/>
  <c r="K29" i="33"/>
  <c r="K291" i="33"/>
  <c r="K249" i="33"/>
  <c r="K224" i="33"/>
  <c r="K207" i="33"/>
  <c r="K299" i="33"/>
  <c r="K213" i="33"/>
  <c r="K181" i="33"/>
  <c r="K171" i="33"/>
  <c r="K295" i="33"/>
  <c r="K234" i="33"/>
  <c r="K223" i="33"/>
  <c r="K212" i="33"/>
  <c r="K170" i="33"/>
  <c r="K138" i="33"/>
  <c r="K152" i="33"/>
  <c r="K123" i="33"/>
  <c r="K101" i="33"/>
  <c r="K74" i="33"/>
  <c r="K125" i="33"/>
  <c r="K76" i="33"/>
  <c r="K24" i="33"/>
  <c r="K62" i="33"/>
  <c r="K54" i="33"/>
  <c r="K22" i="33"/>
  <c r="K34" i="33"/>
  <c r="K10" i="33"/>
  <c r="K20" i="33"/>
  <c r="K268" i="33"/>
  <c r="K215" i="33"/>
  <c r="K85" i="33"/>
  <c r="K263" i="33"/>
  <c r="K220" i="33"/>
  <c r="K225" i="33"/>
  <c r="K179" i="33"/>
  <c r="K250" i="33"/>
  <c r="K203" i="33"/>
  <c r="K153" i="33"/>
  <c r="K260" i="33"/>
  <c r="K298" i="33"/>
  <c r="K258" i="33"/>
  <c r="K289" i="33"/>
  <c r="K253" i="33"/>
  <c r="K155" i="33"/>
  <c r="K140" i="33"/>
  <c r="K126" i="33"/>
  <c r="K95" i="33"/>
  <c r="K187" i="33"/>
  <c r="K193" i="33"/>
  <c r="K106" i="33"/>
  <c r="K166" i="33"/>
  <c r="K51" i="33"/>
  <c r="K150" i="33"/>
  <c r="K110" i="33"/>
  <c r="K128" i="33"/>
  <c r="K141" i="33"/>
  <c r="K17" i="33"/>
  <c r="K67" i="33"/>
  <c r="K42" i="33"/>
  <c r="K9" i="33"/>
  <c r="K57" i="33"/>
  <c r="K210" i="33"/>
  <c r="K242" i="33"/>
  <c r="K235" i="33"/>
  <c r="K290" i="33"/>
  <c r="K11" i="33"/>
  <c r="K146" i="33"/>
  <c r="K196" i="33"/>
  <c r="K156" i="33"/>
  <c r="K82" i="33"/>
  <c r="K35" i="33"/>
  <c r="K105" i="33"/>
  <c r="K55" i="33"/>
  <c r="K25" i="33"/>
  <c r="K241" i="33"/>
  <c r="K139" i="33"/>
  <c r="K200" i="33"/>
  <c r="K130" i="33"/>
  <c r="K27" i="33"/>
  <c r="K41" i="33"/>
  <c r="K50" i="33"/>
  <c r="K23" i="33"/>
  <c r="K30" i="33"/>
  <c r="K52" i="33"/>
  <c r="K296" i="33"/>
  <c r="K143" i="33"/>
  <c r="K15" i="33"/>
  <c r="K133" i="33"/>
  <c r="K12" i="33"/>
  <c r="K219" i="33"/>
  <c r="K280" i="33"/>
  <c r="K97" i="33"/>
  <c r="K195" i="33"/>
  <c r="K92" i="33"/>
  <c r="K75" i="33"/>
  <c r="K103" i="33"/>
  <c r="K58" i="33"/>
  <c r="K68" i="33"/>
  <c r="K89" i="33"/>
  <c r="K53" i="33"/>
  <c r="K63" i="33"/>
  <c r="K43" i="33"/>
  <c r="K259" i="33"/>
  <c r="K115" i="33"/>
  <c r="K59" i="33"/>
  <c r="K282" i="33"/>
  <c r="K214" i="33"/>
  <c r="K238" i="33"/>
  <c r="K144" i="33"/>
  <c r="K167" i="33"/>
  <c r="K26" i="33"/>
  <c r="K120" i="33"/>
  <c r="K122" i="33"/>
  <c r="K86" i="33"/>
  <c r="K109" i="33"/>
  <c r="K48" i="33"/>
  <c r="K32" i="33"/>
  <c r="K19" i="33"/>
  <c r="K66" i="33"/>
  <c r="K70" i="33"/>
  <c r="K46" i="33"/>
  <c r="K31" i="33"/>
  <c r="K77" i="33"/>
  <c r="K231" i="33"/>
  <c r="K176" i="33"/>
  <c r="K198" i="33"/>
  <c r="K199" i="33"/>
  <c r="K121" i="33"/>
  <c r="K174" i="33"/>
  <c r="K124" i="33"/>
  <c r="K83" i="33"/>
  <c r="K73" i="33"/>
  <c r="K114" i="33"/>
  <c r="K39" i="33"/>
  <c r="K37" i="33"/>
  <c r="K36" i="33"/>
  <c r="K137" i="33"/>
  <c r="K45" i="33"/>
  <c r="K270" i="33"/>
  <c r="K293" i="33"/>
  <c r="K205" i="33"/>
  <c r="K232" i="33"/>
  <c r="K163" i="33"/>
  <c r="K158" i="33"/>
  <c r="K127" i="33"/>
  <c r="K117" i="33"/>
  <c r="K136" i="33"/>
  <c r="K49" i="33"/>
  <c r="K96" i="33"/>
  <c r="K118" i="33"/>
  <c r="K7" i="33"/>
  <c r="K21" i="33"/>
  <c r="K233" i="33"/>
  <c r="K186" i="33"/>
  <c r="K157" i="33"/>
  <c r="K119" i="33"/>
  <c r="K47" i="33"/>
  <c r="K108" i="33"/>
  <c r="K94" i="33"/>
  <c r="K16" i="33"/>
  <c r="K60" i="33"/>
  <c r="K14" i="33"/>
  <c r="K28" i="33"/>
  <c r="K244" i="33"/>
  <c r="K90" i="33"/>
  <c r="K33" i="33"/>
  <c r="K65" i="33"/>
  <c r="K172" i="33"/>
  <c r="K262" i="33"/>
  <c r="K302" i="33"/>
  <c r="K111" i="33"/>
  <c r="K288" i="33"/>
  <c r="K148" i="33"/>
  <c r="K164" i="33"/>
  <c r="K107" i="33"/>
  <c r="K116" i="33"/>
  <c r="K168" i="33"/>
  <c r="K135" i="33"/>
  <c r="K91" i="33"/>
  <c r="K272" i="33"/>
  <c r="K64" i="33"/>
  <c r="K100" i="33"/>
  <c r="K80" i="33"/>
  <c r="K194" i="33"/>
  <c r="K294" i="33"/>
  <c r="K99" i="33"/>
  <c r="K79" i="33"/>
  <c r="K72" i="33"/>
  <c r="K256" i="33"/>
  <c r="K278" i="33"/>
  <c r="K246" i="33"/>
  <c r="K230" i="33"/>
  <c r="K248" i="33"/>
  <c r="E11" i="34"/>
  <c r="H6" i="33"/>
  <c r="G6" i="33"/>
  <c r="K6" i="33"/>
  <c r="F306" i="11"/>
  <c r="K306" i="11"/>
  <c r="E6" i="37"/>
  <c r="G6" i="37" s="1"/>
  <c r="J16" i="54"/>
  <c r="K16" i="54" s="1"/>
  <c r="J48" i="54"/>
  <c r="K48" i="54" s="1"/>
  <c r="J26" i="54"/>
  <c r="K26" i="54" s="1"/>
  <c r="J51" i="54"/>
  <c r="K51" i="54" s="1"/>
  <c r="J53" i="54"/>
  <c r="K53" i="54" s="1"/>
  <c r="J39" i="54"/>
  <c r="K39" i="54" s="1"/>
  <c r="J60" i="54"/>
  <c r="K60" i="54" s="1"/>
  <c r="J129" i="54"/>
  <c r="K129" i="54" s="1"/>
  <c r="J161" i="54"/>
  <c r="K161" i="54" s="1"/>
  <c r="J208" i="54"/>
  <c r="K208" i="54" s="1"/>
  <c r="J197" i="54"/>
  <c r="K197" i="54" s="1"/>
  <c r="J32" i="54"/>
  <c r="K32" i="54" s="1"/>
  <c r="J38" i="54"/>
  <c r="K38" i="54" s="1"/>
  <c r="J19" i="54"/>
  <c r="K19" i="54" s="1"/>
  <c r="J15" i="54"/>
  <c r="K15" i="54" s="1"/>
  <c r="J103" i="54"/>
  <c r="K103" i="54" s="1"/>
  <c r="J33" i="54"/>
  <c r="K33" i="54" s="1"/>
  <c r="J10" i="54"/>
  <c r="K10" i="54" s="1"/>
  <c r="J54" i="54"/>
  <c r="K54" i="54" s="1"/>
  <c r="J108" i="54"/>
  <c r="K108" i="54" s="1"/>
  <c r="J101" i="54"/>
  <c r="K101" i="54" s="1"/>
  <c r="J83" i="54"/>
  <c r="K83" i="54" s="1"/>
  <c r="J162" i="54"/>
  <c r="K162" i="54" s="1"/>
  <c r="J127" i="54"/>
  <c r="K127" i="54" s="1"/>
  <c r="J169" i="54"/>
  <c r="K169" i="54" s="1"/>
  <c r="J239" i="54"/>
  <c r="K239" i="54" s="1"/>
  <c r="J12" i="54"/>
  <c r="K12" i="54" s="1"/>
  <c r="J76" i="54"/>
  <c r="K76" i="54" s="1"/>
  <c r="J96" i="54"/>
  <c r="K96" i="54" s="1"/>
  <c r="J193" i="54"/>
  <c r="K193" i="54" s="1"/>
  <c r="J194" i="54"/>
  <c r="K194" i="54" s="1"/>
  <c r="J280" i="54"/>
  <c r="K280" i="54" s="1"/>
  <c r="J70" i="54"/>
  <c r="K70" i="54" s="1"/>
  <c r="J109" i="54"/>
  <c r="K109" i="54" s="1"/>
  <c r="J102" i="54"/>
  <c r="K102" i="54" s="1"/>
  <c r="J138" i="54"/>
  <c r="K138" i="54" s="1"/>
  <c r="J95" i="54"/>
  <c r="K95" i="54" s="1"/>
  <c r="J144" i="54"/>
  <c r="K144" i="54" s="1"/>
  <c r="J176" i="54"/>
  <c r="K176" i="54" s="1"/>
  <c r="J192" i="54"/>
  <c r="K192" i="54" s="1"/>
  <c r="J190" i="54"/>
  <c r="K190" i="54" s="1"/>
  <c r="J80" i="54"/>
  <c r="K80" i="54" s="1"/>
  <c r="J112" i="54"/>
  <c r="K112" i="54" s="1"/>
  <c r="J134" i="54"/>
  <c r="K134" i="54" s="1"/>
  <c r="J131" i="54"/>
  <c r="K131" i="54" s="1"/>
  <c r="J140" i="54"/>
  <c r="K140" i="54" s="1"/>
  <c r="J97" i="54"/>
  <c r="K97" i="54" s="1"/>
  <c r="J118" i="54"/>
  <c r="K118" i="54" s="1"/>
  <c r="J223" i="54"/>
  <c r="K223" i="54" s="1"/>
  <c r="J222" i="54"/>
  <c r="K222" i="54" s="1"/>
  <c r="J262" i="54"/>
  <c r="K262" i="54" s="1"/>
  <c r="J296" i="54"/>
  <c r="K296" i="54" s="1"/>
  <c r="J21" i="54"/>
  <c r="K21" i="54" s="1"/>
  <c r="J158" i="54"/>
  <c r="K158" i="54" s="1"/>
  <c r="J181" i="54"/>
  <c r="K181" i="54" s="1"/>
  <c r="J196" i="54"/>
  <c r="K196" i="54" s="1"/>
  <c r="J180" i="54"/>
  <c r="K180" i="54" s="1"/>
  <c r="J255" i="54"/>
  <c r="K255" i="54" s="1"/>
  <c r="J275" i="54"/>
  <c r="K275" i="54" s="1"/>
  <c r="J257" i="54"/>
  <c r="K257" i="54" s="1"/>
  <c r="J44" i="54"/>
  <c r="K44" i="54" s="1"/>
  <c r="J124" i="54"/>
  <c r="K124" i="54" s="1"/>
  <c r="J31" i="54"/>
  <c r="K31" i="54" s="1"/>
  <c r="J133" i="54"/>
  <c r="K133" i="54" s="1"/>
  <c r="J201" i="54"/>
  <c r="K201" i="54" s="1"/>
  <c r="J237" i="54"/>
  <c r="K237" i="54" s="1"/>
  <c r="J267" i="54"/>
  <c r="K267" i="54" s="1"/>
  <c r="J287" i="54"/>
  <c r="K287" i="54" s="1"/>
  <c r="J90" i="54"/>
  <c r="K90" i="54" s="1"/>
  <c r="J122" i="54"/>
  <c r="K122" i="54" s="1"/>
  <c r="J264" i="54"/>
  <c r="K264" i="54" s="1"/>
  <c r="J292" i="54"/>
  <c r="K292" i="54" s="1"/>
  <c r="J293" i="54"/>
  <c r="K293" i="54" s="1"/>
  <c r="J65" i="54"/>
  <c r="K65" i="54" s="1"/>
  <c r="J55" i="54"/>
  <c r="K55" i="54" s="1"/>
  <c r="J228" i="54"/>
  <c r="K228" i="54" s="1"/>
  <c r="J217" i="54"/>
  <c r="K217" i="54" s="1"/>
  <c r="J241" i="54"/>
  <c r="K241" i="54" s="1"/>
  <c r="J290" i="54"/>
  <c r="K290" i="54" s="1"/>
  <c r="J210" i="54"/>
  <c r="K210" i="54" s="1"/>
  <c r="J246" i="54"/>
  <c r="K246" i="54" s="1"/>
  <c r="J261" i="54"/>
  <c r="K261" i="54" s="1"/>
  <c r="J253" i="54"/>
  <c r="K253" i="54" s="1"/>
  <c r="J258" i="54"/>
  <c r="K258" i="54" s="1"/>
  <c r="J146" i="54"/>
  <c r="K146" i="54" s="1"/>
  <c r="J226" i="54"/>
  <c r="K226" i="54" s="1"/>
  <c r="J294" i="54"/>
  <c r="K294" i="54" s="1"/>
  <c r="J305" i="54"/>
  <c r="K305" i="54" s="1"/>
  <c r="J260" i="54"/>
  <c r="K260" i="54" s="1"/>
  <c r="J111" i="54"/>
  <c r="K111" i="54" s="1"/>
  <c r="J165" i="54"/>
  <c r="K165" i="54" s="1"/>
  <c r="J243" i="54"/>
  <c r="K243" i="54" s="1"/>
  <c r="J278" i="54"/>
  <c r="K278" i="54" s="1"/>
  <c r="J273" i="54"/>
  <c r="K273" i="54" s="1"/>
  <c r="J211" i="54"/>
  <c r="K211" i="54" s="1"/>
  <c r="K6" i="49"/>
  <c r="J37" i="54"/>
  <c r="K37" i="54" s="1"/>
  <c r="J164" i="54"/>
  <c r="K164" i="54" s="1"/>
  <c r="D7" i="34"/>
  <c r="D6" i="34"/>
  <c r="I6" i="33"/>
  <c r="J6" i="33"/>
  <c r="I35" i="37" l="1"/>
  <c r="F41" i="34" s="1"/>
  <c r="F35" i="12" s="1"/>
  <c r="I119" i="37"/>
  <c r="F125" i="34" s="1"/>
  <c r="F119" i="12" s="1"/>
  <c r="I184" i="37"/>
  <c r="F190" i="34" s="1"/>
  <c r="F184" i="12" s="1"/>
  <c r="I91" i="37"/>
  <c r="F97" i="34" s="1"/>
  <c r="F91" i="12" s="1"/>
  <c r="I246" i="37"/>
  <c r="F252" i="34" s="1"/>
  <c r="F246" i="12" s="1"/>
  <c r="I59" i="37"/>
  <c r="F65" i="34" s="1"/>
  <c r="F59" i="12" s="1"/>
  <c r="I49" i="37"/>
  <c r="F55" i="34" s="1"/>
  <c r="F49" i="12" s="1"/>
  <c r="I203" i="37"/>
  <c r="F209" i="34" s="1"/>
  <c r="F203" i="12" s="1"/>
  <c r="I25" i="37"/>
  <c r="F31" i="34" s="1"/>
  <c r="F25" i="12" s="1"/>
  <c r="I222" i="37"/>
  <c r="F228" i="34" s="1"/>
  <c r="F222" i="12" s="1"/>
  <c r="I248" i="37"/>
  <c r="F254" i="34" s="1"/>
  <c r="F248" i="12" s="1"/>
  <c r="I92" i="37"/>
  <c r="F98" i="34" s="1"/>
  <c r="F92" i="12" s="1"/>
  <c r="I137" i="37"/>
  <c r="F143" i="34" s="1"/>
  <c r="F137" i="12" s="1"/>
  <c r="I265" i="37"/>
  <c r="F271" i="34" s="1"/>
  <c r="F265" i="12" s="1"/>
  <c r="I57" i="37"/>
  <c r="F63" i="34" s="1"/>
  <c r="F57" i="12" s="1"/>
  <c r="I276" i="37"/>
  <c r="F282" i="34" s="1"/>
  <c r="F276" i="12" s="1"/>
  <c r="I188" i="37"/>
  <c r="F194" i="34" s="1"/>
  <c r="F188" i="12" s="1"/>
  <c r="I84" i="37"/>
  <c r="F90" i="34" s="1"/>
  <c r="F84" i="12" s="1"/>
  <c r="I111" i="37"/>
  <c r="F117" i="34" s="1"/>
  <c r="F111" i="12" s="1"/>
  <c r="I20" i="37"/>
  <c r="F26" i="34" s="1"/>
  <c r="F20" i="12" s="1"/>
  <c r="I121" i="37"/>
  <c r="F127" i="34" s="1"/>
  <c r="F121" i="12" s="1"/>
  <c r="I294" i="37"/>
  <c r="F300" i="34" s="1"/>
  <c r="F294" i="12" s="1"/>
  <c r="I216" i="37"/>
  <c r="F222" i="34" s="1"/>
  <c r="F216" i="12" s="1"/>
  <c r="I159" i="37"/>
  <c r="F165" i="34" s="1"/>
  <c r="F159" i="12" s="1"/>
  <c r="I174" i="37"/>
  <c r="F180" i="34" s="1"/>
  <c r="F174" i="12" s="1"/>
  <c r="I237" i="37"/>
  <c r="F243" i="34" s="1"/>
  <c r="F237" i="12" s="1"/>
  <c r="I81" i="37"/>
  <c r="F87" i="34" s="1"/>
  <c r="F81" i="12" s="1"/>
  <c r="I227" i="37"/>
  <c r="F233" i="34" s="1"/>
  <c r="F227" i="12" s="1"/>
  <c r="I156" i="37"/>
  <c r="F162" i="34" s="1"/>
  <c r="F156" i="12" s="1"/>
  <c r="I15" i="37"/>
  <c r="F21" i="34" s="1"/>
  <c r="F15" i="12" s="1"/>
  <c r="I108" i="37"/>
  <c r="F114" i="34" s="1"/>
  <c r="F108" i="12" s="1"/>
  <c r="I145" i="37"/>
  <c r="F151" i="34" s="1"/>
  <c r="F145" i="12" s="1"/>
  <c r="I185" i="37"/>
  <c r="F191" i="34" s="1"/>
  <c r="F185" i="12" s="1"/>
  <c r="I252" i="37"/>
  <c r="F258" i="34" s="1"/>
  <c r="F252" i="12" s="1"/>
  <c r="I125" i="37"/>
  <c r="F131" i="34" s="1"/>
  <c r="F125" i="12" s="1"/>
  <c r="I241" i="37"/>
  <c r="F247" i="34" s="1"/>
  <c r="F241" i="12" s="1"/>
  <c r="I305" i="37"/>
  <c r="F311" i="34" s="1"/>
  <c r="F305" i="12" s="1"/>
  <c r="I215" i="37"/>
  <c r="F221" i="34" s="1"/>
  <c r="F215" i="12" s="1"/>
  <c r="I140" i="37"/>
  <c r="F146" i="34" s="1"/>
  <c r="F140" i="12" s="1"/>
  <c r="I225" i="37"/>
  <c r="F231" i="34" s="1"/>
  <c r="F225" i="12" s="1"/>
  <c r="I180" i="37"/>
  <c r="F186" i="34" s="1"/>
  <c r="F180" i="12" s="1"/>
  <c r="I270" i="37"/>
  <c r="F276" i="34" s="1"/>
  <c r="F270" i="12" s="1"/>
  <c r="I255" i="37"/>
  <c r="F261" i="34" s="1"/>
  <c r="F255" i="12" s="1"/>
  <c r="I253" i="37"/>
  <c r="F259" i="34" s="1"/>
  <c r="F253" i="12" s="1"/>
  <c r="I299" i="37"/>
  <c r="F305" i="34" s="1"/>
  <c r="F299" i="12" s="1"/>
  <c r="I177" i="37"/>
  <c r="F183" i="34" s="1"/>
  <c r="F177" i="12" s="1"/>
  <c r="I162" i="37"/>
  <c r="F168" i="34" s="1"/>
  <c r="F162" i="12" s="1"/>
  <c r="I67" i="37"/>
  <c r="F73" i="34" s="1"/>
  <c r="F67" i="12" s="1"/>
  <c r="I21" i="37"/>
  <c r="F27" i="34" s="1"/>
  <c r="F21" i="12" s="1"/>
  <c r="I95" i="37"/>
  <c r="F101" i="34" s="1"/>
  <c r="F95" i="12" s="1"/>
  <c r="I41" i="37"/>
  <c r="F47" i="34" s="1"/>
  <c r="F41" i="12" s="1"/>
  <c r="I13" i="37"/>
  <c r="F19" i="34" s="1"/>
  <c r="F13" i="12" s="1"/>
  <c r="I46" i="37"/>
  <c r="F52" i="34" s="1"/>
  <c r="F46" i="12" s="1"/>
  <c r="I260" i="37"/>
  <c r="F266" i="34" s="1"/>
  <c r="F260" i="12" s="1"/>
  <c r="I52" i="37"/>
  <c r="F58" i="34" s="1"/>
  <c r="F52" i="12" s="1"/>
  <c r="I221" i="37"/>
  <c r="F227" i="34" s="1"/>
  <c r="F221" i="12" s="1"/>
  <c r="I18" i="37"/>
  <c r="F24" i="34" s="1"/>
  <c r="F18" i="12" s="1"/>
  <c r="I296" i="37"/>
  <c r="F302" i="34" s="1"/>
  <c r="F296" i="12" s="1"/>
  <c r="I133" i="37"/>
  <c r="F139" i="34" s="1"/>
  <c r="F133" i="12" s="1"/>
  <c r="I192" i="37"/>
  <c r="F198" i="34" s="1"/>
  <c r="F192" i="12" s="1"/>
  <c r="I249" i="37"/>
  <c r="F255" i="34" s="1"/>
  <c r="F249" i="12" s="1"/>
  <c r="I219" i="37"/>
  <c r="F225" i="34" s="1"/>
  <c r="F219" i="12" s="1"/>
  <c r="I158" i="37"/>
  <c r="F164" i="34" s="1"/>
  <c r="F158" i="12" s="1"/>
  <c r="I291" i="37"/>
  <c r="F297" i="34" s="1"/>
  <c r="F291" i="12" s="1"/>
  <c r="I88" i="37"/>
  <c r="F94" i="34" s="1"/>
  <c r="F88" i="12" s="1"/>
  <c r="I160" i="37"/>
  <c r="F166" i="34" s="1"/>
  <c r="F160" i="12" s="1"/>
  <c r="I250" i="37"/>
  <c r="F256" i="34" s="1"/>
  <c r="F250" i="12" s="1"/>
  <c r="I139" i="37"/>
  <c r="F145" i="34" s="1"/>
  <c r="F139" i="12" s="1"/>
  <c r="I33" i="37"/>
  <c r="F39" i="34" s="1"/>
  <c r="F33" i="12" s="1"/>
  <c r="I11" i="37"/>
  <c r="F17" i="34" s="1"/>
  <c r="F11" i="12" s="1"/>
  <c r="I289" i="37"/>
  <c r="F295" i="34" s="1"/>
  <c r="F289" i="12" s="1"/>
  <c r="I205" i="37"/>
  <c r="F211" i="34" s="1"/>
  <c r="F205" i="12" s="1"/>
  <c r="I274" i="37"/>
  <c r="F280" i="34" s="1"/>
  <c r="F274" i="12" s="1"/>
  <c r="I210" i="37"/>
  <c r="F216" i="34" s="1"/>
  <c r="F210" i="12" s="1"/>
  <c r="I74" i="37"/>
  <c r="F80" i="34" s="1"/>
  <c r="F74" i="12" s="1"/>
  <c r="I131" i="37"/>
  <c r="F137" i="34" s="1"/>
  <c r="F131" i="12" s="1"/>
  <c r="I129" i="37"/>
  <c r="F135" i="34" s="1"/>
  <c r="F129" i="12" s="1"/>
  <c r="I168" i="37"/>
  <c r="F174" i="34" s="1"/>
  <c r="F168" i="12" s="1"/>
  <c r="I100" i="37"/>
  <c r="F106" i="34" s="1"/>
  <c r="F100" i="12" s="1"/>
  <c r="I211" i="37"/>
  <c r="F217" i="34" s="1"/>
  <c r="F211" i="12" s="1"/>
  <c r="I228" i="37"/>
  <c r="F234" i="34" s="1"/>
  <c r="F228" i="12" s="1"/>
  <c r="I23" i="37"/>
  <c r="F29" i="34" s="1"/>
  <c r="F23" i="12" s="1"/>
  <c r="I103" i="37"/>
  <c r="F109" i="34" s="1"/>
  <c r="F103" i="12" s="1"/>
  <c r="I280" i="37"/>
  <c r="F286" i="34" s="1"/>
  <c r="F280" i="12" s="1"/>
  <c r="I283" i="37"/>
  <c r="F289" i="34" s="1"/>
  <c r="F283" i="12" s="1"/>
  <c r="I240" i="37"/>
  <c r="F246" i="34" s="1"/>
  <c r="F240" i="12" s="1"/>
  <c r="I44" i="37"/>
  <c r="F50" i="34" s="1"/>
  <c r="F44" i="12" s="1"/>
  <c r="I304" i="37"/>
  <c r="F310" i="34" s="1"/>
  <c r="F304" i="12" s="1"/>
  <c r="I301" i="37"/>
  <c r="F307" i="34" s="1"/>
  <c r="F301" i="12" s="1"/>
  <c r="I157" i="37"/>
  <c r="F163" i="34" s="1"/>
  <c r="F157" i="12" s="1"/>
  <c r="I39" i="37"/>
  <c r="F45" i="34" s="1"/>
  <c r="F39" i="12" s="1"/>
  <c r="I12" i="37"/>
  <c r="F18" i="34" s="1"/>
  <c r="F12" i="12" s="1"/>
  <c r="I182" i="37"/>
  <c r="F188" i="34" s="1"/>
  <c r="F182" i="12" s="1"/>
  <c r="I284" i="37"/>
  <c r="F290" i="34" s="1"/>
  <c r="F284" i="12" s="1"/>
  <c r="I272" i="37"/>
  <c r="F278" i="34" s="1"/>
  <c r="F272" i="12" s="1"/>
  <c r="I206" i="37"/>
  <c r="F212" i="34" s="1"/>
  <c r="F206" i="12" s="1"/>
  <c r="I223" i="37"/>
  <c r="F229" i="34" s="1"/>
  <c r="F223" i="12" s="1"/>
  <c r="I303" i="37"/>
  <c r="F309" i="34" s="1"/>
  <c r="F303" i="12" s="1"/>
  <c r="I235" i="37"/>
  <c r="F241" i="34" s="1"/>
  <c r="F235" i="12" s="1"/>
  <c r="I295" i="37"/>
  <c r="F301" i="34" s="1"/>
  <c r="F295" i="12" s="1"/>
  <c r="I269" i="37"/>
  <c r="F275" i="34" s="1"/>
  <c r="F269" i="12" s="1"/>
  <c r="I14" i="37"/>
  <c r="F20" i="34" s="1"/>
  <c r="F14" i="12" s="1"/>
  <c r="I143" i="37"/>
  <c r="F149" i="34" s="1"/>
  <c r="F143" i="12" s="1"/>
  <c r="I195" i="37"/>
  <c r="F201" i="34" s="1"/>
  <c r="F195" i="12" s="1"/>
  <c r="I102" i="37"/>
  <c r="F108" i="34" s="1"/>
  <c r="F102" i="12" s="1"/>
  <c r="I142" i="37"/>
  <c r="F148" i="34" s="1"/>
  <c r="F142" i="12" s="1"/>
  <c r="I42" i="37"/>
  <c r="F48" i="34" s="1"/>
  <c r="F42" i="12" s="1"/>
  <c r="I191" i="37"/>
  <c r="F197" i="34" s="1"/>
  <c r="F191" i="12" s="1"/>
  <c r="I286" i="37"/>
  <c r="F292" i="34" s="1"/>
  <c r="F286" i="12" s="1"/>
  <c r="I75" i="37"/>
  <c r="F81" i="34" s="1"/>
  <c r="F75" i="12" s="1"/>
  <c r="I8" i="37"/>
  <c r="F14" i="34" s="1"/>
  <c r="F8" i="12" s="1"/>
  <c r="I292" i="37"/>
  <c r="F298" i="34" s="1"/>
  <c r="F292" i="12" s="1"/>
  <c r="I171" i="37"/>
  <c r="F177" i="34" s="1"/>
  <c r="F171" i="12" s="1"/>
  <c r="I254" i="37"/>
  <c r="F260" i="34" s="1"/>
  <c r="F254" i="12" s="1"/>
  <c r="I278" i="37"/>
  <c r="F284" i="34" s="1"/>
  <c r="F278" i="12" s="1"/>
  <c r="I79" i="37"/>
  <c r="F85" i="34" s="1"/>
  <c r="F79" i="12" s="1"/>
  <c r="I281" i="37"/>
  <c r="F287" i="34" s="1"/>
  <c r="F281" i="12" s="1"/>
  <c r="I186" i="37"/>
  <c r="F192" i="34" s="1"/>
  <c r="F186" i="12" s="1"/>
  <c r="I68" i="37"/>
  <c r="F74" i="34" s="1"/>
  <c r="F68" i="12" s="1"/>
  <c r="I166" i="37"/>
  <c r="F172" i="34" s="1"/>
  <c r="F166" i="12" s="1"/>
  <c r="I138" i="37"/>
  <c r="F144" i="34" s="1"/>
  <c r="F138" i="12" s="1"/>
  <c r="I76" i="37"/>
  <c r="F82" i="34" s="1"/>
  <c r="F76" i="12" s="1"/>
  <c r="I26" i="37"/>
  <c r="F32" i="34" s="1"/>
  <c r="F26" i="12" s="1"/>
  <c r="I113" i="37"/>
  <c r="F119" i="34" s="1"/>
  <c r="F113" i="12" s="1"/>
  <c r="I55" i="37"/>
  <c r="F61" i="34" s="1"/>
  <c r="F55" i="12" s="1"/>
  <c r="I153" i="37"/>
  <c r="F159" i="34" s="1"/>
  <c r="F153" i="12" s="1"/>
  <c r="I302" i="37"/>
  <c r="F308" i="34" s="1"/>
  <c r="F302" i="12" s="1"/>
  <c r="I54" i="37"/>
  <c r="F60" i="34" s="1"/>
  <c r="F54" i="12" s="1"/>
  <c r="I282" i="37"/>
  <c r="F288" i="34" s="1"/>
  <c r="F282" i="12" s="1"/>
  <c r="I58" i="37"/>
  <c r="F64" i="34" s="1"/>
  <c r="F58" i="12" s="1"/>
  <c r="I275" i="37"/>
  <c r="F281" i="34" s="1"/>
  <c r="F275" i="12" s="1"/>
  <c r="I144" i="37"/>
  <c r="F150" i="34" s="1"/>
  <c r="F144" i="12" s="1"/>
  <c r="I114" i="37"/>
  <c r="F120" i="34" s="1"/>
  <c r="F114" i="12" s="1"/>
  <c r="I146" i="37"/>
  <c r="F152" i="34" s="1"/>
  <c r="F146" i="12" s="1"/>
  <c r="I226" i="37"/>
  <c r="F232" i="34" s="1"/>
  <c r="F226" i="12" s="1"/>
  <c r="I179" i="37"/>
  <c r="F185" i="34" s="1"/>
  <c r="F179" i="12" s="1"/>
  <c r="I86" i="37"/>
  <c r="F92" i="34" s="1"/>
  <c r="F86" i="12" s="1"/>
  <c r="I287" i="37"/>
  <c r="F293" i="34" s="1"/>
  <c r="F287" i="12" s="1"/>
  <c r="I273" i="37"/>
  <c r="F279" i="34" s="1"/>
  <c r="F273" i="12" s="1"/>
  <c r="I170" i="37"/>
  <c r="F176" i="34" s="1"/>
  <c r="F170" i="12" s="1"/>
  <c r="I64" i="37"/>
  <c r="F70" i="34" s="1"/>
  <c r="F64" i="12" s="1"/>
  <c r="I271" i="37"/>
  <c r="F277" i="34" s="1"/>
  <c r="F271" i="12" s="1"/>
  <c r="I233" i="37"/>
  <c r="F239" i="34" s="1"/>
  <c r="F233" i="12" s="1"/>
  <c r="I130" i="37"/>
  <c r="F136" i="34" s="1"/>
  <c r="F130" i="12" s="1"/>
  <c r="I69" i="37"/>
  <c r="F75" i="34" s="1"/>
  <c r="F69" i="12" s="1"/>
  <c r="I63" i="37"/>
  <c r="F69" i="34" s="1"/>
  <c r="F63" i="12" s="1"/>
  <c r="I268" i="37"/>
  <c r="F274" i="34" s="1"/>
  <c r="F268" i="12" s="1"/>
  <c r="I236" i="37"/>
  <c r="F242" i="34" s="1"/>
  <c r="F236" i="12" s="1"/>
  <c r="I247" i="37"/>
  <c r="F253" i="34" s="1"/>
  <c r="F247" i="12" s="1"/>
  <c r="I115" i="37"/>
  <c r="F121" i="34" s="1"/>
  <c r="F115" i="12" s="1"/>
  <c r="I264" i="37"/>
  <c r="F270" i="34" s="1"/>
  <c r="F264" i="12" s="1"/>
  <c r="I66" i="37"/>
  <c r="F72" i="34" s="1"/>
  <c r="F66" i="12" s="1"/>
  <c r="I65" i="37"/>
  <c r="F71" i="34" s="1"/>
  <c r="F65" i="12" s="1"/>
  <c r="I61" i="37"/>
  <c r="F67" i="34" s="1"/>
  <c r="F61" i="12" s="1"/>
  <c r="I257" i="37"/>
  <c r="F263" i="34" s="1"/>
  <c r="F257" i="12" s="1"/>
  <c r="I118" i="37"/>
  <c r="F124" i="34" s="1"/>
  <c r="F118" i="12" s="1"/>
  <c r="I101" i="37"/>
  <c r="F107" i="34" s="1"/>
  <c r="F101" i="12" s="1"/>
  <c r="I7" i="37"/>
  <c r="F13" i="34" s="1"/>
  <c r="F7" i="12" s="1"/>
  <c r="I83" i="37"/>
  <c r="F89" i="34" s="1"/>
  <c r="F83" i="12" s="1"/>
  <c r="I19" i="37"/>
  <c r="F25" i="34" s="1"/>
  <c r="F19" i="12" s="1"/>
  <c r="I128" i="37"/>
  <c r="F134" i="34" s="1"/>
  <c r="F128" i="12" s="1"/>
  <c r="I234" i="37"/>
  <c r="F240" i="34" s="1"/>
  <c r="F234" i="12" s="1"/>
  <c r="I259" i="37"/>
  <c r="F265" i="34" s="1"/>
  <c r="F259" i="12" s="1"/>
  <c r="I94" i="37"/>
  <c r="F100" i="34" s="1"/>
  <c r="F94" i="12" s="1"/>
  <c r="I48" i="37"/>
  <c r="F54" i="34" s="1"/>
  <c r="F48" i="12" s="1"/>
  <c r="I126" i="37"/>
  <c r="F132" i="34" s="1"/>
  <c r="F126" i="12" s="1"/>
  <c r="I198" i="37"/>
  <c r="F204" i="34" s="1"/>
  <c r="F198" i="12" s="1"/>
  <c r="I217" i="37"/>
  <c r="F223" i="34" s="1"/>
  <c r="F217" i="12" s="1"/>
  <c r="I239" i="37"/>
  <c r="F245" i="34" s="1"/>
  <c r="F239" i="12" s="1"/>
  <c r="I251" i="37"/>
  <c r="F257" i="34" s="1"/>
  <c r="F251" i="12" s="1"/>
  <c r="I24" i="37"/>
  <c r="F30" i="34" s="1"/>
  <c r="F24" i="12" s="1"/>
  <c r="I43" i="37"/>
  <c r="F49" i="34" s="1"/>
  <c r="F43" i="12" s="1"/>
  <c r="I232" i="37"/>
  <c r="F238" i="34" s="1"/>
  <c r="F232" i="12" s="1"/>
  <c r="I117" i="37"/>
  <c r="F123" i="34" s="1"/>
  <c r="F117" i="12" s="1"/>
  <c r="I47" i="37"/>
  <c r="F53" i="34" s="1"/>
  <c r="F47" i="12" s="1"/>
  <c r="I244" i="37"/>
  <c r="F250" i="34" s="1"/>
  <c r="F244" i="12" s="1"/>
  <c r="I224" i="37"/>
  <c r="F230" i="34" s="1"/>
  <c r="F224" i="12" s="1"/>
  <c r="I73" i="37"/>
  <c r="F79" i="34" s="1"/>
  <c r="F73" i="12" s="1"/>
  <c r="I208" i="37"/>
  <c r="F214" i="34" s="1"/>
  <c r="F208" i="12" s="1"/>
  <c r="I51" i="37"/>
  <c r="F57" i="34" s="1"/>
  <c r="F51" i="12" s="1"/>
  <c r="I298" i="37"/>
  <c r="F304" i="34" s="1"/>
  <c r="F298" i="12" s="1"/>
  <c r="I297" i="37"/>
  <c r="F303" i="34" s="1"/>
  <c r="F297" i="12" s="1"/>
  <c r="I104" i="37"/>
  <c r="F110" i="34" s="1"/>
  <c r="F104" i="12" s="1"/>
  <c r="I277" i="37"/>
  <c r="F283" i="34" s="1"/>
  <c r="F277" i="12" s="1"/>
  <c r="I242" i="37"/>
  <c r="F248" i="34" s="1"/>
  <c r="F242" i="12" s="1"/>
  <c r="I209" i="37"/>
  <c r="F215" i="34" s="1"/>
  <c r="F209" i="12" s="1"/>
  <c r="I122" i="37"/>
  <c r="F128" i="34" s="1"/>
  <c r="F122" i="12" s="1"/>
  <c r="I38" i="37"/>
  <c r="F44" i="34" s="1"/>
  <c r="F38" i="12" s="1"/>
  <c r="I78" i="37"/>
  <c r="F84" i="34" s="1"/>
  <c r="F78" i="12" s="1"/>
  <c r="I134" i="37"/>
  <c r="F140" i="34" s="1"/>
  <c r="F134" i="12" s="1"/>
  <c r="I34" i="37"/>
  <c r="F40" i="34" s="1"/>
  <c r="F34" i="12" s="1"/>
  <c r="I187" i="37"/>
  <c r="F193" i="34" s="1"/>
  <c r="F187" i="12" s="1"/>
  <c r="I62" i="37"/>
  <c r="F68" i="34" s="1"/>
  <c r="F62" i="12" s="1"/>
  <c r="I16" i="37"/>
  <c r="F22" i="34" s="1"/>
  <c r="F16" i="12" s="1"/>
  <c r="I60" i="37"/>
  <c r="F66" i="34" s="1"/>
  <c r="F60" i="12" s="1"/>
  <c r="I127" i="37"/>
  <c r="F133" i="34" s="1"/>
  <c r="F127" i="12" s="1"/>
  <c r="I9" i="37"/>
  <c r="F15" i="34" s="1"/>
  <c r="F9" i="12" s="1"/>
  <c r="I155" i="37"/>
  <c r="F161" i="34" s="1"/>
  <c r="F155" i="12" s="1"/>
  <c r="I243" i="37"/>
  <c r="F249" i="34" s="1"/>
  <c r="F243" i="12" s="1"/>
  <c r="I290" i="37"/>
  <c r="F296" i="34" s="1"/>
  <c r="F290" i="12" s="1"/>
  <c r="I285" i="37"/>
  <c r="F291" i="34" s="1"/>
  <c r="F285" i="12" s="1"/>
  <c r="I267" i="37"/>
  <c r="F273" i="34" s="1"/>
  <c r="F267" i="12" s="1"/>
  <c r="I258" i="37"/>
  <c r="F264" i="34" s="1"/>
  <c r="F258" i="12" s="1"/>
  <c r="I90" i="37"/>
  <c r="F96" i="34" s="1"/>
  <c r="F90" i="12" s="1"/>
  <c r="I207" i="37"/>
  <c r="F213" i="34" s="1"/>
  <c r="F207" i="12" s="1"/>
  <c r="I98" i="37"/>
  <c r="F104" i="34" s="1"/>
  <c r="F98" i="12" s="1"/>
  <c r="I293" i="37"/>
  <c r="F299" i="34" s="1"/>
  <c r="F293" i="12" s="1"/>
  <c r="I178" i="37"/>
  <c r="F184" i="34" s="1"/>
  <c r="F178" i="12" s="1"/>
  <c r="I56" i="37"/>
  <c r="F62" i="34" s="1"/>
  <c r="F56" i="12" s="1"/>
  <c r="I124" i="37"/>
  <c r="F130" i="34" s="1"/>
  <c r="F124" i="12" s="1"/>
  <c r="I154" i="37"/>
  <c r="F160" i="34" s="1"/>
  <c r="F154" i="12" s="1"/>
  <c r="I261" i="37"/>
  <c r="F267" i="34" s="1"/>
  <c r="F261" i="12" s="1"/>
  <c r="I202" i="37"/>
  <c r="F208" i="34" s="1"/>
  <c r="F202" i="12" s="1"/>
  <c r="I148" i="37"/>
  <c r="F154" i="34" s="1"/>
  <c r="F148" i="12" s="1"/>
  <c r="I110" i="37"/>
  <c r="F116" i="34" s="1"/>
  <c r="F110" i="12" s="1"/>
  <c r="I201" i="37"/>
  <c r="F207" i="34" s="1"/>
  <c r="F201" i="12" s="1"/>
  <c r="I50" i="37"/>
  <c r="F56" i="34" s="1"/>
  <c r="F50" i="12" s="1"/>
  <c r="I30" i="37"/>
  <c r="F36" i="34" s="1"/>
  <c r="F30" i="12" s="1"/>
  <c r="I120" i="37"/>
  <c r="F126" i="34" s="1"/>
  <c r="F120" i="12" s="1"/>
  <c r="I150" i="37"/>
  <c r="F156" i="34" s="1"/>
  <c r="F150" i="12" s="1"/>
  <c r="I231" i="37"/>
  <c r="F237" i="34" s="1"/>
  <c r="F231" i="12" s="1"/>
  <c r="I183" i="37"/>
  <c r="F189" i="34" s="1"/>
  <c r="F183" i="12" s="1"/>
  <c r="I80" i="37"/>
  <c r="F86" i="34" s="1"/>
  <c r="F80" i="12" s="1"/>
  <c r="I263" i="37"/>
  <c r="F269" i="34" s="1"/>
  <c r="F263" i="12" s="1"/>
  <c r="I96" i="37"/>
  <c r="F102" i="34" s="1"/>
  <c r="F96" i="12" s="1"/>
  <c r="I82" i="37"/>
  <c r="F88" i="34" s="1"/>
  <c r="F82" i="12" s="1"/>
  <c r="I40" i="37"/>
  <c r="F46" i="34" s="1"/>
  <c r="F40" i="12" s="1"/>
  <c r="H76" i="25"/>
  <c r="J77" i="54" s="1"/>
  <c r="K77" i="54" s="1"/>
  <c r="H6" i="25"/>
  <c r="J7" i="54" s="1"/>
  <c r="K7" i="54" s="1"/>
  <c r="H152" i="25"/>
  <c r="J153" i="54" s="1"/>
  <c r="K153" i="54" s="1"/>
  <c r="H302" i="25"/>
  <c r="J303" i="54" s="1"/>
  <c r="K303" i="54" s="1"/>
  <c r="H173" i="25"/>
  <c r="J174" i="54" s="1"/>
  <c r="K174" i="54" s="1"/>
  <c r="H194" i="25"/>
  <c r="J195" i="54" s="1"/>
  <c r="K195" i="54" s="1"/>
  <c r="H66" i="25"/>
  <c r="J67" i="54" s="1"/>
  <c r="K67" i="54" s="1"/>
  <c r="H73" i="25"/>
  <c r="J74" i="54" s="1"/>
  <c r="K74" i="54" s="1"/>
  <c r="H80" i="25"/>
  <c r="J81" i="54" s="1"/>
  <c r="K81" i="54" s="1"/>
  <c r="H16" i="25"/>
  <c r="J17" i="54" s="1"/>
  <c r="K17" i="54" s="1"/>
  <c r="L168" i="33"/>
  <c r="M168" i="33" s="1"/>
  <c r="G174" i="9" s="1"/>
  <c r="L100" i="33"/>
  <c r="M100" i="33" s="1"/>
  <c r="G106" i="9" s="1"/>
  <c r="L172" i="33"/>
  <c r="M172" i="33" s="1"/>
  <c r="L164" i="33"/>
  <c r="M164" i="33" s="1"/>
  <c r="G170" i="9" s="1"/>
  <c r="L290" i="33"/>
  <c r="M290" i="33" s="1"/>
  <c r="L73" i="33"/>
  <c r="M73" i="33" s="1"/>
  <c r="G79" i="9" s="1"/>
  <c r="L59" i="33"/>
  <c r="M59" i="33" s="1"/>
  <c r="G65" i="9" s="1"/>
  <c r="L114" i="33"/>
  <c r="M114" i="33" s="1"/>
  <c r="L10" i="33"/>
  <c r="M10" i="33" s="1"/>
  <c r="G16" i="9" s="1"/>
  <c r="L145" i="33"/>
  <c r="M145" i="33" s="1"/>
  <c r="G151" i="9" s="1"/>
  <c r="L48" i="33"/>
  <c r="M48" i="33" s="1"/>
  <c r="G54" i="9" s="1"/>
  <c r="L102" i="33"/>
  <c r="M102" i="33" s="1"/>
  <c r="G108" i="9" s="1"/>
  <c r="L62" i="33"/>
  <c r="M62" i="33" s="1"/>
  <c r="G68" i="9" s="1"/>
  <c r="L39" i="33"/>
  <c r="M39" i="33" s="1"/>
  <c r="G45" i="9" s="1"/>
  <c r="L78" i="33"/>
  <c r="M78" i="33" s="1"/>
  <c r="G84" i="9" s="1"/>
  <c r="L85" i="33"/>
  <c r="M85" i="33" s="1"/>
  <c r="L95" i="33"/>
  <c r="M95" i="33" s="1"/>
  <c r="G101" i="9" s="1"/>
  <c r="L281" i="33"/>
  <c r="M281" i="33" s="1"/>
  <c r="G287" i="9" s="1"/>
  <c r="L157" i="33"/>
  <c r="M157" i="33" s="1"/>
  <c r="G163" i="9" s="1"/>
  <c r="L200" i="33"/>
  <c r="M200" i="33" s="1"/>
  <c r="G206" i="9" s="1"/>
  <c r="L17" i="33"/>
  <c r="M17" i="33" s="1"/>
  <c r="G23" i="9" s="1"/>
  <c r="L8" i="33"/>
  <c r="M8" i="33" s="1"/>
  <c r="G14" i="9" s="1"/>
  <c r="L252" i="33"/>
  <c r="M252" i="33" s="1"/>
  <c r="G258" i="9" s="1"/>
  <c r="L212" i="33"/>
  <c r="M212" i="33" s="1"/>
  <c r="L243" i="33"/>
  <c r="M243" i="33" s="1"/>
  <c r="L254" i="33"/>
  <c r="M254" i="33" s="1"/>
  <c r="G260" i="9" s="1"/>
  <c r="L236" i="33"/>
  <c r="M236" i="33" s="1"/>
  <c r="G242" i="9" s="1"/>
  <c r="L275" i="33"/>
  <c r="M275" i="33" s="1"/>
  <c r="G281" i="9" s="1"/>
  <c r="L216" i="33"/>
  <c r="M216" i="33" s="1"/>
  <c r="G222" i="9" s="1"/>
  <c r="L239" i="33"/>
  <c r="M239" i="33" s="1"/>
  <c r="G245" i="9" s="1"/>
  <c r="L147" i="33"/>
  <c r="M147" i="33" s="1"/>
  <c r="G153" i="9" s="1"/>
  <c r="L96" i="33"/>
  <c r="M96" i="33" s="1"/>
  <c r="G102" i="9" s="1"/>
  <c r="L93" i="33"/>
  <c r="M93" i="33" s="1"/>
  <c r="G99" i="9" s="1"/>
  <c r="L44" i="33"/>
  <c r="M44" i="33" s="1"/>
  <c r="G50" i="9" s="1"/>
  <c r="H224" i="25"/>
  <c r="J225" i="54" s="1"/>
  <c r="K225" i="54" s="1"/>
  <c r="H239" i="25"/>
  <c r="J240" i="54" s="1"/>
  <c r="K240" i="54" s="1"/>
  <c r="H214" i="25"/>
  <c r="J215" i="54" s="1"/>
  <c r="K215" i="54" s="1"/>
  <c r="H228" i="25"/>
  <c r="J229" i="54" s="1"/>
  <c r="K229" i="54" s="1"/>
  <c r="H178" i="25"/>
  <c r="J179" i="54" s="1"/>
  <c r="K179" i="54" s="1"/>
  <c r="H60" i="25"/>
  <c r="J61" i="54" s="1"/>
  <c r="K61" i="54" s="1"/>
  <c r="H78" i="25"/>
  <c r="J79" i="54" s="1"/>
  <c r="K79" i="54" s="1"/>
  <c r="H114" i="25"/>
  <c r="J115" i="54" s="1"/>
  <c r="K115" i="54" s="1"/>
  <c r="H57" i="25"/>
  <c r="J58" i="54" s="1"/>
  <c r="K58" i="54" s="1"/>
  <c r="H176" i="25"/>
  <c r="J177" i="54" s="1"/>
  <c r="K177" i="54" s="1"/>
  <c r="H273" i="25"/>
  <c r="J274" i="54" s="1"/>
  <c r="K274" i="54" s="1"/>
  <c r="H184" i="25"/>
  <c r="J185" i="54" s="1"/>
  <c r="K185" i="54" s="1"/>
  <c r="H288" i="25"/>
  <c r="J289" i="54" s="1"/>
  <c r="K289" i="54" s="1"/>
  <c r="H232" i="25"/>
  <c r="J233" i="54" s="1"/>
  <c r="K233" i="54" s="1"/>
  <c r="H247" i="25"/>
  <c r="J248" i="54" s="1"/>
  <c r="K248" i="54" s="1"/>
  <c r="H270" i="25"/>
  <c r="J271" i="54" s="1"/>
  <c r="K271" i="54" s="1"/>
  <c r="H198" i="25"/>
  <c r="J199" i="54" s="1"/>
  <c r="K199" i="54" s="1"/>
  <c r="H223" i="25"/>
  <c r="J224" i="54" s="1"/>
  <c r="K224" i="54" s="1"/>
  <c r="H159" i="25"/>
  <c r="J160" i="54" s="1"/>
  <c r="K160" i="54" s="1"/>
  <c r="H205" i="25"/>
  <c r="J206" i="54" s="1"/>
  <c r="K206" i="54" s="1"/>
  <c r="H124" i="25"/>
  <c r="J125" i="54" s="1"/>
  <c r="K125" i="54" s="1"/>
  <c r="H212" i="25"/>
  <c r="J213" i="54" s="1"/>
  <c r="K213" i="54" s="1"/>
  <c r="H148" i="25"/>
  <c r="J149" i="54" s="1"/>
  <c r="K149" i="54" s="1"/>
  <c r="H226" i="25"/>
  <c r="J227" i="54" s="1"/>
  <c r="K227" i="54" s="1"/>
  <c r="H162" i="25"/>
  <c r="J163" i="54" s="1"/>
  <c r="K163" i="54" s="1"/>
  <c r="H241" i="25"/>
  <c r="J242" i="54" s="1"/>
  <c r="K242" i="54" s="1"/>
  <c r="H177" i="25"/>
  <c r="J178" i="54" s="1"/>
  <c r="K178" i="54" s="1"/>
  <c r="H85" i="25"/>
  <c r="J86" i="54" s="1"/>
  <c r="K86" i="54" s="1"/>
  <c r="H91" i="25"/>
  <c r="J92" i="54" s="1"/>
  <c r="K92" i="54" s="1"/>
  <c r="H27" i="25"/>
  <c r="J28" i="54" s="1"/>
  <c r="K28" i="54" s="1"/>
  <c r="H98" i="25"/>
  <c r="J99" i="54" s="1"/>
  <c r="K99" i="54" s="1"/>
  <c r="H34" i="25"/>
  <c r="J35" i="54" s="1"/>
  <c r="K35" i="54" s="1"/>
  <c r="H112" i="25"/>
  <c r="J113" i="54" s="1"/>
  <c r="K113" i="54" s="1"/>
  <c r="H48" i="25"/>
  <c r="J49" i="54" s="1"/>
  <c r="K49" i="54" s="1"/>
  <c r="H127" i="25"/>
  <c r="J128" i="54" s="1"/>
  <c r="K128" i="54" s="1"/>
  <c r="H63" i="25"/>
  <c r="J64" i="54" s="1"/>
  <c r="K64" i="54" s="1"/>
  <c r="L282" i="33"/>
  <c r="M282" i="33" s="1"/>
  <c r="G288" i="9" s="1"/>
  <c r="L80" i="33"/>
  <c r="M80" i="33" s="1"/>
  <c r="L262" i="33"/>
  <c r="M262" i="33" s="1"/>
  <c r="G268" i="9" s="1"/>
  <c r="L248" i="33"/>
  <c r="M248" i="33" s="1"/>
  <c r="G254" i="9" s="1"/>
  <c r="L27" i="33"/>
  <c r="M27" i="33" s="1"/>
  <c r="G33" i="9" s="1"/>
  <c r="L106" i="33"/>
  <c r="M106" i="33" s="1"/>
  <c r="G112" i="9" s="1"/>
  <c r="L203" i="33"/>
  <c r="M203" i="33" s="1"/>
  <c r="G209" i="9" s="1"/>
  <c r="L24" i="33"/>
  <c r="M24" i="33" s="1"/>
  <c r="G30" i="9" s="1"/>
  <c r="L144" i="33"/>
  <c r="M144" i="33" s="1"/>
  <c r="G150" i="9" s="1"/>
  <c r="L137" i="33"/>
  <c r="M137" i="33" s="1"/>
  <c r="L42" i="33"/>
  <c r="M42" i="33" s="1"/>
  <c r="G48" i="9" s="1"/>
  <c r="L279" i="33"/>
  <c r="M279" i="33" s="1"/>
  <c r="G285" i="9" s="1"/>
  <c r="L74" i="33"/>
  <c r="M74" i="33" s="1"/>
  <c r="G80" i="9" s="1"/>
  <c r="L173" i="33"/>
  <c r="M173" i="33" s="1"/>
  <c r="G179" i="9" s="1"/>
  <c r="L19" i="33"/>
  <c r="M19" i="33" s="1"/>
  <c r="G25" i="9" s="1"/>
  <c r="L77" i="33"/>
  <c r="M77" i="33" s="1"/>
  <c r="G83" i="9" s="1"/>
  <c r="L163" i="33"/>
  <c r="M163" i="33" s="1"/>
  <c r="G169" i="9" s="1"/>
  <c r="L283" i="33"/>
  <c r="M283" i="33" s="1"/>
  <c r="L140" i="33"/>
  <c r="M140" i="33" s="1"/>
  <c r="G146" i="9" s="1"/>
  <c r="L249" i="33"/>
  <c r="M249" i="33" s="1"/>
  <c r="G255" i="9" s="1"/>
  <c r="L56" i="33"/>
  <c r="M56" i="33" s="1"/>
  <c r="G62" i="9" s="1"/>
  <c r="L186" i="33"/>
  <c r="M186" i="33" s="1"/>
  <c r="G192" i="9" s="1"/>
  <c r="L202" i="33"/>
  <c r="M202" i="33" s="1"/>
  <c r="L55" i="33"/>
  <c r="M55" i="33" s="1"/>
  <c r="G61" i="9" s="1"/>
  <c r="L83" i="33"/>
  <c r="M83" i="33" s="1"/>
  <c r="G89" i="9" s="1"/>
  <c r="L235" i="33"/>
  <c r="M235" i="33" s="1"/>
  <c r="G241" i="9" s="1"/>
  <c r="L178" i="33"/>
  <c r="M178" i="33" s="1"/>
  <c r="G184" i="9" s="1"/>
  <c r="L183" i="33"/>
  <c r="M183" i="33" s="1"/>
  <c r="G189" i="9" s="1"/>
  <c r="L181" i="33"/>
  <c r="M181" i="33" s="1"/>
  <c r="G187" i="9" s="1"/>
  <c r="L247" i="33"/>
  <c r="M247" i="33" s="1"/>
  <c r="G253" i="9" s="1"/>
  <c r="L292" i="33"/>
  <c r="M292" i="33" s="1"/>
  <c r="L218" i="33"/>
  <c r="M218" i="33" s="1"/>
  <c r="G224" i="9" s="1"/>
  <c r="L264" i="33"/>
  <c r="M264" i="33" s="1"/>
  <c r="G270" i="9" s="1"/>
  <c r="L266" i="33"/>
  <c r="M266" i="33" s="1"/>
  <c r="L226" i="33"/>
  <c r="M226" i="33" s="1"/>
  <c r="G232" i="9" s="1"/>
  <c r="L60" i="33"/>
  <c r="M60" i="33" s="1"/>
  <c r="G66" i="9" s="1"/>
  <c r="L101" i="33"/>
  <c r="M101" i="33" s="1"/>
  <c r="G107" i="9" s="1"/>
  <c r="L76" i="33"/>
  <c r="M76" i="33" s="1"/>
  <c r="G82" i="9" s="1"/>
  <c r="L20" i="33"/>
  <c r="M20" i="33" s="1"/>
  <c r="G26" i="9" s="1"/>
  <c r="L98" i="33"/>
  <c r="M98" i="33" s="1"/>
  <c r="G104" i="9" s="1"/>
  <c r="L119" i="33"/>
  <c r="M119" i="33" s="1"/>
  <c r="G125" i="9" s="1"/>
  <c r="L107" i="33"/>
  <c r="M107" i="33" s="1"/>
  <c r="G113" i="9" s="1"/>
  <c r="L116" i="33"/>
  <c r="M116" i="33" s="1"/>
  <c r="G122" i="9" s="1"/>
  <c r="L111" i="33"/>
  <c r="M111" i="33" s="1"/>
  <c r="G117" i="9" s="1"/>
  <c r="L30" i="33"/>
  <c r="M30" i="33" s="1"/>
  <c r="G36" i="9" s="1"/>
  <c r="L25" i="33"/>
  <c r="M25" i="33" s="1"/>
  <c r="G31" i="9" s="1"/>
  <c r="L196" i="33"/>
  <c r="M196" i="33" s="1"/>
  <c r="L69" i="33"/>
  <c r="M69" i="33" s="1"/>
  <c r="G75" i="9" s="1"/>
  <c r="L155" i="33"/>
  <c r="M155" i="33" s="1"/>
  <c r="G161" i="9" s="1"/>
  <c r="L174" i="33"/>
  <c r="M174" i="33" s="1"/>
  <c r="G180" i="9" s="1"/>
  <c r="L18" i="33"/>
  <c r="M18" i="33" s="1"/>
  <c r="G24" i="9" s="1"/>
  <c r="L32" i="33"/>
  <c r="M32" i="33" s="1"/>
  <c r="G38" i="9" s="1"/>
  <c r="L138" i="33"/>
  <c r="M138" i="33" s="1"/>
  <c r="G144" i="9" s="1"/>
  <c r="L185" i="33"/>
  <c r="M185" i="33" s="1"/>
  <c r="G191" i="9" s="1"/>
  <c r="L47" i="33"/>
  <c r="M47" i="33" s="1"/>
  <c r="L23" i="33"/>
  <c r="M23" i="33" s="1"/>
  <c r="G29" i="9" s="1"/>
  <c r="L90" i="33"/>
  <c r="M90" i="33" s="1"/>
  <c r="G96" i="9" s="1"/>
  <c r="L303" i="33"/>
  <c r="M303" i="33" s="1"/>
  <c r="L289" i="33"/>
  <c r="M289" i="33" s="1"/>
  <c r="G295" i="9" s="1"/>
  <c r="L165" i="33"/>
  <c r="M165" i="33" s="1"/>
  <c r="G171" i="9" s="1"/>
  <c r="L89" i="33"/>
  <c r="M89" i="33" s="1"/>
  <c r="G95" i="9" s="1"/>
  <c r="L175" i="33"/>
  <c r="M175" i="33" s="1"/>
  <c r="G181" i="9" s="1"/>
  <c r="L305" i="33"/>
  <c r="M305" i="33" s="1"/>
  <c r="G311" i="9" s="1"/>
  <c r="L118" i="33"/>
  <c r="M118" i="33" s="1"/>
  <c r="G124" i="9" s="1"/>
  <c r="L167" i="33"/>
  <c r="M167" i="33" s="1"/>
  <c r="G173" i="9" s="1"/>
  <c r="L215" i="33"/>
  <c r="M215" i="33" s="1"/>
  <c r="G221" i="9" s="1"/>
  <c r="L274" i="33"/>
  <c r="M274" i="33" s="1"/>
  <c r="G280" i="9" s="1"/>
  <c r="L221" i="33"/>
  <c r="M221" i="33" s="1"/>
  <c r="G227" i="9" s="1"/>
  <c r="L191" i="33"/>
  <c r="M191" i="33" s="1"/>
  <c r="G197" i="9" s="1"/>
  <c r="L192" i="33"/>
  <c r="M192" i="33" s="1"/>
  <c r="G198" i="9" s="1"/>
  <c r="L270" i="33"/>
  <c r="M270" i="33" s="1"/>
  <c r="G276" i="9" s="1"/>
  <c r="L171" i="33"/>
  <c r="M171" i="33" s="1"/>
  <c r="G177" i="9" s="1"/>
  <c r="L277" i="33"/>
  <c r="M277" i="33" s="1"/>
  <c r="G283" i="9" s="1"/>
  <c r="L231" i="33"/>
  <c r="M231" i="33" s="1"/>
  <c r="G237" i="9" s="1"/>
  <c r="L269" i="33"/>
  <c r="M269" i="33" s="1"/>
  <c r="G275" i="9" s="1"/>
  <c r="L198" i="33"/>
  <c r="M198" i="33" s="1"/>
  <c r="G204" i="9" s="1"/>
  <c r="L131" i="33"/>
  <c r="M131" i="33" s="1"/>
  <c r="G137" i="9" s="1"/>
  <c r="L112" i="33"/>
  <c r="M112" i="33" s="1"/>
  <c r="G118" i="9" s="1"/>
  <c r="L31" i="33"/>
  <c r="M31" i="33" s="1"/>
  <c r="G37" i="9" s="1"/>
  <c r="L302" i="33"/>
  <c r="M302" i="33" s="1"/>
  <c r="G308" i="9" s="1"/>
  <c r="L79" i="33"/>
  <c r="M79" i="33" s="1"/>
  <c r="G85" i="9" s="1"/>
  <c r="L99" i="33"/>
  <c r="M99" i="33" s="1"/>
  <c r="G105" i="9" s="1"/>
  <c r="L158" i="33"/>
  <c r="M158" i="33" s="1"/>
  <c r="G164" i="9" s="1"/>
  <c r="L22" i="33"/>
  <c r="M22" i="33" s="1"/>
  <c r="G28" i="9" s="1"/>
  <c r="L276" i="33"/>
  <c r="M276" i="33" s="1"/>
  <c r="G282" i="9" s="1"/>
  <c r="L68" i="33"/>
  <c r="M68" i="33" s="1"/>
  <c r="G74" i="9" s="1"/>
  <c r="L213" i="33"/>
  <c r="M213" i="33" s="1"/>
  <c r="L293" i="33"/>
  <c r="M293" i="33" s="1"/>
  <c r="G299" i="9" s="1"/>
  <c r="L110" i="33"/>
  <c r="M110" i="33" s="1"/>
  <c r="G116" i="9" s="1"/>
  <c r="L82" i="33"/>
  <c r="M82" i="33" s="1"/>
  <c r="G88" i="9" s="1"/>
  <c r="L190" i="33"/>
  <c r="M190" i="33" s="1"/>
  <c r="G196" i="9" s="1"/>
  <c r="L255" i="33"/>
  <c r="M255" i="33" s="1"/>
  <c r="G261" i="9" s="1"/>
  <c r="L88" i="33"/>
  <c r="M88" i="33" s="1"/>
  <c r="G94" i="9" s="1"/>
  <c r="L38" i="33"/>
  <c r="M38" i="33" s="1"/>
  <c r="L187" i="33"/>
  <c r="M187" i="33" s="1"/>
  <c r="G193" i="9" s="1"/>
  <c r="L251" i="33"/>
  <c r="M251" i="33" s="1"/>
  <c r="G257" i="9" s="1"/>
  <c r="L217" i="33"/>
  <c r="M217" i="33" s="1"/>
  <c r="G223" i="9" s="1"/>
  <c r="L204" i="33"/>
  <c r="M204" i="33" s="1"/>
  <c r="G210" i="9" s="1"/>
  <c r="L108" i="33"/>
  <c r="M108" i="33" s="1"/>
  <c r="G114" i="9" s="1"/>
  <c r="L13" i="33"/>
  <c r="M13" i="33" s="1"/>
  <c r="G19" i="9" s="1"/>
  <c r="L244" i="33"/>
  <c r="M244" i="33" s="1"/>
  <c r="G250" i="9" s="1"/>
  <c r="L94" i="33"/>
  <c r="M94" i="33" s="1"/>
  <c r="G100" i="9" s="1"/>
  <c r="L199" i="33"/>
  <c r="M199" i="33" s="1"/>
  <c r="G205" i="9" s="1"/>
  <c r="L296" i="33"/>
  <c r="M296" i="33" s="1"/>
  <c r="G302" i="9" s="1"/>
  <c r="L205" i="33"/>
  <c r="M205" i="33" s="1"/>
  <c r="G211" i="9" s="1"/>
  <c r="L123" i="33"/>
  <c r="M123" i="33" s="1"/>
  <c r="G129" i="9" s="1"/>
  <c r="L261" i="33"/>
  <c r="M261" i="33" s="1"/>
  <c r="G267" i="9" s="1"/>
  <c r="L179" i="33"/>
  <c r="M179" i="33" s="1"/>
  <c r="G185" i="9" s="1"/>
  <c r="L207" i="33"/>
  <c r="M207" i="33" s="1"/>
  <c r="G213" i="9" s="1"/>
  <c r="L219" i="33"/>
  <c r="M219" i="33" s="1"/>
  <c r="G225" i="9" s="1"/>
  <c r="L258" i="33"/>
  <c r="M258" i="33" s="1"/>
  <c r="G264" i="9" s="1"/>
  <c r="L208" i="33"/>
  <c r="M208" i="33" s="1"/>
  <c r="G214" i="9" s="1"/>
  <c r="L201" i="33"/>
  <c r="M201" i="33" s="1"/>
  <c r="G207" i="9" s="1"/>
  <c r="L193" i="33"/>
  <c r="M193" i="33" s="1"/>
  <c r="G199" i="9" s="1"/>
  <c r="L128" i="33"/>
  <c r="M128" i="33" s="1"/>
  <c r="G134" i="9" s="1"/>
  <c r="L141" i="33"/>
  <c r="M141" i="33" s="1"/>
  <c r="G147" i="9" s="1"/>
  <c r="L148" i="33"/>
  <c r="M148" i="33" s="1"/>
  <c r="G154" i="9" s="1"/>
  <c r="L278" i="33"/>
  <c r="M278" i="33" s="1"/>
  <c r="G284" i="9" s="1"/>
  <c r="L64" i="33"/>
  <c r="M64" i="33" s="1"/>
  <c r="G70" i="9" s="1"/>
  <c r="L156" i="33"/>
  <c r="M156" i="33" s="1"/>
  <c r="G162" i="9" s="1"/>
  <c r="L71" i="33"/>
  <c r="M71" i="33" s="1"/>
  <c r="G77" i="9" s="1"/>
  <c r="L53" i="33"/>
  <c r="M53" i="33" s="1"/>
  <c r="G59" i="9" s="1"/>
  <c r="L16" i="33"/>
  <c r="M16" i="33" s="1"/>
  <c r="G22" i="9" s="1"/>
  <c r="L265" i="33"/>
  <c r="M265" i="33" s="1"/>
  <c r="G271" i="9" s="1"/>
  <c r="L176" i="33"/>
  <c r="M176" i="33" s="1"/>
  <c r="G182" i="9" s="1"/>
  <c r="L150" i="33"/>
  <c r="M150" i="33" s="1"/>
  <c r="G156" i="9" s="1"/>
  <c r="L126" i="33"/>
  <c r="M126" i="33" s="1"/>
  <c r="G132" i="9" s="1"/>
  <c r="L170" i="33"/>
  <c r="M170" i="33" s="1"/>
  <c r="G176" i="9" s="1"/>
  <c r="L52" i="33"/>
  <c r="M52" i="33" s="1"/>
  <c r="G58" i="9" s="1"/>
  <c r="L87" i="33"/>
  <c r="M87" i="33" s="1"/>
  <c r="G93" i="9" s="1"/>
  <c r="L136" i="33"/>
  <c r="M136" i="33" s="1"/>
  <c r="G142" i="9" s="1"/>
  <c r="L245" i="33"/>
  <c r="M245" i="33" s="1"/>
  <c r="G251" i="9" s="1"/>
  <c r="L92" i="33"/>
  <c r="M92" i="33" s="1"/>
  <c r="G98" i="9" s="1"/>
  <c r="L139" i="33"/>
  <c r="M139" i="33" s="1"/>
  <c r="G145" i="9" s="1"/>
  <c r="L210" i="33"/>
  <c r="M210" i="33" s="1"/>
  <c r="G216" i="9" s="1"/>
  <c r="L103" i="33"/>
  <c r="M103" i="33" s="1"/>
  <c r="G109" i="9" s="1"/>
  <c r="L121" i="33"/>
  <c r="M121" i="33" s="1"/>
  <c r="G127" i="9" s="1"/>
  <c r="L29" i="33"/>
  <c r="M29" i="33" s="1"/>
  <c r="G35" i="9" s="1"/>
  <c r="L113" i="33"/>
  <c r="M113" i="33" s="1"/>
  <c r="G119" i="9" s="1"/>
  <c r="L124" i="33"/>
  <c r="M124" i="33" s="1"/>
  <c r="G130" i="9" s="1"/>
  <c r="L250" i="33"/>
  <c r="M250" i="33" s="1"/>
  <c r="G256" i="9" s="1"/>
  <c r="L229" i="33"/>
  <c r="M229" i="33" s="1"/>
  <c r="G235" i="9" s="1"/>
  <c r="L206" i="33"/>
  <c r="M206" i="33" s="1"/>
  <c r="G212" i="9" s="1"/>
  <c r="L238" i="33"/>
  <c r="M238" i="33" s="1"/>
  <c r="G244" i="9" s="1"/>
  <c r="L184" i="33"/>
  <c r="M184" i="33" s="1"/>
  <c r="G190" i="9" s="1"/>
  <c r="L268" i="33"/>
  <c r="M268" i="33" s="1"/>
  <c r="G274" i="9" s="1"/>
  <c r="L295" i="33"/>
  <c r="M295" i="33" s="1"/>
  <c r="G301" i="9" s="1"/>
  <c r="L301" i="33"/>
  <c r="M301" i="33" s="1"/>
  <c r="G307" i="9" s="1"/>
  <c r="L253" i="33"/>
  <c r="M253" i="33" s="1"/>
  <c r="G259" i="9" s="1"/>
  <c r="L298" i="33"/>
  <c r="M298" i="33" s="1"/>
  <c r="G304" i="9" s="1"/>
  <c r="L169" i="33"/>
  <c r="M169" i="33" s="1"/>
  <c r="G175" i="9" s="1"/>
  <c r="L125" i="33"/>
  <c r="M125" i="33" s="1"/>
  <c r="G131" i="9" s="1"/>
  <c r="L65" i="33"/>
  <c r="M65" i="33" s="1"/>
  <c r="G71" i="9" s="1"/>
  <c r="L288" i="33"/>
  <c r="M288" i="33" s="1"/>
  <c r="G294" i="9" s="1"/>
  <c r="L91" i="33"/>
  <c r="M91" i="33" s="1"/>
  <c r="G97" i="9" s="1"/>
  <c r="L256" i="33"/>
  <c r="M256" i="33" s="1"/>
  <c r="G262" i="9" s="1"/>
  <c r="L154" i="33"/>
  <c r="M154" i="33" s="1"/>
  <c r="G160" i="9" s="1"/>
  <c r="L66" i="33"/>
  <c r="M66" i="33" s="1"/>
  <c r="G72" i="9" s="1"/>
  <c r="L81" i="33"/>
  <c r="M81" i="33" s="1"/>
  <c r="G87" i="9" s="1"/>
  <c r="L33" i="33"/>
  <c r="M33" i="33" s="1"/>
  <c r="G39" i="9" s="1"/>
  <c r="L14" i="33"/>
  <c r="M14" i="33" s="1"/>
  <c r="G20" i="9" s="1"/>
  <c r="L41" i="33"/>
  <c r="M41" i="33" s="1"/>
  <c r="G47" i="9" s="1"/>
  <c r="L120" i="33"/>
  <c r="M120" i="33" s="1"/>
  <c r="G126" i="9" s="1"/>
  <c r="L209" i="33"/>
  <c r="M209" i="33" s="1"/>
  <c r="G215" i="9" s="1"/>
  <c r="L97" i="33"/>
  <c r="M97" i="33" s="1"/>
  <c r="G103" i="9" s="1"/>
  <c r="L45" i="33"/>
  <c r="M45" i="33" s="1"/>
  <c r="G51" i="9" s="1"/>
  <c r="L259" i="33"/>
  <c r="M259" i="33" s="1"/>
  <c r="G265" i="9" s="1"/>
  <c r="L130" i="33"/>
  <c r="M130" i="33" s="1"/>
  <c r="G136" i="9" s="1"/>
  <c r="L286" i="33"/>
  <c r="M286" i="33" s="1"/>
  <c r="G292" i="9" s="1"/>
  <c r="L134" i="33"/>
  <c r="M134" i="33" s="1"/>
  <c r="G140" i="9" s="1"/>
  <c r="L227" i="33"/>
  <c r="M227" i="33" s="1"/>
  <c r="G233" i="9" s="1"/>
  <c r="L273" i="33"/>
  <c r="M273" i="33" s="1"/>
  <c r="G279" i="9" s="1"/>
  <c r="L15" i="33"/>
  <c r="M15" i="33" s="1"/>
  <c r="G21" i="9" s="1"/>
  <c r="L143" i="33"/>
  <c r="M143" i="33" s="1"/>
  <c r="G149" i="9" s="1"/>
  <c r="L57" i="33"/>
  <c r="M57" i="33" s="1"/>
  <c r="G63" i="9" s="1"/>
  <c r="L58" i="33"/>
  <c r="M58" i="33" s="1"/>
  <c r="G64" i="9" s="1"/>
  <c r="L161" i="33"/>
  <c r="M161" i="33" s="1"/>
  <c r="G167" i="9" s="1"/>
  <c r="L300" i="33"/>
  <c r="M300" i="33" s="1"/>
  <c r="G306" i="9" s="1"/>
  <c r="L241" i="33"/>
  <c r="M241" i="33" s="1"/>
  <c r="G247" i="9" s="1"/>
  <c r="L214" i="33"/>
  <c r="M214" i="33" s="1"/>
  <c r="G220" i="9" s="1"/>
  <c r="L225" i="33"/>
  <c r="M225" i="33" s="1"/>
  <c r="G231" i="9" s="1"/>
  <c r="L285" i="33"/>
  <c r="M285" i="33" s="1"/>
  <c r="G291" i="9" s="1"/>
  <c r="L291" i="33"/>
  <c r="M291" i="33" s="1"/>
  <c r="G297" i="9" s="1"/>
  <c r="L234" i="33"/>
  <c r="M234" i="33" s="1"/>
  <c r="G240" i="9" s="1"/>
  <c r="L297" i="33"/>
  <c r="M297" i="33" s="1"/>
  <c r="G303" i="9" s="1"/>
  <c r="L115" i="33"/>
  <c r="M115" i="33" s="1"/>
  <c r="G121" i="9" s="1"/>
  <c r="L224" i="33"/>
  <c r="M224" i="33" s="1"/>
  <c r="G230" i="9" s="1"/>
  <c r="L151" i="33"/>
  <c r="M151" i="33" s="1"/>
  <c r="G157" i="9" s="1"/>
  <c r="L109" i="33"/>
  <c r="M109" i="33" s="1"/>
  <c r="G115" i="9" s="1"/>
  <c r="L36" i="33"/>
  <c r="M36" i="33" s="1"/>
  <c r="G42" i="9" s="1"/>
  <c r="L230" i="33"/>
  <c r="M230" i="33" s="1"/>
  <c r="G236" i="9" s="1"/>
  <c r="L72" i="33"/>
  <c r="M72" i="33" s="1"/>
  <c r="G78" i="9" s="1"/>
  <c r="L294" i="33"/>
  <c r="M294" i="33" s="1"/>
  <c r="G300" i="9" s="1"/>
  <c r="L304" i="33"/>
  <c r="M304" i="33" s="1"/>
  <c r="G310" i="9" s="1"/>
  <c r="L61" i="33"/>
  <c r="M61" i="33" s="1"/>
  <c r="G67" i="9" s="1"/>
  <c r="L63" i="33"/>
  <c r="M63" i="33" s="1"/>
  <c r="G69" i="9" s="1"/>
  <c r="L105" i="33"/>
  <c r="M105" i="33" s="1"/>
  <c r="G111" i="9" s="1"/>
  <c r="L50" i="33"/>
  <c r="M50" i="33" s="1"/>
  <c r="G56" i="9" s="1"/>
  <c r="L11" i="33"/>
  <c r="M11" i="33" s="1"/>
  <c r="G17" i="9" s="1"/>
  <c r="L162" i="33"/>
  <c r="M162" i="33" s="1"/>
  <c r="G168" i="9" s="1"/>
  <c r="L37" i="33"/>
  <c r="M37" i="33" s="1"/>
  <c r="G43" i="9" s="1"/>
  <c r="L160" i="33"/>
  <c r="M160" i="33" s="1"/>
  <c r="G166" i="9" s="1"/>
  <c r="L34" i="33"/>
  <c r="M34" i="33" s="1"/>
  <c r="G40" i="9" s="1"/>
  <c r="L223" i="33"/>
  <c r="M223" i="33" s="1"/>
  <c r="G229" i="9" s="1"/>
  <c r="L117" i="33"/>
  <c r="M117" i="33" s="1"/>
  <c r="G123" i="9" s="1"/>
  <c r="L142" i="33"/>
  <c r="M142" i="33" s="1"/>
  <c r="G148" i="9" s="1"/>
  <c r="L146" i="33"/>
  <c r="M146" i="33" s="1"/>
  <c r="L228" i="33"/>
  <c r="M228" i="33" s="1"/>
  <c r="G234" i="9" s="1"/>
  <c r="L21" i="33"/>
  <c r="M21" i="33" s="1"/>
  <c r="G27" i="9" s="1"/>
  <c r="L127" i="33"/>
  <c r="M127" i="33" s="1"/>
  <c r="G133" i="9" s="1"/>
  <c r="L153" i="33"/>
  <c r="M153" i="33" s="1"/>
  <c r="G159" i="9" s="1"/>
  <c r="L9" i="33"/>
  <c r="M9" i="33" s="1"/>
  <c r="G15" i="9" s="1"/>
  <c r="L122" i="33"/>
  <c r="M122" i="33" s="1"/>
  <c r="G128" i="9" s="1"/>
  <c r="L132" i="33"/>
  <c r="M132" i="33" s="1"/>
  <c r="G138" i="9" s="1"/>
  <c r="L284" i="33"/>
  <c r="M284" i="33" s="1"/>
  <c r="G290" i="9" s="1"/>
  <c r="L180" i="33"/>
  <c r="M180" i="33" s="1"/>
  <c r="G186" i="9" s="1"/>
  <c r="L233" i="33"/>
  <c r="M233" i="33" s="1"/>
  <c r="G239" i="9" s="1"/>
  <c r="L257" i="33"/>
  <c r="M257" i="33" s="1"/>
  <c r="G263" i="9" s="1"/>
  <c r="L189" i="33"/>
  <c r="M189" i="33" s="1"/>
  <c r="G195" i="9" s="1"/>
  <c r="L129" i="33"/>
  <c r="M129" i="33" s="1"/>
  <c r="G135" i="9" s="1"/>
  <c r="L287" i="33"/>
  <c r="M287" i="33" s="1"/>
  <c r="G293" i="9" s="1"/>
  <c r="L242" i="33"/>
  <c r="M242" i="33" s="1"/>
  <c r="G248" i="9" s="1"/>
  <c r="L263" i="33"/>
  <c r="M263" i="33" s="1"/>
  <c r="G269" i="9" s="1"/>
  <c r="L177" i="33"/>
  <c r="M177" i="33" s="1"/>
  <c r="G183" i="9" s="1"/>
  <c r="L84" i="33"/>
  <c r="M84" i="33" s="1"/>
  <c r="G90" i="9" s="1"/>
  <c r="L104" i="33"/>
  <c r="M104" i="33" s="1"/>
  <c r="G110" i="9" s="1"/>
  <c r="L12" i="33"/>
  <c r="M12" i="33" s="1"/>
  <c r="G18" i="9" s="1"/>
  <c r="L272" i="33"/>
  <c r="M272" i="33" s="1"/>
  <c r="G278" i="9" s="1"/>
  <c r="L246" i="33"/>
  <c r="M246" i="33" s="1"/>
  <c r="G252" i="9" s="1"/>
  <c r="L135" i="33"/>
  <c r="M135" i="33" s="1"/>
  <c r="G141" i="9" s="1"/>
  <c r="L194" i="33"/>
  <c r="M194" i="33" s="1"/>
  <c r="G200" i="9" s="1"/>
  <c r="L222" i="33"/>
  <c r="M222" i="33" s="1"/>
  <c r="G228" i="9" s="1"/>
  <c r="L35" i="33"/>
  <c r="M35" i="33" s="1"/>
  <c r="G41" i="9" s="1"/>
  <c r="L54" i="33"/>
  <c r="M54" i="33" s="1"/>
  <c r="G60" i="9" s="1"/>
  <c r="L86" i="33"/>
  <c r="M86" i="33" s="1"/>
  <c r="G92" i="9" s="1"/>
  <c r="L49" i="33"/>
  <c r="M49" i="33" s="1"/>
  <c r="G55" i="9" s="1"/>
  <c r="L182" i="33"/>
  <c r="M182" i="33" s="1"/>
  <c r="G188" i="9" s="1"/>
  <c r="L149" i="33"/>
  <c r="M149" i="33" s="1"/>
  <c r="G155" i="9" s="1"/>
  <c r="L46" i="33"/>
  <c r="M46" i="33" s="1"/>
  <c r="G52" i="9" s="1"/>
  <c r="L280" i="33"/>
  <c r="M280" i="33" s="1"/>
  <c r="G286" i="9" s="1"/>
  <c r="L43" i="33"/>
  <c r="M43" i="33" s="1"/>
  <c r="G49" i="9" s="1"/>
  <c r="L40" i="33"/>
  <c r="M40" i="33" s="1"/>
  <c r="G46" i="9" s="1"/>
  <c r="L26" i="33"/>
  <c r="M26" i="33" s="1"/>
  <c r="G32" i="9" s="1"/>
  <c r="L188" i="33"/>
  <c r="M188" i="33" s="1"/>
  <c r="G194" i="9" s="1"/>
  <c r="L195" i="33"/>
  <c r="M195" i="33" s="1"/>
  <c r="G201" i="9" s="1"/>
  <c r="L237" i="33"/>
  <c r="M237" i="33" s="1"/>
  <c r="G243" i="9" s="1"/>
  <c r="L7" i="33"/>
  <c r="M7" i="33" s="1"/>
  <c r="G13" i="9" s="1"/>
  <c r="L166" i="33"/>
  <c r="M166" i="33" s="1"/>
  <c r="G172" i="9" s="1"/>
  <c r="L299" i="33"/>
  <c r="M299" i="33" s="1"/>
  <c r="G305" i="9" s="1"/>
  <c r="L70" i="33"/>
  <c r="M70" i="33" s="1"/>
  <c r="G76" i="9" s="1"/>
  <c r="L51" i="33"/>
  <c r="M51" i="33" s="1"/>
  <c r="G57" i="9" s="1"/>
  <c r="L197" i="33"/>
  <c r="M197" i="33" s="1"/>
  <c r="G203" i="9" s="1"/>
  <c r="L75" i="33"/>
  <c r="M75" i="33" s="1"/>
  <c r="G81" i="9" s="1"/>
  <c r="L271" i="33"/>
  <c r="M271" i="33" s="1"/>
  <c r="G277" i="9" s="1"/>
  <c r="L211" i="33"/>
  <c r="M211" i="33" s="1"/>
  <c r="G217" i="9" s="1"/>
  <c r="L260" i="33"/>
  <c r="M260" i="33" s="1"/>
  <c r="G266" i="9" s="1"/>
  <c r="L267" i="33"/>
  <c r="M267" i="33" s="1"/>
  <c r="G273" i="9" s="1"/>
  <c r="L220" i="33"/>
  <c r="M220" i="33" s="1"/>
  <c r="G226" i="9" s="1"/>
  <c r="L232" i="33"/>
  <c r="M232" i="33" s="1"/>
  <c r="G238" i="9" s="1"/>
  <c r="L240" i="33"/>
  <c r="M240" i="33" s="1"/>
  <c r="G246" i="9" s="1"/>
  <c r="L159" i="33"/>
  <c r="M159" i="33" s="1"/>
  <c r="G165" i="9" s="1"/>
  <c r="L152" i="33"/>
  <c r="M152" i="33" s="1"/>
  <c r="G158" i="9" s="1"/>
  <c r="L67" i="33"/>
  <c r="M67" i="33" s="1"/>
  <c r="G73" i="9" s="1"/>
  <c r="L133" i="33"/>
  <c r="M133" i="33" s="1"/>
  <c r="G139" i="9" s="1"/>
  <c r="L28" i="33"/>
  <c r="M28" i="33" s="1"/>
  <c r="G34" i="9" s="1"/>
  <c r="G208" i="9"/>
  <c r="G86" i="9"/>
  <c r="G143" i="9"/>
  <c r="G152" i="9"/>
  <c r="G44" i="9"/>
  <c r="G289" i="9"/>
  <c r="G219" i="9"/>
  <c r="G309" i="9"/>
  <c r="G272" i="9"/>
  <c r="G178" i="9"/>
  <c r="G53" i="9"/>
  <c r="G120" i="9"/>
  <c r="G249" i="9"/>
  <c r="G202" i="9"/>
  <c r="G218" i="9"/>
  <c r="G296" i="9"/>
  <c r="G91" i="9"/>
  <c r="G298" i="9"/>
  <c r="G306" i="11"/>
  <c r="L6" i="33"/>
  <c r="M6" i="33" s="1"/>
  <c r="J272" i="54"/>
  <c r="E52" i="48"/>
  <c r="F52" i="48" s="1"/>
  <c r="F54" i="48" s="1"/>
  <c r="I6" i="37"/>
  <c r="G306" i="37"/>
  <c r="F30" i="48"/>
  <c r="L306" i="11"/>
  <c r="K306" i="49"/>
  <c r="L6" i="49"/>
  <c r="B18" i="48" l="1"/>
  <c r="I306" i="37"/>
  <c r="F12" i="34"/>
  <c r="G12" i="9"/>
  <c r="L306" i="49"/>
  <c r="H5" i="25"/>
  <c r="K272" i="54"/>
  <c r="F65" i="48" s="1"/>
  <c r="F64" i="48"/>
  <c r="K39" i="40"/>
  <c r="K40" i="40" s="1"/>
  <c r="H40" i="40" s="1"/>
  <c r="G312" i="9" l="1"/>
  <c r="F18" i="48"/>
  <c r="H305" i="25"/>
  <c r="J6" i="54"/>
  <c r="M306" i="33"/>
  <c r="C7" i="9" s="1"/>
  <c r="F6" i="12"/>
  <c r="F312" i="34"/>
  <c r="C40" i="40"/>
  <c r="C41" i="40"/>
  <c r="K6" i="54" l="1"/>
  <c r="K306" i="54" s="1"/>
  <c r="J306" i="54"/>
  <c r="H5" i="11"/>
  <c r="H6" i="11" s="1"/>
  <c r="M5" i="11"/>
  <c r="F306" i="12"/>
  <c r="F11" i="34"/>
  <c r="C8" i="9"/>
  <c r="D8" i="9" s="1"/>
  <c r="H11" i="9" s="1"/>
  <c r="D7" i="9"/>
  <c r="M91" i="11" l="1"/>
  <c r="M157" i="11"/>
  <c r="M205" i="11"/>
  <c r="M173" i="11"/>
  <c r="M213" i="11"/>
  <c r="M197" i="11"/>
  <c r="M299" i="11"/>
  <c r="M290" i="11"/>
  <c r="M305" i="11"/>
  <c r="M246" i="11"/>
  <c r="M209" i="11"/>
  <c r="M216" i="11"/>
  <c r="M232" i="11"/>
  <c r="M225" i="11"/>
  <c r="M289" i="11"/>
  <c r="M273" i="11"/>
  <c r="M257" i="11"/>
  <c r="M204" i="11"/>
  <c r="M210" i="11"/>
  <c r="M168" i="11"/>
  <c r="M158" i="11"/>
  <c r="M92" i="11"/>
  <c r="M89" i="11"/>
  <c r="M85" i="11"/>
  <c r="M77" i="11"/>
  <c r="M40" i="11"/>
  <c r="M57" i="11"/>
  <c r="M55" i="11"/>
  <c r="M36" i="11"/>
  <c r="M45" i="11"/>
  <c r="M218" i="11"/>
  <c r="M291" i="11"/>
  <c r="M288" i="11"/>
  <c r="M282" i="11"/>
  <c r="M292" i="11"/>
  <c r="M298" i="11"/>
  <c r="M231" i="11"/>
  <c r="M207" i="11"/>
  <c r="M222" i="11"/>
  <c r="M287" i="11"/>
  <c r="M271" i="11"/>
  <c r="M255" i="11"/>
  <c r="M235" i="11"/>
  <c r="M118" i="11"/>
  <c r="M152" i="11"/>
  <c r="M166" i="11"/>
  <c r="M106" i="11"/>
  <c r="M116" i="11"/>
  <c r="M90" i="11"/>
  <c r="M86" i="11"/>
  <c r="M82" i="11"/>
  <c r="M74" i="11"/>
  <c r="M39" i="11"/>
  <c r="M56" i="11"/>
  <c r="M54" i="11"/>
  <c r="M44" i="11"/>
  <c r="M254" i="11"/>
  <c r="M198" i="11"/>
  <c r="M240" i="11"/>
  <c r="M122" i="11"/>
  <c r="M272" i="11"/>
  <c r="M274" i="11"/>
  <c r="M284" i="11"/>
  <c r="M294" i="11"/>
  <c r="M302" i="11"/>
  <c r="M206" i="11"/>
  <c r="M227" i="11"/>
  <c r="M234" i="11"/>
  <c r="M285" i="11"/>
  <c r="M269" i="11"/>
  <c r="M253" i="11"/>
  <c r="M196" i="11"/>
  <c r="M202" i="11"/>
  <c r="M172" i="11"/>
  <c r="M160" i="11"/>
  <c r="M88" i="11"/>
  <c r="M72" i="11"/>
  <c r="M80" i="11"/>
  <c r="M112" i="11"/>
  <c r="M67" i="11"/>
  <c r="M35" i="11"/>
  <c r="M65" i="11"/>
  <c r="M23" i="11"/>
  <c r="M47" i="11"/>
  <c r="M16" i="11"/>
  <c r="M37" i="11"/>
  <c r="M304" i="11"/>
  <c r="M275" i="11"/>
  <c r="M256" i="11"/>
  <c r="M280" i="11"/>
  <c r="M266" i="11"/>
  <c r="M276" i="11"/>
  <c r="M286" i="11"/>
  <c r="M84" i="11"/>
  <c r="M243" i="11"/>
  <c r="M283" i="11"/>
  <c r="M267" i="11"/>
  <c r="M251" i="11"/>
  <c r="M190" i="11"/>
  <c r="M164" i="11"/>
  <c r="M43" i="11"/>
  <c r="M100" i="11"/>
  <c r="M68" i="11"/>
  <c r="M76" i="11"/>
  <c r="M70" i="11"/>
  <c r="M79" i="11"/>
  <c r="M7" i="11"/>
  <c r="M31" i="11"/>
  <c r="M66" i="11"/>
  <c r="M64" i="11"/>
  <c r="M46" i="11"/>
  <c r="M15" i="11"/>
  <c r="M33" i="11"/>
  <c r="M242" i="11"/>
  <c r="M239" i="11"/>
  <c r="M259" i="11"/>
  <c r="M296" i="11"/>
  <c r="M264" i="11"/>
  <c r="M258" i="11"/>
  <c r="M268" i="11"/>
  <c r="M278" i="11"/>
  <c r="M228" i="11"/>
  <c r="M219" i="11"/>
  <c r="M281" i="11"/>
  <c r="M265" i="11"/>
  <c r="M249" i="11"/>
  <c r="M126" i="11"/>
  <c r="M192" i="11"/>
  <c r="M148" i="11"/>
  <c r="M42" i="11"/>
  <c r="M114" i="11"/>
  <c r="M124" i="11"/>
  <c r="M73" i="11"/>
  <c r="M61" i="11"/>
  <c r="M96" i="11"/>
  <c r="M78" i="11"/>
  <c r="M27" i="11"/>
  <c r="M21" i="11"/>
  <c r="M14" i="11"/>
  <c r="M25" i="11"/>
  <c r="M248" i="11"/>
  <c r="M250" i="11"/>
  <c r="M260" i="11"/>
  <c r="M270" i="11"/>
  <c r="M220" i="11"/>
  <c r="M224" i="11"/>
  <c r="M201" i="11"/>
  <c r="M244" i="11"/>
  <c r="M223" i="11"/>
  <c r="M217" i="11"/>
  <c r="M279" i="11"/>
  <c r="M263" i="11"/>
  <c r="M247" i="11"/>
  <c r="M162" i="11"/>
  <c r="M208" i="11"/>
  <c r="M150" i="11"/>
  <c r="M41" i="11"/>
  <c r="M174" i="11"/>
  <c r="M176" i="11"/>
  <c r="M69" i="11"/>
  <c r="M59" i="11"/>
  <c r="M71" i="11"/>
  <c r="M9" i="11"/>
  <c r="M13" i="11"/>
  <c r="M236" i="11"/>
  <c r="M154" i="11"/>
  <c r="M300" i="11"/>
  <c r="M230" i="11"/>
  <c r="M252" i="11"/>
  <c r="M262" i="11"/>
  <c r="M226" i="11"/>
  <c r="M238" i="11"/>
  <c r="M199" i="11"/>
  <c r="M221" i="11"/>
  <c r="M214" i="11"/>
  <c r="M293" i="11"/>
  <c r="M277" i="11"/>
  <c r="M261" i="11"/>
  <c r="M215" i="11"/>
  <c r="M212" i="11"/>
  <c r="M170" i="11"/>
  <c r="M53" i="11"/>
  <c r="M194" i="11"/>
  <c r="M200" i="11"/>
  <c r="M188" i="11"/>
  <c r="M156" i="11"/>
  <c r="M120" i="11"/>
  <c r="M98" i="11"/>
  <c r="M108" i="11"/>
  <c r="M60" i="11"/>
  <c r="M83" i="11"/>
  <c r="M58" i="11"/>
  <c r="M51" i="11"/>
  <c r="M49" i="11"/>
  <c r="M63" i="11"/>
  <c r="M12" i="11"/>
  <c r="M81" i="11"/>
  <c r="M75" i="11"/>
  <c r="M38" i="11"/>
  <c r="M48" i="11"/>
  <c r="M11" i="11"/>
  <c r="M62" i="11"/>
  <c r="M87" i="11"/>
  <c r="M52" i="11"/>
  <c r="M104" i="11"/>
  <c r="M50" i="11"/>
  <c r="M19" i="11"/>
  <c r="M113" i="11"/>
  <c r="M93" i="11"/>
  <c r="M115" i="11"/>
  <c r="M147" i="11"/>
  <c r="M303" i="11"/>
  <c r="M95" i="11"/>
  <c r="M165" i="11"/>
  <c r="M143" i="11"/>
  <c r="M26" i="11"/>
  <c r="M155" i="11"/>
  <c r="M135" i="11"/>
  <c r="M29" i="11"/>
  <c r="M186" i="11"/>
  <c r="M178" i="11"/>
  <c r="M130" i="11"/>
  <c r="M132" i="11"/>
  <c r="M105" i="11"/>
  <c r="M18" i="11"/>
  <c r="M241" i="11"/>
  <c r="M22" i="11"/>
  <c r="M141" i="11"/>
  <c r="M189" i="11"/>
  <c r="M110" i="11"/>
  <c r="M167" i="11"/>
  <c r="M133" i="11"/>
  <c r="M109" i="11"/>
  <c r="M140" i="11"/>
  <c r="M146" i="11"/>
  <c r="M128" i="11"/>
  <c r="M32" i="11"/>
  <c r="M163" i="11"/>
  <c r="M123" i="11"/>
  <c r="M34" i="11"/>
  <c r="M24" i="11"/>
  <c r="M139" i="11"/>
  <c r="M127" i="11"/>
  <c r="M295" i="11"/>
  <c r="M297" i="11"/>
  <c r="M187" i="11"/>
  <c r="M121" i="11"/>
  <c r="M119" i="11"/>
  <c r="M125" i="11"/>
  <c r="M144" i="11"/>
  <c r="M101" i="11"/>
  <c r="M180" i="11"/>
  <c r="M161" i="11"/>
  <c r="M181" i="11"/>
  <c r="M169" i="11"/>
  <c r="M229" i="11"/>
  <c r="M8" i="11"/>
  <c r="M136" i="11"/>
  <c r="M111" i="11"/>
  <c r="M138" i="11"/>
  <c r="M10" i="11"/>
  <c r="M129" i="11"/>
  <c r="M107" i="11"/>
  <c r="M171" i="11"/>
  <c r="M211" i="11"/>
  <c r="M94" i="11"/>
  <c r="M131" i="11"/>
  <c r="M203" i="11"/>
  <c r="M30" i="11"/>
  <c r="M97" i="11"/>
  <c r="M137" i="11"/>
  <c r="M145" i="11"/>
  <c r="M102" i="11"/>
  <c r="M159" i="11"/>
  <c r="M237" i="11"/>
  <c r="M179" i="11"/>
  <c r="M185" i="11"/>
  <c r="M28" i="11"/>
  <c r="M182" i="11"/>
  <c r="M184" i="11"/>
  <c r="M191" i="11"/>
  <c r="M183" i="11"/>
  <c r="M245" i="11"/>
  <c r="M20" i="11"/>
  <c r="M301" i="11"/>
  <c r="M153" i="11"/>
  <c r="M134" i="11"/>
  <c r="M142" i="11"/>
  <c r="M103" i="11"/>
  <c r="M195" i="11"/>
  <c r="M233" i="11"/>
  <c r="M99" i="11"/>
  <c r="M193" i="11"/>
  <c r="M151" i="11"/>
  <c r="M117" i="11"/>
  <c r="M149" i="11"/>
  <c r="M175" i="11"/>
  <c r="M17" i="11"/>
  <c r="M177" i="11"/>
  <c r="H154" i="11"/>
  <c r="H160" i="11"/>
  <c r="H176" i="11"/>
  <c r="H200" i="11"/>
  <c r="H208" i="11"/>
  <c r="H295" i="11"/>
  <c r="H300" i="11"/>
  <c r="H263" i="11"/>
  <c r="H289" i="11"/>
  <c r="H303" i="11"/>
  <c r="H251" i="11"/>
  <c r="H261" i="11"/>
  <c r="H234" i="11"/>
  <c r="H290" i="11"/>
  <c r="H272" i="11"/>
  <c r="H256" i="11"/>
  <c r="H238" i="11"/>
  <c r="H198" i="11"/>
  <c r="H189" i="11"/>
  <c r="H169" i="11"/>
  <c r="H167" i="11"/>
  <c r="H86" i="11"/>
  <c r="H66" i="11"/>
  <c r="H47" i="11"/>
  <c r="H16" i="11"/>
  <c r="H38" i="11"/>
  <c r="H77" i="11"/>
  <c r="H42" i="11"/>
  <c r="H70" i="11"/>
  <c r="H54" i="11"/>
  <c r="H11" i="11"/>
  <c r="H259" i="11"/>
  <c r="H269" i="11"/>
  <c r="H212" i="11"/>
  <c r="H292" i="11"/>
  <c r="H258" i="11"/>
  <c r="H202" i="11"/>
  <c r="H255" i="11"/>
  <c r="H281" i="11"/>
  <c r="H301" i="11"/>
  <c r="H305" i="11"/>
  <c r="H253" i="11"/>
  <c r="H288" i="11"/>
  <c r="H270" i="11"/>
  <c r="H254" i="11"/>
  <c r="H194" i="11"/>
  <c r="H230" i="11"/>
  <c r="H201" i="11"/>
  <c r="H196" i="11"/>
  <c r="H199" i="11"/>
  <c r="H205" i="11"/>
  <c r="H173" i="11"/>
  <c r="H161" i="11"/>
  <c r="H60" i="11"/>
  <c r="H45" i="11"/>
  <c r="H90" i="11"/>
  <c r="H14" i="11"/>
  <c r="H34" i="11"/>
  <c r="H69" i="11"/>
  <c r="H40" i="11"/>
  <c r="H67" i="11"/>
  <c r="H49" i="11"/>
  <c r="H207" i="11"/>
  <c r="H213" i="11"/>
  <c r="H148" i="11"/>
  <c r="H182" i="11"/>
  <c r="H68" i="11"/>
  <c r="H232" i="11"/>
  <c r="H273" i="11"/>
  <c r="H297" i="11"/>
  <c r="H228" i="11"/>
  <c r="H286" i="11"/>
  <c r="H268" i="11"/>
  <c r="H252" i="11"/>
  <c r="H186" i="11"/>
  <c r="H246" i="11"/>
  <c r="H210" i="11"/>
  <c r="H187" i="11"/>
  <c r="H226" i="11"/>
  <c r="H55" i="11"/>
  <c r="H73" i="11"/>
  <c r="H88" i="11"/>
  <c r="H24" i="11"/>
  <c r="H48" i="11"/>
  <c r="H12" i="11"/>
  <c r="H46" i="11"/>
  <c r="H27" i="11"/>
  <c r="H265" i="11"/>
  <c r="H291" i="11"/>
  <c r="H298" i="11"/>
  <c r="H284" i="11"/>
  <c r="H266" i="11"/>
  <c r="H250" i="11"/>
  <c r="H216" i="11"/>
  <c r="H206" i="11"/>
  <c r="H247" i="11"/>
  <c r="H223" i="11"/>
  <c r="H197" i="11"/>
  <c r="H155" i="11"/>
  <c r="H177" i="11"/>
  <c r="H52" i="11"/>
  <c r="H81" i="11"/>
  <c r="H43" i="11"/>
  <c r="H26" i="11"/>
  <c r="H21" i="11"/>
  <c r="H9" i="11"/>
  <c r="H192" i="11"/>
  <c r="H72" i="11"/>
  <c r="H257" i="11"/>
  <c r="H283" i="11"/>
  <c r="H293" i="11"/>
  <c r="H224" i="11"/>
  <c r="H282" i="11"/>
  <c r="H264" i="11"/>
  <c r="H248" i="11"/>
  <c r="H170" i="11"/>
  <c r="H209" i="11"/>
  <c r="H204" i="11"/>
  <c r="H240" i="11"/>
  <c r="H222" i="11"/>
  <c r="H171" i="11"/>
  <c r="H151" i="11"/>
  <c r="H175" i="11"/>
  <c r="H71" i="11"/>
  <c r="H80" i="11"/>
  <c r="H50" i="11"/>
  <c r="H74" i="11"/>
  <c r="H41" i="11"/>
  <c r="H58" i="11"/>
  <c r="H56" i="11"/>
  <c r="H8" i="11"/>
  <c r="H287" i="11"/>
  <c r="H249" i="11"/>
  <c r="H275" i="11"/>
  <c r="H285" i="11"/>
  <c r="H280" i="11"/>
  <c r="H262" i="11"/>
  <c r="H236" i="11"/>
  <c r="H215" i="11"/>
  <c r="H166" i="11"/>
  <c r="H218" i="11"/>
  <c r="H219" i="11"/>
  <c r="H183" i="11"/>
  <c r="H164" i="11"/>
  <c r="H84" i="11"/>
  <c r="H157" i="11"/>
  <c r="H44" i="11"/>
  <c r="H85" i="11"/>
  <c r="H63" i="11"/>
  <c r="H39" i="11"/>
  <c r="H19" i="11"/>
  <c r="H91" i="11"/>
  <c r="H53" i="11"/>
  <c r="H51" i="11"/>
  <c r="H65" i="11"/>
  <c r="H29" i="11"/>
  <c r="H17" i="11"/>
  <c r="H271" i="11"/>
  <c r="H274" i="11"/>
  <c r="H220" i="11"/>
  <c r="H227" i="11"/>
  <c r="H159" i="11"/>
  <c r="H279" i="11"/>
  <c r="H244" i="11"/>
  <c r="H267" i="11"/>
  <c r="H277" i="11"/>
  <c r="H214" i="11"/>
  <c r="H276" i="11"/>
  <c r="H260" i="11"/>
  <c r="H242" i="11"/>
  <c r="H180" i="11"/>
  <c r="H25" i="11"/>
  <c r="H76" i="11"/>
  <c r="H89" i="11"/>
  <c r="H61" i="11"/>
  <c r="H64" i="11"/>
  <c r="H30" i="11"/>
  <c r="H62" i="11"/>
  <c r="H87" i="11"/>
  <c r="H78" i="11"/>
  <c r="H15" i="11"/>
  <c r="H299" i="11"/>
  <c r="H296" i="11"/>
  <c r="H57" i="11"/>
  <c r="H13" i="11"/>
  <c r="H7" i="11"/>
  <c r="H75" i="11"/>
  <c r="H83" i="11"/>
  <c r="H36" i="11"/>
  <c r="H59" i="11"/>
  <c r="H23" i="11"/>
  <c r="H112" i="11"/>
  <c r="H117" i="11"/>
  <c r="H124" i="11"/>
  <c r="H94" i="11"/>
  <c r="H146" i="11"/>
  <c r="H184" i="11"/>
  <c r="H245" i="11"/>
  <c r="H178" i="11"/>
  <c r="H133" i="11"/>
  <c r="H100" i="11"/>
  <c r="H116" i="11"/>
  <c r="H109" i="11"/>
  <c r="H115" i="11"/>
  <c r="H99" i="11"/>
  <c r="H110" i="11"/>
  <c r="H95" i="11"/>
  <c r="H98" i="11"/>
  <c r="H130" i="11"/>
  <c r="H158" i="11"/>
  <c r="H179" i="11"/>
  <c r="H172" i="11"/>
  <c r="H37" i="11"/>
  <c r="H243" i="11"/>
  <c r="H135" i="11"/>
  <c r="H106" i="11"/>
  <c r="H191" i="11"/>
  <c r="H121" i="11"/>
  <c r="H101" i="11"/>
  <c r="H141" i="11"/>
  <c r="H134" i="11"/>
  <c r="H185" i="11"/>
  <c r="H239" i="11"/>
  <c r="H149" i="11"/>
  <c r="H153" i="11"/>
  <c r="H132" i="11"/>
  <c r="H96" i="11"/>
  <c r="H163" i="11"/>
  <c r="H111" i="11"/>
  <c r="H28" i="11"/>
  <c r="H147" i="11"/>
  <c r="H140" i="11"/>
  <c r="H193" i="11"/>
  <c r="H32" i="11"/>
  <c r="H217" i="11"/>
  <c r="H35" i="11"/>
  <c r="H233" i="11"/>
  <c r="H137" i="11"/>
  <c r="H237" i="11"/>
  <c r="H150" i="11"/>
  <c r="H114" i="11"/>
  <c r="H104" i="11"/>
  <c r="H18" i="11"/>
  <c r="H113" i="11"/>
  <c r="H190" i="11"/>
  <c r="H20" i="11"/>
  <c r="H188" i="11"/>
  <c r="H139" i="11"/>
  <c r="H225" i="11"/>
  <c r="H168" i="11"/>
  <c r="H127" i="11"/>
  <c r="H195" i="11"/>
  <c r="H162" i="11"/>
  <c r="H211" i="11"/>
  <c r="H126" i="11"/>
  <c r="H120" i="11"/>
  <c r="H181" i="11"/>
  <c r="H31" i="11"/>
  <c r="H97" i="11"/>
  <c r="H79" i="11"/>
  <c r="H103" i="11"/>
  <c r="H235" i="11"/>
  <c r="H128" i="11"/>
  <c r="H152" i="11"/>
  <c r="H229" i="11"/>
  <c r="H278" i="11"/>
  <c r="H22" i="11"/>
  <c r="H302" i="11"/>
  <c r="H136" i="11"/>
  <c r="H102" i="11"/>
  <c r="H93" i="11"/>
  <c r="H92" i="11"/>
  <c r="H129" i="11"/>
  <c r="H107" i="11"/>
  <c r="H145" i="11"/>
  <c r="H231" i="11"/>
  <c r="H123" i="11"/>
  <c r="H144" i="11"/>
  <c r="H119" i="11"/>
  <c r="H156" i="11"/>
  <c r="H10" i="11"/>
  <c r="H138" i="11"/>
  <c r="H174" i="11"/>
  <c r="H118" i="11"/>
  <c r="H122" i="11"/>
  <c r="H108" i="11"/>
  <c r="H105" i="11"/>
  <c r="H304" i="11"/>
  <c r="H33" i="11"/>
  <c r="H241" i="11"/>
  <c r="H203" i="11"/>
  <c r="H82" i="11"/>
  <c r="H221" i="11"/>
  <c r="H131" i="11"/>
  <c r="H143" i="11"/>
  <c r="H165" i="11"/>
  <c r="H125" i="11"/>
  <c r="H142" i="11"/>
  <c r="H294" i="11"/>
  <c r="M6" i="11"/>
  <c r="O6" i="11" s="1"/>
  <c r="E43" i="48"/>
  <c r="H14" i="9"/>
  <c r="I14" i="9" s="1"/>
  <c r="H22" i="9"/>
  <c r="I22" i="9" s="1"/>
  <c r="H30" i="9"/>
  <c r="I30" i="9" s="1"/>
  <c r="H38" i="9"/>
  <c r="I38" i="9" s="1"/>
  <c r="H46" i="9"/>
  <c r="I46" i="9" s="1"/>
  <c r="H54" i="9"/>
  <c r="I54" i="9" s="1"/>
  <c r="H62" i="9"/>
  <c r="I62" i="9" s="1"/>
  <c r="H70" i="9"/>
  <c r="I70" i="9" s="1"/>
  <c r="H78" i="9"/>
  <c r="I78" i="9" s="1"/>
  <c r="H86" i="9"/>
  <c r="I86" i="9" s="1"/>
  <c r="H94" i="9"/>
  <c r="I94" i="9" s="1"/>
  <c r="H102" i="9"/>
  <c r="I102" i="9" s="1"/>
  <c r="H110" i="9"/>
  <c r="I110" i="9" s="1"/>
  <c r="H118" i="9"/>
  <c r="I118" i="9" s="1"/>
  <c r="H126" i="9"/>
  <c r="I126" i="9" s="1"/>
  <c r="H134" i="9"/>
  <c r="I134" i="9" s="1"/>
  <c r="H142" i="9"/>
  <c r="I142" i="9" s="1"/>
  <c r="H150" i="9"/>
  <c r="I150" i="9" s="1"/>
  <c r="H158" i="9"/>
  <c r="I158" i="9" s="1"/>
  <c r="H166" i="9"/>
  <c r="I166" i="9" s="1"/>
  <c r="H174" i="9"/>
  <c r="I174" i="9" s="1"/>
  <c r="H182" i="9"/>
  <c r="I182" i="9" s="1"/>
  <c r="H190" i="9"/>
  <c r="I190" i="9" s="1"/>
  <c r="H198" i="9"/>
  <c r="I198" i="9" s="1"/>
  <c r="H206" i="9"/>
  <c r="I206" i="9" s="1"/>
  <c r="H214" i="9"/>
  <c r="I214" i="9" s="1"/>
  <c r="H222" i="9"/>
  <c r="I222" i="9" s="1"/>
  <c r="H230" i="9"/>
  <c r="I230" i="9" s="1"/>
  <c r="H15" i="9"/>
  <c r="I15" i="9" s="1"/>
  <c r="H23" i="9"/>
  <c r="I23" i="9" s="1"/>
  <c r="H31" i="9"/>
  <c r="I31" i="9" s="1"/>
  <c r="H39" i="9"/>
  <c r="I39" i="9" s="1"/>
  <c r="H47" i="9"/>
  <c r="I47" i="9" s="1"/>
  <c r="H55" i="9"/>
  <c r="I55" i="9" s="1"/>
  <c r="H63" i="9"/>
  <c r="I63" i="9" s="1"/>
  <c r="H71" i="9"/>
  <c r="I71" i="9" s="1"/>
  <c r="H79" i="9"/>
  <c r="I79" i="9" s="1"/>
  <c r="H87" i="9"/>
  <c r="I87" i="9" s="1"/>
  <c r="H95" i="9"/>
  <c r="I95" i="9" s="1"/>
  <c r="H103" i="9"/>
  <c r="I103" i="9" s="1"/>
  <c r="H111" i="9"/>
  <c r="I111" i="9" s="1"/>
  <c r="H119" i="9"/>
  <c r="I119" i="9" s="1"/>
  <c r="H127" i="9"/>
  <c r="I127" i="9" s="1"/>
  <c r="H135" i="9"/>
  <c r="I135" i="9" s="1"/>
  <c r="H143" i="9"/>
  <c r="I143" i="9" s="1"/>
  <c r="H151" i="9"/>
  <c r="I151" i="9" s="1"/>
  <c r="H159" i="9"/>
  <c r="I159" i="9" s="1"/>
  <c r="H167" i="9"/>
  <c r="I167" i="9" s="1"/>
  <c r="H175" i="9"/>
  <c r="I175" i="9" s="1"/>
  <c r="H183" i="9"/>
  <c r="I183" i="9" s="1"/>
  <c r="H191" i="9"/>
  <c r="I191" i="9" s="1"/>
  <c r="H199" i="9"/>
  <c r="I199" i="9" s="1"/>
  <c r="H207" i="9"/>
  <c r="I207" i="9" s="1"/>
  <c r="H215" i="9"/>
  <c r="I215" i="9" s="1"/>
  <c r="H223" i="9"/>
  <c r="I223" i="9" s="1"/>
  <c r="H231" i="9"/>
  <c r="I231" i="9" s="1"/>
  <c r="H16" i="9"/>
  <c r="I16" i="9" s="1"/>
  <c r="H24" i="9"/>
  <c r="I24" i="9" s="1"/>
  <c r="H32" i="9"/>
  <c r="I32" i="9" s="1"/>
  <c r="H40" i="9"/>
  <c r="I40" i="9" s="1"/>
  <c r="H48" i="9"/>
  <c r="I48" i="9" s="1"/>
  <c r="H56" i="9"/>
  <c r="I56" i="9" s="1"/>
  <c r="H64" i="9"/>
  <c r="I64" i="9" s="1"/>
  <c r="H72" i="9"/>
  <c r="I72" i="9" s="1"/>
  <c r="H80" i="9"/>
  <c r="I80" i="9" s="1"/>
  <c r="H88" i="9"/>
  <c r="I88" i="9" s="1"/>
  <c r="H96" i="9"/>
  <c r="I96" i="9" s="1"/>
  <c r="H104" i="9"/>
  <c r="I104" i="9" s="1"/>
  <c r="H112" i="9"/>
  <c r="I112" i="9" s="1"/>
  <c r="H120" i="9"/>
  <c r="I120" i="9" s="1"/>
  <c r="H128" i="9"/>
  <c r="I128" i="9" s="1"/>
  <c r="H136" i="9"/>
  <c r="I136" i="9" s="1"/>
  <c r="H144" i="9"/>
  <c r="I144" i="9" s="1"/>
  <c r="H152" i="9"/>
  <c r="I152" i="9" s="1"/>
  <c r="H160" i="9"/>
  <c r="I160" i="9" s="1"/>
  <c r="H168" i="9"/>
  <c r="I168" i="9" s="1"/>
  <c r="H176" i="9"/>
  <c r="I176" i="9" s="1"/>
  <c r="H184" i="9"/>
  <c r="I184" i="9" s="1"/>
  <c r="H192" i="9"/>
  <c r="I192" i="9" s="1"/>
  <c r="H200" i="9"/>
  <c r="I200" i="9" s="1"/>
  <c r="H208" i="9"/>
  <c r="I208" i="9" s="1"/>
  <c r="H216" i="9"/>
  <c r="I216" i="9" s="1"/>
  <c r="H224" i="9"/>
  <c r="I224" i="9" s="1"/>
  <c r="H232" i="9"/>
  <c r="I232" i="9" s="1"/>
  <c r="H17" i="9"/>
  <c r="I17" i="9" s="1"/>
  <c r="H25" i="9"/>
  <c r="I25" i="9" s="1"/>
  <c r="H33" i="9"/>
  <c r="I33" i="9" s="1"/>
  <c r="H41" i="9"/>
  <c r="I41" i="9" s="1"/>
  <c r="H49" i="9"/>
  <c r="I49" i="9" s="1"/>
  <c r="H57" i="9"/>
  <c r="I57" i="9" s="1"/>
  <c r="H65" i="9"/>
  <c r="I65" i="9" s="1"/>
  <c r="H73" i="9"/>
  <c r="I73" i="9" s="1"/>
  <c r="H81" i="9"/>
  <c r="I81" i="9" s="1"/>
  <c r="H89" i="9"/>
  <c r="I89" i="9" s="1"/>
  <c r="H97" i="9"/>
  <c r="I97" i="9" s="1"/>
  <c r="H105" i="9"/>
  <c r="I105" i="9" s="1"/>
  <c r="H113" i="9"/>
  <c r="I113" i="9" s="1"/>
  <c r="H121" i="9"/>
  <c r="I121" i="9" s="1"/>
  <c r="H129" i="9"/>
  <c r="I129" i="9" s="1"/>
  <c r="H137" i="9"/>
  <c r="I137" i="9" s="1"/>
  <c r="H145" i="9"/>
  <c r="I145" i="9" s="1"/>
  <c r="H153" i="9"/>
  <c r="I153" i="9" s="1"/>
  <c r="H161" i="9"/>
  <c r="I161" i="9" s="1"/>
  <c r="H169" i="9"/>
  <c r="I169" i="9" s="1"/>
  <c r="H177" i="9"/>
  <c r="I177" i="9" s="1"/>
  <c r="H185" i="9"/>
  <c r="I185" i="9" s="1"/>
  <c r="H193" i="9"/>
  <c r="I193" i="9" s="1"/>
  <c r="H201" i="9"/>
  <c r="I201" i="9" s="1"/>
  <c r="H209" i="9"/>
  <c r="I209" i="9" s="1"/>
  <c r="H217" i="9"/>
  <c r="I217" i="9" s="1"/>
  <c r="H225" i="9"/>
  <c r="I225" i="9" s="1"/>
  <c r="H233" i="9"/>
  <c r="I233" i="9" s="1"/>
  <c r="H18" i="9"/>
  <c r="I18" i="9" s="1"/>
  <c r="H26" i="9"/>
  <c r="I26" i="9" s="1"/>
  <c r="H34" i="9"/>
  <c r="I34" i="9" s="1"/>
  <c r="H42" i="9"/>
  <c r="I42" i="9" s="1"/>
  <c r="H50" i="9"/>
  <c r="I50" i="9" s="1"/>
  <c r="H58" i="9"/>
  <c r="I58" i="9" s="1"/>
  <c r="H66" i="9"/>
  <c r="I66" i="9" s="1"/>
  <c r="H74" i="9"/>
  <c r="I74" i="9" s="1"/>
  <c r="H82" i="9"/>
  <c r="I82" i="9" s="1"/>
  <c r="H90" i="9"/>
  <c r="I90" i="9" s="1"/>
  <c r="H98" i="9"/>
  <c r="I98" i="9" s="1"/>
  <c r="H106" i="9"/>
  <c r="I106" i="9" s="1"/>
  <c r="H114" i="9"/>
  <c r="I114" i="9" s="1"/>
  <c r="H122" i="9"/>
  <c r="I122" i="9" s="1"/>
  <c r="H130" i="9"/>
  <c r="I130" i="9" s="1"/>
  <c r="H138" i="9"/>
  <c r="I138" i="9" s="1"/>
  <c r="H146" i="9"/>
  <c r="I146" i="9" s="1"/>
  <c r="H154" i="9"/>
  <c r="I154" i="9" s="1"/>
  <c r="H162" i="9"/>
  <c r="I162" i="9" s="1"/>
  <c r="H170" i="9"/>
  <c r="I170" i="9" s="1"/>
  <c r="H178" i="9"/>
  <c r="I178" i="9" s="1"/>
  <c r="H186" i="9"/>
  <c r="I186" i="9" s="1"/>
  <c r="H194" i="9"/>
  <c r="I194" i="9" s="1"/>
  <c r="H202" i="9"/>
  <c r="I202" i="9" s="1"/>
  <c r="H210" i="9"/>
  <c r="I210" i="9" s="1"/>
  <c r="H218" i="9"/>
  <c r="I218" i="9" s="1"/>
  <c r="H226" i="9"/>
  <c r="I226" i="9" s="1"/>
  <c r="H234" i="9"/>
  <c r="I234" i="9" s="1"/>
  <c r="H19" i="9"/>
  <c r="I19" i="9" s="1"/>
  <c r="H27" i="9"/>
  <c r="I27" i="9" s="1"/>
  <c r="H35" i="9"/>
  <c r="I35" i="9" s="1"/>
  <c r="H43" i="9"/>
  <c r="I43" i="9" s="1"/>
  <c r="H51" i="9"/>
  <c r="I51" i="9" s="1"/>
  <c r="H59" i="9"/>
  <c r="I59" i="9" s="1"/>
  <c r="H67" i="9"/>
  <c r="I67" i="9" s="1"/>
  <c r="H75" i="9"/>
  <c r="I75" i="9" s="1"/>
  <c r="H83" i="9"/>
  <c r="I83" i="9" s="1"/>
  <c r="H91" i="9"/>
  <c r="I91" i="9" s="1"/>
  <c r="H99" i="9"/>
  <c r="I99" i="9" s="1"/>
  <c r="H107" i="9"/>
  <c r="I107" i="9" s="1"/>
  <c r="H115" i="9"/>
  <c r="I115" i="9" s="1"/>
  <c r="H123" i="9"/>
  <c r="I123" i="9" s="1"/>
  <c r="H131" i="9"/>
  <c r="I131" i="9" s="1"/>
  <c r="H139" i="9"/>
  <c r="I139" i="9" s="1"/>
  <c r="H147" i="9"/>
  <c r="I147" i="9" s="1"/>
  <c r="H155" i="9"/>
  <c r="I155" i="9" s="1"/>
  <c r="H163" i="9"/>
  <c r="I163" i="9" s="1"/>
  <c r="H171" i="9"/>
  <c r="I171" i="9" s="1"/>
  <c r="H179" i="9"/>
  <c r="I179" i="9" s="1"/>
  <c r="H187" i="9"/>
  <c r="I187" i="9" s="1"/>
  <c r="H195" i="9"/>
  <c r="I195" i="9" s="1"/>
  <c r="H203" i="9"/>
  <c r="I203" i="9" s="1"/>
  <c r="H211" i="9"/>
  <c r="I211" i="9" s="1"/>
  <c r="H219" i="9"/>
  <c r="I219" i="9" s="1"/>
  <c r="H227" i="9"/>
  <c r="I227" i="9" s="1"/>
  <c r="H20" i="9"/>
  <c r="I20" i="9" s="1"/>
  <c r="H28" i="9"/>
  <c r="I28" i="9" s="1"/>
  <c r="H36" i="9"/>
  <c r="I36" i="9" s="1"/>
  <c r="H44" i="9"/>
  <c r="I44" i="9" s="1"/>
  <c r="H52" i="9"/>
  <c r="I52" i="9" s="1"/>
  <c r="H60" i="9"/>
  <c r="I60" i="9" s="1"/>
  <c r="H68" i="9"/>
  <c r="I68" i="9" s="1"/>
  <c r="H76" i="9"/>
  <c r="I76" i="9" s="1"/>
  <c r="H84" i="9"/>
  <c r="I84" i="9" s="1"/>
  <c r="H92" i="9"/>
  <c r="I92" i="9" s="1"/>
  <c r="H100" i="9"/>
  <c r="I100" i="9" s="1"/>
  <c r="H108" i="9"/>
  <c r="I108" i="9" s="1"/>
  <c r="H116" i="9"/>
  <c r="I116" i="9" s="1"/>
  <c r="H124" i="9"/>
  <c r="I124" i="9" s="1"/>
  <c r="H132" i="9"/>
  <c r="I132" i="9" s="1"/>
  <c r="H140" i="9"/>
  <c r="I140" i="9" s="1"/>
  <c r="H148" i="9"/>
  <c r="I148" i="9" s="1"/>
  <c r="H156" i="9"/>
  <c r="I156" i="9" s="1"/>
  <c r="H164" i="9"/>
  <c r="I164" i="9" s="1"/>
  <c r="H172" i="9"/>
  <c r="I172" i="9" s="1"/>
  <c r="H180" i="9"/>
  <c r="I180" i="9" s="1"/>
  <c r="H188" i="9"/>
  <c r="I188" i="9" s="1"/>
  <c r="H196" i="9"/>
  <c r="I196" i="9" s="1"/>
  <c r="H204" i="9"/>
  <c r="I204" i="9" s="1"/>
  <c r="H212" i="9"/>
  <c r="I212" i="9" s="1"/>
  <c r="H220" i="9"/>
  <c r="I220" i="9" s="1"/>
  <c r="H228" i="9"/>
  <c r="I228" i="9" s="1"/>
  <c r="H236" i="9"/>
  <c r="I236" i="9" s="1"/>
  <c r="H93" i="9"/>
  <c r="I93" i="9" s="1"/>
  <c r="H221" i="9"/>
  <c r="I221" i="9" s="1"/>
  <c r="H245" i="9"/>
  <c r="I245" i="9" s="1"/>
  <c r="H253" i="9"/>
  <c r="I253" i="9" s="1"/>
  <c r="H261" i="9"/>
  <c r="I261" i="9" s="1"/>
  <c r="H269" i="9"/>
  <c r="I269" i="9" s="1"/>
  <c r="H277" i="9"/>
  <c r="I277" i="9" s="1"/>
  <c r="H285" i="9"/>
  <c r="I285" i="9" s="1"/>
  <c r="H293" i="9"/>
  <c r="I293" i="9" s="1"/>
  <c r="H301" i="9"/>
  <c r="I301" i="9" s="1"/>
  <c r="H309" i="9"/>
  <c r="I309" i="9" s="1"/>
  <c r="H133" i="9"/>
  <c r="I133" i="9" s="1"/>
  <c r="H149" i="9"/>
  <c r="I149" i="9" s="1"/>
  <c r="H276" i="9"/>
  <c r="I276" i="9" s="1"/>
  <c r="H292" i="9"/>
  <c r="I292" i="9" s="1"/>
  <c r="H53" i="9"/>
  <c r="I53" i="9" s="1"/>
  <c r="H117" i="9"/>
  <c r="I117" i="9" s="1"/>
  <c r="H238" i="9"/>
  <c r="I238" i="9" s="1"/>
  <c r="H246" i="9"/>
  <c r="I246" i="9" s="1"/>
  <c r="H254" i="9"/>
  <c r="I254" i="9" s="1"/>
  <c r="H262" i="9"/>
  <c r="I262" i="9" s="1"/>
  <c r="H270" i="9"/>
  <c r="I270" i="9" s="1"/>
  <c r="H278" i="9"/>
  <c r="I278" i="9" s="1"/>
  <c r="H286" i="9"/>
  <c r="I286" i="9" s="1"/>
  <c r="H294" i="9"/>
  <c r="I294" i="9" s="1"/>
  <c r="H302" i="9"/>
  <c r="I302" i="9" s="1"/>
  <c r="H310" i="9"/>
  <c r="I310" i="9" s="1"/>
  <c r="H268" i="9"/>
  <c r="I268" i="9" s="1"/>
  <c r="H77" i="9"/>
  <c r="I77" i="9" s="1"/>
  <c r="H173" i="9"/>
  <c r="I173" i="9" s="1"/>
  <c r="H189" i="9"/>
  <c r="I189" i="9" s="1"/>
  <c r="H205" i="9"/>
  <c r="I205" i="9" s="1"/>
  <c r="H235" i="9"/>
  <c r="I235" i="9" s="1"/>
  <c r="H237" i="9"/>
  <c r="I237" i="9" s="1"/>
  <c r="H239" i="9"/>
  <c r="I239" i="9" s="1"/>
  <c r="H247" i="9"/>
  <c r="I247" i="9" s="1"/>
  <c r="H255" i="9"/>
  <c r="I255" i="9" s="1"/>
  <c r="H263" i="9"/>
  <c r="I263" i="9" s="1"/>
  <c r="H271" i="9"/>
  <c r="I271" i="9" s="1"/>
  <c r="H279" i="9"/>
  <c r="I279" i="9" s="1"/>
  <c r="H287" i="9"/>
  <c r="I287" i="9" s="1"/>
  <c r="H295" i="9"/>
  <c r="I295" i="9" s="1"/>
  <c r="H303" i="9"/>
  <c r="I303" i="9" s="1"/>
  <c r="H311" i="9"/>
  <c r="I311" i="9" s="1"/>
  <c r="H252" i="9"/>
  <c r="I252" i="9" s="1"/>
  <c r="H21" i="9"/>
  <c r="I21" i="9" s="1"/>
  <c r="H37" i="9"/>
  <c r="I37" i="9" s="1"/>
  <c r="H101" i="9"/>
  <c r="I101" i="9" s="1"/>
  <c r="H141" i="9"/>
  <c r="I141" i="9" s="1"/>
  <c r="H157" i="9"/>
  <c r="I157" i="9" s="1"/>
  <c r="H229" i="9"/>
  <c r="I229" i="9" s="1"/>
  <c r="H240" i="9"/>
  <c r="I240" i="9" s="1"/>
  <c r="H248" i="9"/>
  <c r="I248" i="9" s="1"/>
  <c r="H256" i="9"/>
  <c r="I256" i="9" s="1"/>
  <c r="H264" i="9"/>
  <c r="I264" i="9" s="1"/>
  <c r="H272" i="9"/>
  <c r="I272" i="9" s="1"/>
  <c r="H280" i="9"/>
  <c r="I280" i="9" s="1"/>
  <c r="H288" i="9"/>
  <c r="I288" i="9" s="1"/>
  <c r="H296" i="9"/>
  <c r="I296" i="9" s="1"/>
  <c r="H304" i="9"/>
  <c r="I304" i="9" s="1"/>
  <c r="H260" i="9"/>
  <c r="I260" i="9" s="1"/>
  <c r="H284" i="9"/>
  <c r="I284" i="9" s="1"/>
  <c r="H308" i="9"/>
  <c r="I308" i="9" s="1"/>
  <c r="H61" i="9"/>
  <c r="I61" i="9" s="1"/>
  <c r="H125" i="9"/>
  <c r="I125" i="9" s="1"/>
  <c r="H241" i="9"/>
  <c r="I241" i="9" s="1"/>
  <c r="H249" i="9"/>
  <c r="I249" i="9" s="1"/>
  <c r="H257" i="9"/>
  <c r="I257" i="9" s="1"/>
  <c r="H265" i="9"/>
  <c r="I265" i="9" s="1"/>
  <c r="H273" i="9"/>
  <c r="I273" i="9" s="1"/>
  <c r="H281" i="9"/>
  <c r="I281" i="9" s="1"/>
  <c r="H289" i="9"/>
  <c r="I289" i="9" s="1"/>
  <c r="H297" i="9"/>
  <c r="I297" i="9" s="1"/>
  <c r="H305" i="9"/>
  <c r="I305" i="9" s="1"/>
  <c r="H29" i="9"/>
  <c r="I29" i="9" s="1"/>
  <c r="H165" i="9"/>
  <c r="I165" i="9" s="1"/>
  <c r="H244" i="9"/>
  <c r="I244" i="9" s="1"/>
  <c r="H85" i="9"/>
  <c r="I85" i="9" s="1"/>
  <c r="H213" i="9"/>
  <c r="I213" i="9" s="1"/>
  <c r="H242" i="9"/>
  <c r="I242" i="9" s="1"/>
  <c r="H250" i="9"/>
  <c r="I250" i="9" s="1"/>
  <c r="H258" i="9"/>
  <c r="I258" i="9" s="1"/>
  <c r="H266" i="9"/>
  <c r="I266" i="9" s="1"/>
  <c r="H274" i="9"/>
  <c r="I274" i="9" s="1"/>
  <c r="H282" i="9"/>
  <c r="I282" i="9" s="1"/>
  <c r="H290" i="9"/>
  <c r="I290" i="9" s="1"/>
  <c r="H298" i="9"/>
  <c r="I298" i="9" s="1"/>
  <c r="H306" i="9"/>
  <c r="I306" i="9" s="1"/>
  <c r="H69" i="9"/>
  <c r="I69" i="9" s="1"/>
  <c r="H300" i="9"/>
  <c r="I300" i="9" s="1"/>
  <c r="H13" i="9"/>
  <c r="I13" i="9" s="1"/>
  <c r="H45" i="9"/>
  <c r="I45" i="9" s="1"/>
  <c r="H109" i="9"/>
  <c r="I109" i="9" s="1"/>
  <c r="H181" i="9"/>
  <c r="I181" i="9" s="1"/>
  <c r="H197" i="9"/>
  <c r="I197" i="9" s="1"/>
  <c r="H243" i="9"/>
  <c r="I243" i="9" s="1"/>
  <c r="H251" i="9"/>
  <c r="I251" i="9" s="1"/>
  <c r="H259" i="9"/>
  <c r="I259" i="9" s="1"/>
  <c r="H267" i="9"/>
  <c r="I267" i="9" s="1"/>
  <c r="H275" i="9"/>
  <c r="I275" i="9" s="1"/>
  <c r="H283" i="9"/>
  <c r="I283" i="9" s="1"/>
  <c r="H291" i="9"/>
  <c r="I291" i="9" s="1"/>
  <c r="H299" i="9"/>
  <c r="I299" i="9" s="1"/>
  <c r="H307" i="9"/>
  <c r="I307" i="9" s="1"/>
  <c r="B21" i="48"/>
  <c r="H12" i="9"/>
  <c r="O149" i="11" l="1"/>
  <c r="O142" i="11"/>
  <c r="O171" i="11"/>
  <c r="G177" i="34" s="1"/>
  <c r="G171" i="12" s="1"/>
  <c r="F171" i="39" s="1"/>
  <c r="O34" i="11"/>
  <c r="O133" i="11"/>
  <c r="G139" i="34" s="1"/>
  <c r="G133" i="12" s="1"/>
  <c r="F133" i="39" s="1"/>
  <c r="O26" i="11"/>
  <c r="G32" i="34" s="1"/>
  <c r="G26" i="12" s="1"/>
  <c r="F26" i="39" s="1"/>
  <c r="O263" i="11"/>
  <c r="O113" i="11"/>
  <c r="G119" i="34" s="1"/>
  <c r="G113" i="12" s="1"/>
  <c r="F113" i="39" s="1"/>
  <c r="O48" i="11"/>
  <c r="O200" i="11"/>
  <c r="O270" i="11"/>
  <c r="O78" i="11"/>
  <c r="O287" i="11"/>
  <c r="O85" i="11"/>
  <c r="G91" i="34" s="1"/>
  <c r="G85" i="12" s="1"/>
  <c r="F85" i="39" s="1"/>
  <c r="O145" i="11"/>
  <c r="O283" i="11"/>
  <c r="G289" i="34" s="1"/>
  <c r="G283" i="12" s="1"/>
  <c r="F283" i="39" s="1"/>
  <c r="O275" i="11"/>
  <c r="O290" i="11"/>
  <c r="O69" i="11"/>
  <c r="O119" i="11"/>
  <c r="O230" i="11"/>
  <c r="G236" i="34" s="1"/>
  <c r="G230" i="12" s="1"/>
  <c r="F230" i="39" s="1"/>
  <c r="O196" i="11"/>
  <c r="G202" i="34" s="1"/>
  <c r="G196" i="12" s="1"/>
  <c r="F196" i="39" s="1"/>
  <c r="O229" i="11"/>
  <c r="G235" i="34" s="1"/>
  <c r="G229" i="12" s="1"/>
  <c r="F229" i="39" s="1"/>
  <c r="O105" i="11"/>
  <c r="G111" i="34" s="1"/>
  <c r="G105" i="12" s="1"/>
  <c r="F105" i="39" s="1"/>
  <c r="O58" i="11"/>
  <c r="O293" i="11"/>
  <c r="G299" i="34" s="1"/>
  <c r="G293" i="12" s="1"/>
  <c r="F293" i="39" s="1"/>
  <c r="O268" i="11"/>
  <c r="G274" i="34" s="1"/>
  <c r="G268" i="12" s="1"/>
  <c r="F268" i="39" s="1"/>
  <c r="O301" i="11"/>
  <c r="O192" i="11"/>
  <c r="G198" i="34" s="1"/>
  <c r="G192" i="12" s="1"/>
  <c r="F192" i="39" s="1"/>
  <c r="O291" i="11"/>
  <c r="G297" i="34" s="1"/>
  <c r="G291" i="12" s="1"/>
  <c r="F291" i="39" s="1"/>
  <c r="O116" i="11"/>
  <c r="O294" i="11"/>
  <c r="G300" i="34" s="1"/>
  <c r="G294" i="12" s="1"/>
  <c r="F294" i="39" s="1"/>
  <c r="O44" i="11"/>
  <c r="G50" i="34" s="1"/>
  <c r="G44" i="12" s="1"/>
  <c r="F44" i="39" s="1"/>
  <c r="H306" i="11"/>
  <c r="O297" i="11"/>
  <c r="G303" i="34" s="1"/>
  <c r="G297" i="12" s="1"/>
  <c r="F297" i="39" s="1"/>
  <c r="G266" i="25"/>
  <c r="E267" i="39"/>
  <c r="D267" i="12"/>
  <c r="G263" i="25"/>
  <c r="D264" i="12"/>
  <c r="E264" i="39"/>
  <c r="G108" i="25"/>
  <c r="D109" i="54" s="1"/>
  <c r="E109" i="54" s="1"/>
  <c r="E109" i="39"/>
  <c r="D109" i="12"/>
  <c r="G106" i="25"/>
  <c r="E107" i="39"/>
  <c r="D107" i="12"/>
  <c r="G252" i="25"/>
  <c r="D253" i="54" s="1"/>
  <c r="E253" i="54" s="1"/>
  <c r="E253" i="39"/>
  <c r="D253" i="12"/>
  <c r="G293" i="25"/>
  <c r="D294" i="54" s="1"/>
  <c r="E294" i="54" s="1"/>
  <c r="D294" i="12"/>
  <c r="E294" i="39"/>
  <c r="G251" i="25"/>
  <c r="D252" i="54" s="1"/>
  <c r="E252" i="54" s="1"/>
  <c r="E252" i="39"/>
  <c r="D252" i="12"/>
  <c r="G298" i="25"/>
  <c r="D299" i="54" s="1"/>
  <c r="E299" i="54" s="1"/>
  <c r="D299" i="12"/>
  <c r="E299" i="39"/>
  <c r="G234" i="25"/>
  <c r="E235" i="39"/>
  <c r="D235" i="12"/>
  <c r="G281" i="25"/>
  <c r="E282" i="39"/>
  <c r="D282" i="12"/>
  <c r="G150" i="25"/>
  <c r="D151" i="54" s="1"/>
  <c r="E151" i="54" s="1"/>
  <c r="D151" i="12"/>
  <c r="E151" i="39"/>
  <c r="G288" i="25"/>
  <c r="E289" i="39"/>
  <c r="D289" i="12"/>
  <c r="G230" i="25"/>
  <c r="D231" i="54" s="1"/>
  <c r="E231" i="54" s="1"/>
  <c r="E231" i="39"/>
  <c r="D231" i="12"/>
  <c r="G295" i="25"/>
  <c r="D296" i="54" s="1"/>
  <c r="E296" i="54" s="1"/>
  <c r="E296" i="39"/>
  <c r="D296" i="12"/>
  <c r="G231" i="25"/>
  <c r="D232" i="54" s="1"/>
  <c r="E232" i="54" s="1"/>
  <c r="D232" i="12"/>
  <c r="E232" i="39"/>
  <c r="G294" i="25"/>
  <c r="D295" i="54" s="1"/>
  <c r="E295" i="54" s="1"/>
  <c r="D295" i="12"/>
  <c r="E295" i="39"/>
  <c r="G214" i="25"/>
  <c r="D215" i="12"/>
  <c r="E215" i="39"/>
  <c r="G181" i="25"/>
  <c r="E182" i="39"/>
  <c r="D182" i="12"/>
  <c r="G117" i="25"/>
  <c r="D118" i="54" s="1"/>
  <c r="E118" i="54" s="1"/>
  <c r="D118" i="12"/>
  <c r="E118" i="39"/>
  <c r="G53" i="25"/>
  <c r="E54" i="39"/>
  <c r="D54" i="12"/>
  <c r="G204" i="25"/>
  <c r="D205" i="54" s="1"/>
  <c r="E205" i="54" s="1"/>
  <c r="E205" i="39"/>
  <c r="D205" i="12"/>
  <c r="G140" i="25"/>
  <c r="D141" i="54" s="1"/>
  <c r="E141" i="54" s="1"/>
  <c r="E141" i="39"/>
  <c r="D141" i="12"/>
  <c r="G76" i="25"/>
  <c r="D77" i="54" s="1"/>
  <c r="E77" i="54" s="1"/>
  <c r="E77" i="39"/>
  <c r="D77" i="12"/>
  <c r="G12" i="25"/>
  <c r="E13" i="39"/>
  <c r="D13" i="12"/>
  <c r="G171" i="25"/>
  <c r="D172" i="12"/>
  <c r="E172" i="39"/>
  <c r="G107" i="25"/>
  <c r="D108" i="12"/>
  <c r="E108" i="39"/>
  <c r="G43" i="25"/>
  <c r="D44" i="54" s="1"/>
  <c r="E44" i="54" s="1"/>
  <c r="D44" i="12"/>
  <c r="E44" i="39"/>
  <c r="G202" i="25"/>
  <c r="E203" i="39"/>
  <c r="D203" i="12"/>
  <c r="G138" i="25"/>
  <c r="D139" i="54" s="1"/>
  <c r="E139" i="54" s="1"/>
  <c r="D139" i="12"/>
  <c r="E139" i="39"/>
  <c r="G74" i="25"/>
  <c r="D75" i="54" s="1"/>
  <c r="E75" i="54" s="1"/>
  <c r="E75" i="39"/>
  <c r="D75" i="12"/>
  <c r="G10" i="25"/>
  <c r="D11" i="54" s="1"/>
  <c r="E11" i="54" s="1"/>
  <c r="D11" i="12"/>
  <c r="E11" i="39"/>
  <c r="G169" i="25"/>
  <c r="D170" i="54" s="1"/>
  <c r="E170" i="54" s="1"/>
  <c r="E170" i="39"/>
  <c r="D170" i="12"/>
  <c r="G105" i="25"/>
  <c r="E106" i="39"/>
  <c r="D106" i="12"/>
  <c r="G41" i="25"/>
  <c r="D42" i="12"/>
  <c r="E42" i="39"/>
  <c r="G200" i="25"/>
  <c r="D201" i="54" s="1"/>
  <c r="E201" i="54" s="1"/>
  <c r="E201" i="39"/>
  <c r="D201" i="12"/>
  <c r="G136" i="25"/>
  <c r="E137" i="39"/>
  <c r="D137" i="12"/>
  <c r="G72" i="25"/>
  <c r="D73" i="54" s="1"/>
  <c r="E73" i="54" s="1"/>
  <c r="E73" i="39"/>
  <c r="D73" i="12"/>
  <c r="G8" i="25"/>
  <c r="D9" i="54" s="1"/>
  <c r="E9" i="54" s="1"/>
  <c r="E9" i="39"/>
  <c r="D9" i="12"/>
  <c r="G167" i="25"/>
  <c r="D168" i="54" s="1"/>
  <c r="E168" i="54" s="1"/>
  <c r="D168" i="12"/>
  <c r="E168" i="39"/>
  <c r="G103" i="25"/>
  <c r="D104" i="54" s="1"/>
  <c r="E104" i="54" s="1"/>
  <c r="D104" i="12"/>
  <c r="E104" i="39"/>
  <c r="G39" i="25"/>
  <c r="D40" i="12"/>
  <c r="E40" i="39"/>
  <c r="G283" i="25"/>
  <c r="E284" i="39"/>
  <c r="D284" i="12"/>
  <c r="G262" i="25"/>
  <c r="D263" i="54" s="1"/>
  <c r="E263" i="54" s="1"/>
  <c r="D263" i="12"/>
  <c r="E263" i="39"/>
  <c r="G244" i="25"/>
  <c r="E245" i="39"/>
  <c r="D245" i="12"/>
  <c r="G62" i="25"/>
  <c r="D63" i="54" s="1"/>
  <c r="E63" i="54" s="1"/>
  <c r="D63" i="12"/>
  <c r="E63" i="39"/>
  <c r="G243" i="25"/>
  <c r="D244" i="54" s="1"/>
  <c r="E244" i="54" s="1"/>
  <c r="D244" i="12"/>
  <c r="E244" i="39"/>
  <c r="G290" i="25"/>
  <c r="D291" i="54" s="1"/>
  <c r="E291" i="54" s="1"/>
  <c r="D291" i="12"/>
  <c r="E291" i="39"/>
  <c r="G118" i="25"/>
  <c r="D119" i="54" s="1"/>
  <c r="E119" i="54" s="1"/>
  <c r="D119" i="12"/>
  <c r="E119" i="39"/>
  <c r="G273" i="25"/>
  <c r="E274" i="39"/>
  <c r="D274" i="12"/>
  <c r="G134" i="25"/>
  <c r="D135" i="12"/>
  <c r="E135" i="39"/>
  <c r="G280" i="25"/>
  <c r="D281" i="54" s="1"/>
  <c r="E281" i="54" s="1"/>
  <c r="E281" i="39"/>
  <c r="D281" i="12"/>
  <c r="G228" i="25"/>
  <c r="E229" i="39"/>
  <c r="D229" i="12"/>
  <c r="G287" i="25"/>
  <c r="D288" i="54" s="1"/>
  <c r="E288" i="54" s="1"/>
  <c r="E288" i="39"/>
  <c r="D288" i="12"/>
  <c r="G110" i="25"/>
  <c r="D111" i="54" s="1"/>
  <c r="E111" i="54" s="1"/>
  <c r="D111" i="12"/>
  <c r="E111" i="39"/>
  <c r="G286" i="25"/>
  <c r="D287" i="54" s="1"/>
  <c r="E287" i="54" s="1"/>
  <c r="D287" i="12"/>
  <c r="E287" i="39"/>
  <c r="G86" i="25"/>
  <c r="D87" i="54" s="1"/>
  <c r="E87" i="54" s="1"/>
  <c r="E87" i="39"/>
  <c r="D87" i="12"/>
  <c r="G173" i="25"/>
  <c r="E174" i="39"/>
  <c r="D174" i="12"/>
  <c r="G109" i="25"/>
  <c r="D110" i="12"/>
  <c r="E110" i="39"/>
  <c r="G45" i="25"/>
  <c r="D46" i="54" s="1"/>
  <c r="E46" i="54" s="1"/>
  <c r="E46" i="39"/>
  <c r="D46" i="12"/>
  <c r="G196" i="25"/>
  <c r="E197" i="39"/>
  <c r="D197" i="12"/>
  <c r="G132" i="25"/>
  <c r="D133" i="54" s="1"/>
  <c r="E133" i="54" s="1"/>
  <c r="E133" i="39"/>
  <c r="D133" i="12"/>
  <c r="G68" i="25"/>
  <c r="D69" i="54" s="1"/>
  <c r="E69" i="54" s="1"/>
  <c r="E69" i="39"/>
  <c r="D69" i="12"/>
  <c r="G227" i="25"/>
  <c r="D228" i="54" s="1"/>
  <c r="E228" i="54" s="1"/>
  <c r="D228" i="12"/>
  <c r="E228" i="39"/>
  <c r="G163" i="25"/>
  <c r="D164" i="12"/>
  <c r="E164" i="39"/>
  <c r="G99" i="25"/>
  <c r="E100" i="39"/>
  <c r="D100" i="12"/>
  <c r="G35" i="25"/>
  <c r="D36" i="12"/>
  <c r="E36" i="39"/>
  <c r="G194" i="25"/>
  <c r="D195" i="54" s="1"/>
  <c r="E195" i="54" s="1"/>
  <c r="E195" i="39"/>
  <c r="D195" i="12"/>
  <c r="G130" i="25"/>
  <c r="D131" i="12"/>
  <c r="E131" i="39"/>
  <c r="G66" i="25"/>
  <c r="D67" i="54" s="1"/>
  <c r="E67" i="54" s="1"/>
  <c r="D67" i="12"/>
  <c r="E67" i="39"/>
  <c r="G225" i="25"/>
  <c r="D226" i="54" s="1"/>
  <c r="E226" i="54" s="1"/>
  <c r="E226" i="39"/>
  <c r="D226" i="12"/>
  <c r="G161" i="25"/>
  <c r="D162" i="54" s="1"/>
  <c r="E162" i="54" s="1"/>
  <c r="E162" i="39"/>
  <c r="D162" i="12"/>
  <c r="G97" i="25"/>
  <c r="D98" i="54" s="1"/>
  <c r="E98" i="54" s="1"/>
  <c r="E98" i="39"/>
  <c r="D98" i="12"/>
  <c r="G33" i="25"/>
  <c r="E34" i="39"/>
  <c r="D34" i="12"/>
  <c r="G192" i="25"/>
  <c r="E193" i="39"/>
  <c r="D193" i="12"/>
  <c r="G128" i="25"/>
  <c r="D129" i="54" s="1"/>
  <c r="E129" i="54" s="1"/>
  <c r="E129" i="39"/>
  <c r="D129" i="12"/>
  <c r="G64" i="25"/>
  <c r="E65" i="39"/>
  <c r="D65" i="12"/>
  <c r="G223" i="25"/>
  <c r="D224" i="54" s="1"/>
  <c r="E224" i="54" s="1"/>
  <c r="D224" i="12"/>
  <c r="E224" i="39"/>
  <c r="G159" i="25"/>
  <c r="D160" i="54" s="1"/>
  <c r="E160" i="54" s="1"/>
  <c r="D160" i="12"/>
  <c r="E160" i="39"/>
  <c r="G95" i="25"/>
  <c r="D96" i="54" s="1"/>
  <c r="E96" i="54" s="1"/>
  <c r="D96" i="12"/>
  <c r="E96" i="39"/>
  <c r="G31" i="25"/>
  <c r="D32" i="12"/>
  <c r="E32" i="39"/>
  <c r="G174" i="25"/>
  <c r="D175" i="12"/>
  <c r="E175" i="39"/>
  <c r="G249" i="25"/>
  <c r="E250" i="39"/>
  <c r="D250" i="12"/>
  <c r="G269" i="25"/>
  <c r="D270" i="54" s="1"/>
  <c r="E270" i="54" s="1"/>
  <c r="E270" i="39"/>
  <c r="D270" i="12"/>
  <c r="G172" i="25"/>
  <c r="E173" i="39"/>
  <c r="D173" i="12"/>
  <c r="G139" i="25"/>
  <c r="D140" i="54" s="1"/>
  <c r="E140" i="54" s="1"/>
  <c r="D140" i="12"/>
  <c r="E140" i="39"/>
  <c r="G75" i="25"/>
  <c r="D76" i="54" s="1"/>
  <c r="E76" i="54" s="1"/>
  <c r="D76" i="12"/>
  <c r="E76" i="39"/>
  <c r="G300" i="25"/>
  <c r="D301" i="54" s="1"/>
  <c r="E301" i="54" s="1"/>
  <c r="E301" i="39"/>
  <c r="D301" i="12"/>
  <c r="G236" i="25"/>
  <c r="D237" i="54" s="1"/>
  <c r="E237" i="54" s="1"/>
  <c r="E237" i="39"/>
  <c r="D237" i="12"/>
  <c r="G299" i="25"/>
  <c r="E300" i="39"/>
  <c r="D300" i="12"/>
  <c r="G235" i="25"/>
  <c r="D236" i="12"/>
  <c r="E236" i="39"/>
  <c r="G282" i="25"/>
  <c r="D283" i="54" s="1"/>
  <c r="E283" i="54" s="1"/>
  <c r="D283" i="12"/>
  <c r="E283" i="39"/>
  <c r="G54" i="25"/>
  <c r="E55" i="39"/>
  <c r="D55" i="12"/>
  <c r="G265" i="25"/>
  <c r="D266" i="54" s="1"/>
  <c r="E266" i="54" s="1"/>
  <c r="E266" i="39"/>
  <c r="D266" i="12"/>
  <c r="G94" i="25"/>
  <c r="D95" i="54" s="1"/>
  <c r="E95" i="54" s="1"/>
  <c r="D95" i="12"/>
  <c r="E95" i="39"/>
  <c r="G272" i="25"/>
  <c r="D273" i="54" s="1"/>
  <c r="E273" i="54" s="1"/>
  <c r="E273" i="39"/>
  <c r="D273" i="12"/>
  <c r="G198" i="25"/>
  <c r="D199" i="54" s="1"/>
  <c r="E199" i="54" s="1"/>
  <c r="D199" i="12"/>
  <c r="E199" i="39"/>
  <c r="G279" i="25"/>
  <c r="E280" i="39"/>
  <c r="D280" i="12"/>
  <c r="G46" i="25"/>
  <c r="E47" i="39"/>
  <c r="D47" i="12"/>
  <c r="G278" i="25"/>
  <c r="D279" i="54" s="1"/>
  <c r="E279" i="54" s="1"/>
  <c r="D279" i="12"/>
  <c r="E279" i="39"/>
  <c r="G229" i="25"/>
  <c r="E230" i="39"/>
  <c r="D230" i="12"/>
  <c r="G165" i="25"/>
  <c r="D166" i="54" s="1"/>
  <c r="E166" i="54" s="1"/>
  <c r="D166" i="12"/>
  <c r="E166" i="39"/>
  <c r="G101" i="25"/>
  <c r="D102" i="54" s="1"/>
  <c r="E102" i="54" s="1"/>
  <c r="D102" i="12"/>
  <c r="E102" i="39"/>
  <c r="G37" i="25"/>
  <c r="D38" i="54" s="1"/>
  <c r="E38" i="54" s="1"/>
  <c r="E38" i="39"/>
  <c r="D38" i="12"/>
  <c r="G188" i="25"/>
  <c r="D189" i="54" s="1"/>
  <c r="E189" i="54" s="1"/>
  <c r="E189" i="39"/>
  <c r="D189" i="12"/>
  <c r="G124" i="25"/>
  <c r="E125" i="39"/>
  <c r="D125" i="12"/>
  <c r="G60" i="25"/>
  <c r="E61" i="39"/>
  <c r="D61" i="12"/>
  <c r="G219" i="25"/>
  <c r="D220" i="54" s="1"/>
  <c r="E220" i="54" s="1"/>
  <c r="D220" i="12"/>
  <c r="E220" i="39"/>
  <c r="G155" i="25"/>
  <c r="E156" i="39"/>
  <c r="D156" i="12"/>
  <c r="G91" i="25"/>
  <c r="D92" i="54" s="1"/>
  <c r="E92" i="54" s="1"/>
  <c r="E92" i="39"/>
  <c r="D92" i="12"/>
  <c r="G27" i="25"/>
  <c r="D28" i="54" s="1"/>
  <c r="E28" i="54" s="1"/>
  <c r="D28" i="12"/>
  <c r="E28" i="39"/>
  <c r="G186" i="25"/>
  <c r="D187" i="54" s="1"/>
  <c r="E187" i="54" s="1"/>
  <c r="E187" i="39"/>
  <c r="D187" i="12"/>
  <c r="G122" i="25"/>
  <c r="D123" i="12"/>
  <c r="E123" i="39"/>
  <c r="G58" i="25"/>
  <c r="E59" i="39"/>
  <c r="D59" i="12"/>
  <c r="G217" i="25"/>
  <c r="E218" i="39"/>
  <c r="D218" i="12"/>
  <c r="G153" i="25"/>
  <c r="D154" i="54" s="1"/>
  <c r="E154" i="54" s="1"/>
  <c r="D154" i="12"/>
  <c r="E154" i="39"/>
  <c r="G89" i="25"/>
  <c r="D90" i="12"/>
  <c r="E90" i="39"/>
  <c r="G25" i="25"/>
  <c r="D26" i="54" s="1"/>
  <c r="E26" i="54" s="1"/>
  <c r="D26" i="12"/>
  <c r="E26" i="39"/>
  <c r="G184" i="25"/>
  <c r="D185" i="54" s="1"/>
  <c r="E185" i="54" s="1"/>
  <c r="E185" i="39"/>
  <c r="D185" i="12"/>
  <c r="G120" i="25"/>
  <c r="D121" i="54" s="1"/>
  <c r="E121" i="54" s="1"/>
  <c r="E121" i="39"/>
  <c r="D121" i="12"/>
  <c r="G56" i="25"/>
  <c r="D57" i="54" s="1"/>
  <c r="E57" i="54" s="1"/>
  <c r="E57" i="39"/>
  <c r="D57" i="12"/>
  <c r="G215" i="25"/>
  <c r="D216" i="12"/>
  <c r="E216" i="39"/>
  <c r="G151" i="25"/>
  <c r="D152" i="12"/>
  <c r="E152" i="39"/>
  <c r="G87" i="25"/>
  <c r="D88" i="54" s="1"/>
  <c r="E88" i="54" s="1"/>
  <c r="D88" i="12"/>
  <c r="E88" i="39"/>
  <c r="G23" i="25"/>
  <c r="D24" i="12"/>
  <c r="E24" i="39"/>
  <c r="G277" i="25"/>
  <c r="D278" i="54" s="1"/>
  <c r="E278" i="54" s="1"/>
  <c r="D278" i="12"/>
  <c r="E278" i="39"/>
  <c r="G213" i="25"/>
  <c r="D214" i="54" s="1"/>
  <c r="E214" i="54" s="1"/>
  <c r="E214" i="39"/>
  <c r="D214" i="12"/>
  <c r="G44" i="25"/>
  <c r="D45" i="54" s="1"/>
  <c r="E45" i="54" s="1"/>
  <c r="E45" i="39"/>
  <c r="D45" i="12"/>
  <c r="G170" i="25"/>
  <c r="D171" i="54" s="1"/>
  <c r="E171" i="54" s="1"/>
  <c r="E171" i="39"/>
  <c r="D171" i="12"/>
  <c r="G292" i="25"/>
  <c r="E293" i="39"/>
  <c r="D293" i="12"/>
  <c r="G190" i="25"/>
  <c r="D191" i="12"/>
  <c r="E191" i="39"/>
  <c r="G291" i="25"/>
  <c r="D292" i="54" s="1"/>
  <c r="E292" i="54" s="1"/>
  <c r="D292" i="12"/>
  <c r="E292" i="39"/>
  <c r="G206" i="25"/>
  <c r="D207" i="12"/>
  <c r="E207" i="39"/>
  <c r="G274" i="25"/>
  <c r="D275" i="54" s="1"/>
  <c r="E275" i="54" s="1"/>
  <c r="D275" i="12"/>
  <c r="E275" i="39"/>
  <c r="G301" i="25"/>
  <c r="D302" i="54" s="1"/>
  <c r="E302" i="54" s="1"/>
  <c r="D302" i="12"/>
  <c r="E302" i="39"/>
  <c r="G257" i="25"/>
  <c r="D258" i="54" s="1"/>
  <c r="E258" i="54" s="1"/>
  <c r="E258" i="39"/>
  <c r="D258" i="12"/>
  <c r="G30" i="25"/>
  <c r="D31" i="12"/>
  <c r="E31" i="39"/>
  <c r="G264" i="25"/>
  <c r="E265" i="39"/>
  <c r="D265" i="12"/>
  <c r="G182" i="25"/>
  <c r="D183" i="12"/>
  <c r="E183" i="39"/>
  <c r="G271" i="25"/>
  <c r="D272" i="12"/>
  <c r="E272" i="39"/>
  <c r="G285" i="25"/>
  <c r="E286" i="39"/>
  <c r="D286" i="12"/>
  <c r="G270" i="25"/>
  <c r="D271" i="54" s="1"/>
  <c r="E271" i="54" s="1"/>
  <c r="E271" i="39"/>
  <c r="D271" i="12"/>
  <c r="G221" i="25"/>
  <c r="D222" i="54" s="1"/>
  <c r="E222" i="54" s="1"/>
  <c r="E222" i="39"/>
  <c r="D222" i="12"/>
  <c r="G157" i="25"/>
  <c r="D158" i="54" s="1"/>
  <c r="E158" i="54" s="1"/>
  <c r="D158" i="12"/>
  <c r="E158" i="39"/>
  <c r="G93" i="25"/>
  <c r="D94" i="12"/>
  <c r="E94" i="39"/>
  <c r="G29" i="25"/>
  <c r="E30" i="39"/>
  <c r="D30" i="12"/>
  <c r="G180" i="25"/>
  <c r="E181" i="39"/>
  <c r="D181" i="12"/>
  <c r="G116" i="25"/>
  <c r="D117" i="54" s="1"/>
  <c r="E117" i="54" s="1"/>
  <c r="E117" i="39"/>
  <c r="D117" i="12"/>
  <c r="G52" i="25"/>
  <c r="E53" i="39"/>
  <c r="D53" i="12"/>
  <c r="G211" i="25"/>
  <c r="D212" i="54" s="1"/>
  <c r="E212" i="54" s="1"/>
  <c r="D212" i="12"/>
  <c r="E212" i="39"/>
  <c r="G147" i="25"/>
  <c r="D148" i="54" s="1"/>
  <c r="E148" i="54" s="1"/>
  <c r="E148" i="39"/>
  <c r="D148" i="12"/>
  <c r="G83" i="25"/>
  <c r="D84" i="54" s="1"/>
  <c r="E84" i="54" s="1"/>
  <c r="D84" i="12"/>
  <c r="E84" i="39"/>
  <c r="G19" i="25"/>
  <c r="D20" i="54" s="1"/>
  <c r="E20" i="54" s="1"/>
  <c r="D20" i="12"/>
  <c r="E20" i="39"/>
  <c r="G178" i="25"/>
  <c r="D179" i="12"/>
  <c r="E179" i="39"/>
  <c r="G114" i="25"/>
  <c r="D115" i="12"/>
  <c r="E115" i="39"/>
  <c r="G50" i="25"/>
  <c r="D51" i="54" s="1"/>
  <c r="E51" i="54" s="1"/>
  <c r="E51" i="39"/>
  <c r="D51" i="12"/>
  <c r="G209" i="25"/>
  <c r="E210" i="39"/>
  <c r="D210" i="12"/>
  <c r="G145" i="25"/>
  <c r="D146" i="54" s="1"/>
  <c r="E146" i="54" s="1"/>
  <c r="E146" i="39"/>
  <c r="D146" i="12"/>
  <c r="G81" i="25"/>
  <c r="D82" i="54" s="1"/>
  <c r="E82" i="54" s="1"/>
  <c r="E82" i="39"/>
  <c r="D82" i="12"/>
  <c r="G17" i="25"/>
  <c r="D18" i="54" s="1"/>
  <c r="E18" i="54" s="1"/>
  <c r="E18" i="39"/>
  <c r="D18" i="12"/>
  <c r="G176" i="25"/>
  <c r="D177" i="54" s="1"/>
  <c r="E177" i="54" s="1"/>
  <c r="D177" i="12"/>
  <c r="E177" i="39"/>
  <c r="G112" i="25"/>
  <c r="E113" i="39"/>
  <c r="D113" i="12"/>
  <c r="G48" i="25"/>
  <c r="E49" i="39"/>
  <c r="D49" i="12"/>
  <c r="G207" i="25"/>
  <c r="D208" i="54" s="1"/>
  <c r="E208" i="54" s="1"/>
  <c r="D208" i="12"/>
  <c r="E208" i="39"/>
  <c r="G143" i="25"/>
  <c r="E144" i="39"/>
  <c r="D144" i="12"/>
  <c r="G79" i="25"/>
  <c r="D80" i="54" s="1"/>
  <c r="E80" i="54" s="1"/>
  <c r="D80" i="12"/>
  <c r="E80" i="39"/>
  <c r="G15" i="25"/>
  <c r="D16" i="54" s="1"/>
  <c r="E16" i="54" s="1"/>
  <c r="D16" i="12"/>
  <c r="E16" i="39"/>
  <c r="G137" i="25"/>
  <c r="D138" i="54" s="1"/>
  <c r="E138" i="54" s="1"/>
  <c r="E138" i="39"/>
  <c r="D138" i="12"/>
  <c r="G73" i="25"/>
  <c r="D74" i="54" s="1"/>
  <c r="E74" i="54" s="1"/>
  <c r="E74" i="39"/>
  <c r="D74" i="12"/>
  <c r="G9" i="25"/>
  <c r="E10" i="39"/>
  <c r="D10" i="12"/>
  <c r="G168" i="25"/>
  <c r="E169" i="39"/>
  <c r="D169" i="12"/>
  <c r="G104" i="25"/>
  <c r="D105" i="54" s="1"/>
  <c r="E105" i="54" s="1"/>
  <c r="E105" i="39"/>
  <c r="D105" i="12"/>
  <c r="G40" i="25"/>
  <c r="E41" i="39"/>
  <c r="D41" i="12"/>
  <c r="G199" i="25"/>
  <c r="D200" i="54" s="1"/>
  <c r="E200" i="54" s="1"/>
  <c r="E200" i="39"/>
  <c r="D200" i="12"/>
  <c r="G135" i="25"/>
  <c r="D136" i="54" s="1"/>
  <c r="E136" i="54" s="1"/>
  <c r="D136" i="12"/>
  <c r="E136" i="39"/>
  <c r="G71" i="25"/>
  <c r="D72" i="54" s="1"/>
  <c r="E72" i="54" s="1"/>
  <c r="D72" i="12"/>
  <c r="E72" i="39"/>
  <c r="G7" i="25"/>
  <c r="D8" i="54" s="1"/>
  <c r="E8" i="54" s="1"/>
  <c r="D8" i="12"/>
  <c r="E8" i="39"/>
  <c r="G284" i="25"/>
  <c r="E285" i="39"/>
  <c r="D285" i="12"/>
  <c r="G14" i="25"/>
  <c r="E15" i="39"/>
  <c r="D15" i="12"/>
  <c r="G85" i="25"/>
  <c r="D86" i="54" s="1"/>
  <c r="E86" i="54" s="1"/>
  <c r="E86" i="39"/>
  <c r="D86" i="12"/>
  <c r="G201" i="25"/>
  <c r="E202" i="39"/>
  <c r="D202" i="12"/>
  <c r="G276" i="25"/>
  <c r="D277" i="54" s="1"/>
  <c r="E277" i="54" s="1"/>
  <c r="E277" i="39"/>
  <c r="D277" i="12"/>
  <c r="G102" i="25"/>
  <c r="D103" i="54" s="1"/>
  <c r="E103" i="54" s="1"/>
  <c r="D103" i="12"/>
  <c r="E103" i="39"/>
  <c r="G275" i="25"/>
  <c r="D276" i="54" s="1"/>
  <c r="E276" i="54" s="1"/>
  <c r="D276" i="12"/>
  <c r="E276" i="39"/>
  <c r="G237" i="25"/>
  <c r="D238" i="54" s="1"/>
  <c r="E238" i="54" s="1"/>
  <c r="E238" i="39"/>
  <c r="D238" i="12"/>
  <c r="G258" i="25"/>
  <c r="D259" i="12"/>
  <c r="E259" i="39"/>
  <c r="G253" i="25"/>
  <c r="E254" i="39"/>
  <c r="D254" i="12"/>
  <c r="G241" i="25"/>
  <c r="D242" i="54" s="1"/>
  <c r="E242" i="54" s="1"/>
  <c r="E242" i="39"/>
  <c r="D242" i="12"/>
  <c r="G245" i="25"/>
  <c r="E246" i="39"/>
  <c r="D246" i="12"/>
  <c r="G248" i="25"/>
  <c r="D249" i="54" s="1"/>
  <c r="E249" i="54" s="1"/>
  <c r="D249" i="12"/>
  <c r="E249" i="39"/>
  <c r="G70" i="25"/>
  <c r="D71" i="54" s="1"/>
  <c r="E71" i="54" s="1"/>
  <c r="E71" i="39"/>
  <c r="D71" i="12"/>
  <c r="G255" i="25"/>
  <c r="D256" i="54" s="1"/>
  <c r="E256" i="54" s="1"/>
  <c r="D256" i="12"/>
  <c r="E256" i="39"/>
  <c r="G142" i="25"/>
  <c r="D143" i="12"/>
  <c r="E143" i="39"/>
  <c r="G254" i="25"/>
  <c r="D255" i="12"/>
  <c r="E255" i="39"/>
  <c r="G205" i="25"/>
  <c r="E206" i="39"/>
  <c r="D206" i="12"/>
  <c r="G141" i="25"/>
  <c r="D142" i="54" s="1"/>
  <c r="E142" i="54" s="1"/>
  <c r="D142" i="12"/>
  <c r="E142" i="39"/>
  <c r="G77" i="25"/>
  <c r="D78" i="12"/>
  <c r="E78" i="39"/>
  <c r="G13" i="25"/>
  <c r="D14" i="54" s="1"/>
  <c r="E14" i="54" s="1"/>
  <c r="E14" i="39"/>
  <c r="D14" i="12"/>
  <c r="G164" i="25"/>
  <c r="D165" i="54" s="1"/>
  <c r="E165" i="54" s="1"/>
  <c r="E165" i="39"/>
  <c r="D165" i="12"/>
  <c r="G100" i="25"/>
  <c r="D101" i="54" s="1"/>
  <c r="E101" i="54" s="1"/>
  <c r="E101" i="39"/>
  <c r="D101" i="12"/>
  <c r="G36" i="25"/>
  <c r="D37" i="54" s="1"/>
  <c r="E37" i="54" s="1"/>
  <c r="E37" i="39"/>
  <c r="D37" i="12"/>
  <c r="G195" i="25"/>
  <c r="D196" i="12"/>
  <c r="E196" i="39"/>
  <c r="G131" i="25"/>
  <c r="E132" i="39"/>
  <c r="D132" i="12"/>
  <c r="G67" i="25"/>
  <c r="D68" i="54" s="1"/>
  <c r="E68" i="54" s="1"/>
  <c r="D68" i="12"/>
  <c r="E68" i="39"/>
  <c r="G226" i="25"/>
  <c r="E227" i="39"/>
  <c r="D227" i="12"/>
  <c r="G162" i="25"/>
  <c r="D163" i="54" s="1"/>
  <c r="E163" i="54" s="1"/>
  <c r="E163" i="39"/>
  <c r="D163" i="12"/>
  <c r="G98" i="25"/>
  <c r="D99" i="54" s="1"/>
  <c r="E99" i="54" s="1"/>
  <c r="D99" i="12"/>
  <c r="E99" i="39"/>
  <c r="G34" i="25"/>
  <c r="D35" i="54" s="1"/>
  <c r="E35" i="54" s="1"/>
  <c r="E35" i="39"/>
  <c r="D35" i="12"/>
  <c r="G193" i="25"/>
  <c r="D194" i="54" s="1"/>
  <c r="E194" i="54" s="1"/>
  <c r="E194" i="39"/>
  <c r="D194" i="12"/>
  <c r="G129" i="25"/>
  <c r="E130" i="39"/>
  <c r="D130" i="12"/>
  <c r="G65" i="25"/>
  <c r="E66" i="39"/>
  <c r="D66" i="12"/>
  <c r="G224" i="25"/>
  <c r="D225" i="54" s="1"/>
  <c r="E225" i="54" s="1"/>
  <c r="D225" i="12"/>
  <c r="E225" i="39"/>
  <c r="G160" i="25"/>
  <c r="D161" i="12"/>
  <c r="E161" i="39"/>
  <c r="G96" i="25"/>
  <c r="D97" i="54" s="1"/>
  <c r="E97" i="54" s="1"/>
  <c r="E97" i="39"/>
  <c r="D97" i="12"/>
  <c r="G32" i="25"/>
  <c r="D33" i="54" s="1"/>
  <c r="E33" i="54" s="1"/>
  <c r="E33" i="39"/>
  <c r="D33" i="12"/>
  <c r="G191" i="25"/>
  <c r="D192" i="54" s="1"/>
  <c r="E192" i="54" s="1"/>
  <c r="D192" i="12"/>
  <c r="E192" i="39"/>
  <c r="G127" i="25"/>
  <c r="D128" i="54" s="1"/>
  <c r="E128" i="54" s="1"/>
  <c r="D128" i="12"/>
  <c r="E128" i="39"/>
  <c r="G63" i="25"/>
  <c r="D64" i="12"/>
  <c r="E64" i="39"/>
  <c r="G78" i="25"/>
  <c r="D79" i="12"/>
  <c r="E79" i="39"/>
  <c r="G166" i="25"/>
  <c r="D167" i="54" s="1"/>
  <c r="E167" i="54" s="1"/>
  <c r="D167" i="12"/>
  <c r="E167" i="39"/>
  <c r="G149" i="25"/>
  <c r="D150" i="12"/>
  <c r="E150" i="39"/>
  <c r="G203" i="25"/>
  <c r="D204" i="54" s="1"/>
  <c r="E204" i="54" s="1"/>
  <c r="D204" i="12"/>
  <c r="E204" i="39"/>
  <c r="G11" i="25"/>
  <c r="D12" i="54" s="1"/>
  <c r="E12" i="54" s="1"/>
  <c r="D12" i="12"/>
  <c r="E12" i="39"/>
  <c r="G268" i="25"/>
  <c r="D269" i="54" s="1"/>
  <c r="E269" i="54" s="1"/>
  <c r="E269" i="39"/>
  <c r="D269" i="12"/>
  <c r="G267" i="25"/>
  <c r="D268" i="54" s="1"/>
  <c r="E268" i="54" s="1"/>
  <c r="D268" i="12"/>
  <c r="E268" i="39"/>
  <c r="G158" i="25"/>
  <c r="D159" i="12"/>
  <c r="E159" i="39"/>
  <c r="G250" i="25"/>
  <c r="D251" i="54" s="1"/>
  <c r="E251" i="54" s="1"/>
  <c r="E251" i="39"/>
  <c r="D251" i="12"/>
  <c r="G297" i="25"/>
  <c r="D298" i="54" s="1"/>
  <c r="E298" i="54" s="1"/>
  <c r="D298" i="12"/>
  <c r="E298" i="39"/>
  <c r="G233" i="25"/>
  <c r="E234" i="39"/>
  <c r="D234" i="12"/>
  <c r="G304" i="25"/>
  <c r="D305" i="54" s="1"/>
  <c r="E305" i="54" s="1"/>
  <c r="E305" i="39"/>
  <c r="D305" i="12"/>
  <c r="G240" i="25"/>
  <c r="D241" i="54" s="1"/>
  <c r="E241" i="54" s="1"/>
  <c r="D241" i="12"/>
  <c r="E241" i="39"/>
  <c r="G261" i="25"/>
  <c r="D262" i="54" s="1"/>
  <c r="E262" i="54" s="1"/>
  <c r="E262" i="39"/>
  <c r="D262" i="12"/>
  <c r="G247" i="25"/>
  <c r="D248" i="54" s="1"/>
  <c r="E248" i="54" s="1"/>
  <c r="D248" i="12"/>
  <c r="E248" i="39"/>
  <c r="G126" i="25"/>
  <c r="D127" i="54" s="1"/>
  <c r="E127" i="54" s="1"/>
  <c r="D127" i="12"/>
  <c r="E127" i="39"/>
  <c r="G246" i="25"/>
  <c r="D247" i="12"/>
  <c r="E247" i="39"/>
  <c r="G197" i="25"/>
  <c r="D198" i="54" s="1"/>
  <c r="E198" i="54" s="1"/>
  <c r="E198" i="39"/>
  <c r="D198" i="12"/>
  <c r="G133" i="25"/>
  <c r="D134" i="12"/>
  <c r="E134" i="39"/>
  <c r="G69" i="25"/>
  <c r="D70" i="54" s="1"/>
  <c r="E70" i="54" s="1"/>
  <c r="D70" i="12"/>
  <c r="E70" i="39"/>
  <c r="G220" i="25"/>
  <c r="D221" i="54" s="1"/>
  <c r="E221" i="54" s="1"/>
  <c r="E221" i="39"/>
  <c r="D221" i="12"/>
  <c r="G156" i="25"/>
  <c r="D157" i="54" s="1"/>
  <c r="E157" i="54" s="1"/>
  <c r="D157" i="12"/>
  <c r="E157" i="39"/>
  <c r="G92" i="25"/>
  <c r="D93" i="54" s="1"/>
  <c r="E93" i="54" s="1"/>
  <c r="E93" i="39"/>
  <c r="D93" i="12"/>
  <c r="G28" i="25"/>
  <c r="E29" i="39"/>
  <c r="D29" i="12"/>
  <c r="G187" i="25"/>
  <c r="D188" i="12"/>
  <c r="E188" i="39"/>
  <c r="G123" i="25"/>
  <c r="D124" i="54" s="1"/>
  <c r="E124" i="54" s="1"/>
  <c r="E124" i="39"/>
  <c r="D124" i="12"/>
  <c r="G59" i="25"/>
  <c r="D60" i="12"/>
  <c r="E60" i="39"/>
  <c r="G218" i="25"/>
  <c r="D219" i="54" s="1"/>
  <c r="E219" i="54" s="1"/>
  <c r="E219" i="39"/>
  <c r="D219" i="12"/>
  <c r="G154" i="25"/>
  <c r="D155" i="54" s="1"/>
  <c r="E155" i="54" s="1"/>
  <c r="D155" i="12"/>
  <c r="E155" i="39"/>
  <c r="G90" i="25"/>
  <c r="D91" i="54" s="1"/>
  <c r="E91" i="54" s="1"/>
  <c r="E91" i="39"/>
  <c r="D91" i="12"/>
  <c r="G26" i="25"/>
  <c r="D27" i="12"/>
  <c r="E27" i="39"/>
  <c r="G185" i="25"/>
  <c r="E186" i="39"/>
  <c r="D186" i="12"/>
  <c r="G121" i="25"/>
  <c r="D122" i="12"/>
  <c r="E122" i="39"/>
  <c r="G57" i="25"/>
  <c r="D58" i="54" s="1"/>
  <c r="E58" i="54" s="1"/>
  <c r="D58" i="12"/>
  <c r="E58" i="39"/>
  <c r="G216" i="25"/>
  <c r="D217" i="12"/>
  <c r="E217" i="39"/>
  <c r="G152" i="25"/>
  <c r="D153" i="54" s="1"/>
  <c r="E153" i="54" s="1"/>
  <c r="E153" i="39"/>
  <c r="D153" i="12"/>
  <c r="G88" i="25"/>
  <c r="D89" i="54" s="1"/>
  <c r="E89" i="54" s="1"/>
  <c r="D89" i="12"/>
  <c r="E89" i="39"/>
  <c r="G24" i="25"/>
  <c r="D25" i="54" s="1"/>
  <c r="E25" i="54" s="1"/>
  <c r="E25" i="39"/>
  <c r="D25" i="12"/>
  <c r="G183" i="25"/>
  <c r="D184" i="54" s="1"/>
  <c r="E184" i="54" s="1"/>
  <c r="D184" i="12"/>
  <c r="E184" i="39"/>
  <c r="G119" i="25"/>
  <c r="E120" i="39"/>
  <c r="D120" i="12"/>
  <c r="G55" i="25"/>
  <c r="D56" i="54" s="1"/>
  <c r="E56" i="54" s="1"/>
  <c r="D56" i="12"/>
  <c r="E56" i="39"/>
  <c r="G256" i="25"/>
  <c r="D257" i="54" s="1"/>
  <c r="E257" i="54" s="1"/>
  <c r="E257" i="39"/>
  <c r="D257" i="12"/>
  <c r="G21" i="25"/>
  <c r="D22" i="54" s="1"/>
  <c r="E22" i="54" s="1"/>
  <c r="E22" i="39"/>
  <c r="D22" i="12"/>
  <c r="G42" i="25"/>
  <c r="D43" i="54" s="1"/>
  <c r="E43" i="54" s="1"/>
  <c r="D43" i="12"/>
  <c r="E43" i="39"/>
  <c r="G38" i="25"/>
  <c r="D39" i="54" s="1"/>
  <c r="E39" i="54" s="1"/>
  <c r="E39" i="39"/>
  <c r="D39" i="12"/>
  <c r="G260" i="25"/>
  <c r="D261" i="54" s="1"/>
  <c r="E261" i="54" s="1"/>
  <c r="E261" i="39"/>
  <c r="D261" i="12"/>
  <c r="G6" i="25"/>
  <c r="D7" i="54" s="1"/>
  <c r="E7" i="54" s="1"/>
  <c r="E7" i="39"/>
  <c r="D7" i="12"/>
  <c r="G259" i="25"/>
  <c r="D260" i="12"/>
  <c r="E260" i="39"/>
  <c r="G22" i="25"/>
  <c r="D23" i="54" s="1"/>
  <c r="E23" i="54" s="1"/>
  <c r="E23" i="39"/>
  <c r="D23" i="12"/>
  <c r="G242" i="25"/>
  <c r="D243" i="54" s="1"/>
  <c r="E243" i="54" s="1"/>
  <c r="E243" i="39"/>
  <c r="D243" i="12"/>
  <c r="G289" i="25"/>
  <c r="D290" i="54" s="1"/>
  <c r="E290" i="54" s="1"/>
  <c r="E290" i="39"/>
  <c r="D290" i="12"/>
  <c r="G222" i="25"/>
  <c r="D223" i="54" s="1"/>
  <c r="E223" i="54" s="1"/>
  <c r="D223" i="12"/>
  <c r="E223" i="39"/>
  <c r="G296" i="25"/>
  <c r="D297" i="54" s="1"/>
  <c r="E297" i="54" s="1"/>
  <c r="E297" i="39"/>
  <c r="D297" i="12"/>
  <c r="G232" i="25"/>
  <c r="D233" i="54" s="1"/>
  <c r="E233" i="54" s="1"/>
  <c r="D233" i="12"/>
  <c r="E233" i="39"/>
  <c r="G303" i="25"/>
  <c r="E304" i="39"/>
  <c r="D304" i="12"/>
  <c r="G239" i="25"/>
  <c r="D240" i="12"/>
  <c r="E240" i="39"/>
  <c r="G302" i="25"/>
  <c r="D303" i="12"/>
  <c r="E303" i="39"/>
  <c r="G238" i="25"/>
  <c r="D239" i="54" s="1"/>
  <c r="E239" i="54" s="1"/>
  <c r="D239" i="12"/>
  <c r="E239" i="39"/>
  <c r="G189" i="25"/>
  <c r="D190" i="54" s="1"/>
  <c r="E190" i="54" s="1"/>
  <c r="E190" i="39"/>
  <c r="D190" i="12"/>
  <c r="G125" i="25"/>
  <c r="D126" i="54" s="1"/>
  <c r="E126" i="54" s="1"/>
  <c r="D126" i="12"/>
  <c r="E126" i="39"/>
  <c r="G61" i="25"/>
  <c r="D62" i="54" s="1"/>
  <c r="E62" i="54" s="1"/>
  <c r="E62" i="39"/>
  <c r="D62" i="12"/>
  <c r="G212" i="25"/>
  <c r="D213" i="54" s="1"/>
  <c r="E213" i="54" s="1"/>
  <c r="E213" i="39"/>
  <c r="D213" i="12"/>
  <c r="G148" i="25"/>
  <c r="D149" i="54" s="1"/>
  <c r="E149" i="54" s="1"/>
  <c r="D149" i="12"/>
  <c r="E149" i="39"/>
  <c r="G84" i="25"/>
  <c r="D85" i="54" s="1"/>
  <c r="E85" i="54" s="1"/>
  <c r="E85" i="39"/>
  <c r="D85" i="12"/>
  <c r="G20" i="25"/>
  <c r="D21" i="54" s="1"/>
  <c r="E21" i="54" s="1"/>
  <c r="E21" i="39"/>
  <c r="D21" i="12"/>
  <c r="G179" i="25"/>
  <c r="D180" i="54" s="1"/>
  <c r="E180" i="54" s="1"/>
  <c r="D180" i="12"/>
  <c r="E180" i="39"/>
  <c r="G115" i="25"/>
  <c r="D116" i="54" s="1"/>
  <c r="E116" i="54" s="1"/>
  <c r="D116" i="12"/>
  <c r="E116" i="39"/>
  <c r="G51" i="25"/>
  <c r="D52" i="54" s="1"/>
  <c r="E52" i="54" s="1"/>
  <c r="D52" i="12"/>
  <c r="E52" i="39"/>
  <c r="G210" i="25"/>
  <c r="D211" i="54" s="1"/>
  <c r="E211" i="54" s="1"/>
  <c r="D211" i="12"/>
  <c r="E211" i="39"/>
  <c r="G146" i="25"/>
  <c r="D147" i="54" s="1"/>
  <c r="E147" i="54" s="1"/>
  <c r="D147" i="12"/>
  <c r="E147" i="39"/>
  <c r="G82" i="25"/>
  <c r="D83" i="54" s="1"/>
  <c r="E83" i="54" s="1"/>
  <c r="D83" i="12"/>
  <c r="E83" i="39"/>
  <c r="G18" i="25"/>
  <c r="D19" i="54" s="1"/>
  <c r="E19" i="54" s="1"/>
  <c r="D19" i="12"/>
  <c r="E19" i="39"/>
  <c r="G177" i="25"/>
  <c r="E178" i="39"/>
  <c r="D178" i="12"/>
  <c r="G113" i="25"/>
  <c r="D114" i="54" s="1"/>
  <c r="E114" i="54" s="1"/>
  <c r="E114" i="39"/>
  <c r="D114" i="12"/>
  <c r="G49" i="25"/>
  <c r="D50" i="54" s="1"/>
  <c r="E50" i="54" s="1"/>
  <c r="E50" i="39"/>
  <c r="D50" i="12"/>
  <c r="G208" i="25"/>
  <c r="D209" i="54" s="1"/>
  <c r="E209" i="54" s="1"/>
  <c r="E209" i="39"/>
  <c r="D209" i="12"/>
  <c r="G144" i="25"/>
  <c r="D145" i="54" s="1"/>
  <c r="E145" i="54" s="1"/>
  <c r="E145" i="39"/>
  <c r="D145" i="12"/>
  <c r="G80" i="25"/>
  <c r="D81" i="54" s="1"/>
  <c r="E81" i="54" s="1"/>
  <c r="E81" i="39"/>
  <c r="D81" i="12"/>
  <c r="G16" i="25"/>
  <c r="D17" i="54" s="1"/>
  <c r="E17" i="54" s="1"/>
  <c r="E17" i="39"/>
  <c r="D17" i="12"/>
  <c r="G175" i="25"/>
  <c r="D176" i="54" s="1"/>
  <c r="E176" i="54" s="1"/>
  <c r="D176" i="12"/>
  <c r="E176" i="39"/>
  <c r="G111" i="25"/>
  <c r="D112" i="54" s="1"/>
  <c r="E112" i="54" s="1"/>
  <c r="E112" i="39"/>
  <c r="D112" i="12"/>
  <c r="G47" i="25"/>
  <c r="D48" i="54" s="1"/>
  <c r="E48" i="54" s="1"/>
  <c r="D48" i="12"/>
  <c r="E48" i="39"/>
  <c r="O15" i="11"/>
  <c r="G21" i="34" s="1"/>
  <c r="G15" i="12" s="1"/>
  <c r="F15" i="39" s="1"/>
  <c r="O67" i="11"/>
  <c r="G73" i="34" s="1"/>
  <c r="G67" i="12" s="1"/>
  <c r="F67" i="39" s="1"/>
  <c r="O117" i="11"/>
  <c r="G123" i="34" s="1"/>
  <c r="G117" i="12" s="1"/>
  <c r="F117" i="39" s="1"/>
  <c r="O134" i="11"/>
  <c r="G140" i="34" s="1"/>
  <c r="G134" i="12" s="1"/>
  <c r="F134" i="39" s="1"/>
  <c r="O182" i="11"/>
  <c r="G188" i="34" s="1"/>
  <c r="G182" i="12" s="1"/>
  <c r="F182" i="39" s="1"/>
  <c r="O137" i="11"/>
  <c r="G143" i="34" s="1"/>
  <c r="G137" i="12" s="1"/>
  <c r="F137" i="39" s="1"/>
  <c r="O107" i="11"/>
  <c r="G113" i="34" s="1"/>
  <c r="G107" i="12" s="1"/>
  <c r="F107" i="39" s="1"/>
  <c r="O169" i="11"/>
  <c r="G175" i="34" s="1"/>
  <c r="G169" i="12" s="1"/>
  <c r="F169" i="39" s="1"/>
  <c r="O121" i="11"/>
  <c r="G127" i="34" s="1"/>
  <c r="G121" i="12" s="1"/>
  <c r="F121" i="39" s="1"/>
  <c r="O123" i="11"/>
  <c r="G129" i="34" s="1"/>
  <c r="G123" i="12" s="1"/>
  <c r="F123" i="39" s="1"/>
  <c r="O167" i="11"/>
  <c r="G173" i="34" s="1"/>
  <c r="G167" i="12" s="1"/>
  <c r="F167" i="39" s="1"/>
  <c r="O132" i="11"/>
  <c r="G138" i="34" s="1"/>
  <c r="G132" i="12" s="1"/>
  <c r="F132" i="39" s="1"/>
  <c r="O143" i="11"/>
  <c r="G149" i="34" s="1"/>
  <c r="G143" i="12" s="1"/>
  <c r="F143" i="39" s="1"/>
  <c r="O19" i="11"/>
  <c r="G25" i="34" s="1"/>
  <c r="G19" i="12" s="1"/>
  <c r="F19" i="39" s="1"/>
  <c r="O38" i="11"/>
  <c r="G44" i="34" s="1"/>
  <c r="G38" i="12" s="1"/>
  <c r="F38" i="39" s="1"/>
  <c r="O83" i="11"/>
  <c r="G89" i="34" s="1"/>
  <c r="G83" i="12" s="1"/>
  <c r="F83" i="39" s="1"/>
  <c r="O194" i="11"/>
  <c r="G200" i="34" s="1"/>
  <c r="G194" i="12" s="1"/>
  <c r="F194" i="39" s="1"/>
  <c r="O214" i="11"/>
  <c r="G220" i="34" s="1"/>
  <c r="G214" i="12" s="1"/>
  <c r="F214" i="39" s="1"/>
  <c r="O300" i="11"/>
  <c r="G306" i="34" s="1"/>
  <c r="G300" i="12" s="1"/>
  <c r="F300" i="39" s="1"/>
  <c r="O176" i="11"/>
  <c r="G182" i="34" s="1"/>
  <c r="G176" i="12" s="1"/>
  <c r="F176" i="39" s="1"/>
  <c r="O279" i="11"/>
  <c r="G285" i="34" s="1"/>
  <c r="G279" i="12" s="1"/>
  <c r="F279" i="39" s="1"/>
  <c r="O260" i="11"/>
  <c r="G266" i="34" s="1"/>
  <c r="G260" i="12" s="1"/>
  <c r="F260" i="39" s="1"/>
  <c r="O96" i="11"/>
  <c r="G102" i="34" s="1"/>
  <c r="G96" i="12" s="1"/>
  <c r="F96" i="39" s="1"/>
  <c r="O126" i="11"/>
  <c r="G132" i="34" s="1"/>
  <c r="G126" i="12" s="1"/>
  <c r="F126" i="39" s="1"/>
  <c r="O258" i="11"/>
  <c r="G264" i="34" s="1"/>
  <c r="G258" i="12" s="1"/>
  <c r="F258" i="39" s="1"/>
  <c r="O46" i="11"/>
  <c r="G52" i="34" s="1"/>
  <c r="G46" i="12" s="1"/>
  <c r="F46" i="39" s="1"/>
  <c r="O68" i="11"/>
  <c r="G74" i="34" s="1"/>
  <c r="G68" i="12" s="1"/>
  <c r="F68" i="39" s="1"/>
  <c r="O243" i="11"/>
  <c r="G249" i="34" s="1"/>
  <c r="G243" i="12" s="1"/>
  <c r="F243" i="39" s="1"/>
  <c r="O304" i="11"/>
  <c r="G310" i="34" s="1"/>
  <c r="G304" i="12" s="1"/>
  <c r="F304" i="39" s="1"/>
  <c r="O112" i="11"/>
  <c r="G118" i="34" s="1"/>
  <c r="G112" i="12" s="1"/>
  <c r="F112" i="39" s="1"/>
  <c r="O253" i="11"/>
  <c r="G259" i="34" s="1"/>
  <c r="G253" i="12" s="1"/>
  <c r="F253" i="39" s="1"/>
  <c r="O284" i="11"/>
  <c r="G290" i="34" s="1"/>
  <c r="G284" i="12" s="1"/>
  <c r="F284" i="39" s="1"/>
  <c r="O54" i="11"/>
  <c r="G60" i="34" s="1"/>
  <c r="G54" i="12" s="1"/>
  <c r="F54" i="39" s="1"/>
  <c r="O106" i="11"/>
  <c r="G112" i="34" s="1"/>
  <c r="G106" i="12" s="1"/>
  <c r="F106" i="39" s="1"/>
  <c r="O222" i="11"/>
  <c r="G228" i="34" s="1"/>
  <c r="G222" i="12" s="1"/>
  <c r="F222" i="39" s="1"/>
  <c r="O218" i="11"/>
  <c r="G224" i="34" s="1"/>
  <c r="G218" i="12" s="1"/>
  <c r="F218" i="39" s="1"/>
  <c r="O89" i="11"/>
  <c r="G95" i="34" s="1"/>
  <c r="G89" i="12" s="1"/>
  <c r="F89" i="39" s="1"/>
  <c r="O289" i="11"/>
  <c r="G295" i="34" s="1"/>
  <c r="G289" i="12" s="1"/>
  <c r="F289" i="39" s="1"/>
  <c r="O299" i="11"/>
  <c r="G305" i="34" s="1"/>
  <c r="G299" i="12" s="1"/>
  <c r="F299" i="39" s="1"/>
  <c r="O184" i="11"/>
  <c r="G190" i="34" s="1"/>
  <c r="G184" i="12" s="1"/>
  <c r="F184" i="39" s="1"/>
  <c r="O76" i="11"/>
  <c r="G82" i="34" s="1"/>
  <c r="G76" i="12" s="1"/>
  <c r="F76" i="39" s="1"/>
  <c r="O273" i="11"/>
  <c r="G279" i="34" s="1"/>
  <c r="G273" i="12" s="1"/>
  <c r="F273" i="39" s="1"/>
  <c r="O151" i="11"/>
  <c r="G157" i="34" s="1"/>
  <c r="G151" i="12" s="1"/>
  <c r="F151" i="39" s="1"/>
  <c r="O153" i="11"/>
  <c r="G159" i="34" s="1"/>
  <c r="G153" i="12" s="1"/>
  <c r="F153" i="39" s="1"/>
  <c r="O28" i="11"/>
  <c r="G34" i="34" s="1"/>
  <c r="G28" i="12" s="1"/>
  <c r="F28" i="39" s="1"/>
  <c r="O97" i="11"/>
  <c r="G103" i="34" s="1"/>
  <c r="G97" i="12" s="1"/>
  <c r="F97" i="39" s="1"/>
  <c r="O129" i="11"/>
  <c r="G135" i="34" s="1"/>
  <c r="G129" i="12" s="1"/>
  <c r="F129" i="39" s="1"/>
  <c r="O181" i="11"/>
  <c r="G187" i="34" s="1"/>
  <c r="G181" i="12" s="1"/>
  <c r="F181" i="39" s="1"/>
  <c r="O187" i="11"/>
  <c r="G193" i="34" s="1"/>
  <c r="G187" i="12" s="1"/>
  <c r="F187" i="39" s="1"/>
  <c r="O163" i="11"/>
  <c r="G169" i="34" s="1"/>
  <c r="G163" i="12" s="1"/>
  <c r="F163" i="39" s="1"/>
  <c r="O110" i="11"/>
  <c r="G116" i="34" s="1"/>
  <c r="G110" i="12" s="1"/>
  <c r="F110" i="39" s="1"/>
  <c r="O130" i="11"/>
  <c r="G136" i="34" s="1"/>
  <c r="G130" i="12" s="1"/>
  <c r="F130" i="39" s="1"/>
  <c r="O165" i="11"/>
  <c r="G171" i="34" s="1"/>
  <c r="G165" i="12" s="1"/>
  <c r="F165" i="39" s="1"/>
  <c r="O50" i="11"/>
  <c r="G56" i="34" s="1"/>
  <c r="G50" i="12" s="1"/>
  <c r="F50" i="39" s="1"/>
  <c r="O75" i="11"/>
  <c r="G81" i="34" s="1"/>
  <c r="G75" i="12" s="1"/>
  <c r="F75" i="39" s="1"/>
  <c r="O60" i="11"/>
  <c r="G66" i="34" s="1"/>
  <c r="G60" i="12" s="1"/>
  <c r="F60" i="39" s="1"/>
  <c r="O53" i="11"/>
  <c r="G59" i="34" s="1"/>
  <c r="G53" i="12" s="1"/>
  <c r="F53" i="39" s="1"/>
  <c r="O221" i="11"/>
  <c r="G227" i="34" s="1"/>
  <c r="G221" i="12" s="1"/>
  <c r="F221" i="39" s="1"/>
  <c r="O154" i="11"/>
  <c r="G160" i="34" s="1"/>
  <c r="G154" i="12" s="1"/>
  <c r="F154" i="39" s="1"/>
  <c r="O174" i="11"/>
  <c r="G180" i="34" s="1"/>
  <c r="G174" i="12" s="1"/>
  <c r="F174" i="39" s="1"/>
  <c r="O217" i="11"/>
  <c r="G223" i="34" s="1"/>
  <c r="G217" i="12" s="1"/>
  <c r="F217" i="39" s="1"/>
  <c r="O250" i="11"/>
  <c r="G256" i="34" s="1"/>
  <c r="G250" i="12" s="1"/>
  <c r="F250" i="39" s="1"/>
  <c r="O61" i="11"/>
  <c r="G67" i="34" s="1"/>
  <c r="G61" i="12" s="1"/>
  <c r="F61" i="39" s="1"/>
  <c r="O249" i="11"/>
  <c r="G255" i="34" s="1"/>
  <c r="G249" i="12" s="1"/>
  <c r="F249" i="39" s="1"/>
  <c r="O264" i="11"/>
  <c r="G270" i="34" s="1"/>
  <c r="G264" i="12" s="1"/>
  <c r="F264" i="39" s="1"/>
  <c r="O64" i="11"/>
  <c r="G70" i="34" s="1"/>
  <c r="G64" i="12" s="1"/>
  <c r="F64" i="39" s="1"/>
  <c r="O100" i="11"/>
  <c r="G106" i="34" s="1"/>
  <c r="G100" i="12" s="1"/>
  <c r="F100" i="39" s="1"/>
  <c r="O84" i="11"/>
  <c r="G90" i="34" s="1"/>
  <c r="G84" i="12" s="1"/>
  <c r="F84" i="39" s="1"/>
  <c r="O37" i="11"/>
  <c r="G43" i="34" s="1"/>
  <c r="G37" i="12" s="1"/>
  <c r="F37" i="39" s="1"/>
  <c r="O80" i="11"/>
  <c r="G86" i="34" s="1"/>
  <c r="G80" i="12" s="1"/>
  <c r="F80" i="39" s="1"/>
  <c r="O269" i="11"/>
  <c r="G275" i="34" s="1"/>
  <c r="G269" i="12" s="1"/>
  <c r="F269" i="39" s="1"/>
  <c r="O274" i="11"/>
  <c r="G280" i="34" s="1"/>
  <c r="G274" i="12" s="1"/>
  <c r="F274" i="39" s="1"/>
  <c r="O56" i="11"/>
  <c r="G62" i="34" s="1"/>
  <c r="G56" i="12" s="1"/>
  <c r="F56" i="39" s="1"/>
  <c r="O166" i="11"/>
  <c r="G172" i="34" s="1"/>
  <c r="G166" i="12" s="1"/>
  <c r="F166" i="39" s="1"/>
  <c r="O207" i="11"/>
  <c r="G213" i="34" s="1"/>
  <c r="G207" i="12" s="1"/>
  <c r="F207" i="39" s="1"/>
  <c r="O45" i="11"/>
  <c r="G51" i="34" s="1"/>
  <c r="G45" i="12" s="1"/>
  <c r="F45" i="39" s="1"/>
  <c r="O92" i="11"/>
  <c r="G98" i="34" s="1"/>
  <c r="G92" i="12" s="1"/>
  <c r="F92" i="39" s="1"/>
  <c r="O225" i="11"/>
  <c r="G231" i="34" s="1"/>
  <c r="G225" i="12" s="1"/>
  <c r="F225" i="39" s="1"/>
  <c r="O197" i="11"/>
  <c r="G203" i="34" s="1"/>
  <c r="G197" i="12" s="1"/>
  <c r="F197" i="39" s="1"/>
  <c r="O193" i="11"/>
  <c r="G199" i="34" s="1"/>
  <c r="G193" i="12" s="1"/>
  <c r="F193" i="39" s="1"/>
  <c r="O185" i="11"/>
  <c r="G191" i="34" s="1"/>
  <c r="G185" i="12" s="1"/>
  <c r="F185" i="39" s="1"/>
  <c r="O30" i="11"/>
  <c r="G36" i="34" s="1"/>
  <c r="G30" i="12" s="1"/>
  <c r="F30" i="39" s="1"/>
  <c r="O10" i="11"/>
  <c r="G16" i="34" s="1"/>
  <c r="G10" i="12" s="1"/>
  <c r="F10" i="39" s="1"/>
  <c r="O161" i="11"/>
  <c r="G167" i="34" s="1"/>
  <c r="G161" i="12" s="1"/>
  <c r="F161" i="39" s="1"/>
  <c r="O32" i="11"/>
  <c r="G38" i="34" s="1"/>
  <c r="G32" i="12" s="1"/>
  <c r="F32" i="39" s="1"/>
  <c r="O189" i="11"/>
  <c r="G195" i="34" s="1"/>
  <c r="G189" i="12" s="1"/>
  <c r="F189" i="39" s="1"/>
  <c r="O178" i="11"/>
  <c r="G184" i="34" s="1"/>
  <c r="G178" i="12" s="1"/>
  <c r="F178" i="39" s="1"/>
  <c r="O95" i="11"/>
  <c r="G101" i="34" s="1"/>
  <c r="G95" i="12" s="1"/>
  <c r="F95" i="39" s="1"/>
  <c r="O104" i="11"/>
  <c r="G110" i="34" s="1"/>
  <c r="G104" i="12" s="1"/>
  <c r="F104" i="39" s="1"/>
  <c r="O81" i="11"/>
  <c r="G87" i="34" s="1"/>
  <c r="G81" i="12" s="1"/>
  <c r="F81" i="39" s="1"/>
  <c r="O108" i="11"/>
  <c r="G114" i="34" s="1"/>
  <c r="G108" i="12" s="1"/>
  <c r="F108" i="39" s="1"/>
  <c r="O170" i="11"/>
  <c r="G176" i="34" s="1"/>
  <c r="G170" i="12" s="1"/>
  <c r="F170" i="39" s="1"/>
  <c r="O199" i="11"/>
  <c r="G205" i="34" s="1"/>
  <c r="G199" i="12" s="1"/>
  <c r="F199" i="39" s="1"/>
  <c r="O236" i="11"/>
  <c r="G242" i="34" s="1"/>
  <c r="G236" i="12" s="1"/>
  <c r="F236" i="39" s="1"/>
  <c r="O41" i="11"/>
  <c r="G47" i="34" s="1"/>
  <c r="G41" i="12" s="1"/>
  <c r="F41" i="39" s="1"/>
  <c r="O223" i="11"/>
  <c r="G229" i="34" s="1"/>
  <c r="G223" i="12" s="1"/>
  <c r="F223" i="39" s="1"/>
  <c r="O248" i="11"/>
  <c r="G254" i="34" s="1"/>
  <c r="G248" i="12" s="1"/>
  <c r="F248" i="39" s="1"/>
  <c r="O73" i="11"/>
  <c r="G79" i="34" s="1"/>
  <c r="G73" i="12" s="1"/>
  <c r="F73" i="39" s="1"/>
  <c r="O265" i="11"/>
  <c r="G271" i="34" s="1"/>
  <c r="G265" i="12" s="1"/>
  <c r="F265" i="39" s="1"/>
  <c r="O296" i="11"/>
  <c r="G302" i="34" s="1"/>
  <c r="G296" i="12" s="1"/>
  <c r="F296" i="39" s="1"/>
  <c r="O66" i="11"/>
  <c r="O43" i="11"/>
  <c r="G49" i="34" s="1"/>
  <c r="G43" i="12" s="1"/>
  <c r="F43" i="39" s="1"/>
  <c r="O286" i="11"/>
  <c r="G292" i="34" s="1"/>
  <c r="G286" i="12" s="1"/>
  <c r="F286" i="39" s="1"/>
  <c r="O16" i="11"/>
  <c r="G22" i="34" s="1"/>
  <c r="G16" i="12" s="1"/>
  <c r="F16" i="39" s="1"/>
  <c r="O72" i="11"/>
  <c r="G78" i="34" s="1"/>
  <c r="G72" i="12" s="1"/>
  <c r="F72" i="39" s="1"/>
  <c r="O285" i="11"/>
  <c r="G291" i="34" s="1"/>
  <c r="G285" i="12" s="1"/>
  <c r="F285" i="39" s="1"/>
  <c r="O272" i="11"/>
  <c r="G278" i="34" s="1"/>
  <c r="G272" i="12" s="1"/>
  <c r="F272" i="39" s="1"/>
  <c r="O39" i="11"/>
  <c r="G45" i="34" s="1"/>
  <c r="G39" i="12" s="1"/>
  <c r="F39" i="39" s="1"/>
  <c r="O152" i="11"/>
  <c r="G158" i="34" s="1"/>
  <c r="G152" i="12" s="1"/>
  <c r="F152" i="39" s="1"/>
  <c r="O231" i="11"/>
  <c r="G237" i="34" s="1"/>
  <c r="G231" i="12" s="1"/>
  <c r="F231" i="39" s="1"/>
  <c r="O36" i="11"/>
  <c r="G42" i="34" s="1"/>
  <c r="G36" i="12" s="1"/>
  <c r="F36" i="39" s="1"/>
  <c r="O158" i="11"/>
  <c r="G164" i="34" s="1"/>
  <c r="G158" i="12" s="1"/>
  <c r="F158" i="39" s="1"/>
  <c r="O232" i="11"/>
  <c r="G238" i="34" s="1"/>
  <c r="G232" i="12" s="1"/>
  <c r="F232" i="39" s="1"/>
  <c r="O213" i="11"/>
  <c r="G219" i="34" s="1"/>
  <c r="G213" i="12" s="1"/>
  <c r="F213" i="39" s="1"/>
  <c r="O99" i="11"/>
  <c r="G105" i="34" s="1"/>
  <c r="G99" i="12" s="1"/>
  <c r="F99" i="39" s="1"/>
  <c r="O20" i="11"/>
  <c r="G26" i="34" s="1"/>
  <c r="G20" i="12" s="1"/>
  <c r="F20" i="39" s="1"/>
  <c r="O179" i="11"/>
  <c r="G185" i="34" s="1"/>
  <c r="G179" i="12" s="1"/>
  <c r="F179" i="39" s="1"/>
  <c r="O203" i="11"/>
  <c r="G209" i="34" s="1"/>
  <c r="G203" i="12" s="1"/>
  <c r="F203" i="39" s="1"/>
  <c r="O138" i="11"/>
  <c r="G144" i="34" s="1"/>
  <c r="G138" i="12" s="1"/>
  <c r="F138" i="39" s="1"/>
  <c r="O180" i="11"/>
  <c r="G186" i="34" s="1"/>
  <c r="G180" i="12" s="1"/>
  <c r="F180" i="39" s="1"/>
  <c r="O295" i="11"/>
  <c r="G301" i="34" s="1"/>
  <c r="G295" i="12" s="1"/>
  <c r="F295" i="39" s="1"/>
  <c r="O128" i="11"/>
  <c r="G134" i="34" s="1"/>
  <c r="G128" i="12" s="1"/>
  <c r="F128" i="39" s="1"/>
  <c r="O141" i="11"/>
  <c r="G147" i="34" s="1"/>
  <c r="G141" i="12" s="1"/>
  <c r="F141" i="39" s="1"/>
  <c r="O186" i="11"/>
  <c r="G192" i="34" s="1"/>
  <c r="G186" i="12" s="1"/>
  <c r="F186" i="39" s="1"/>
  <c r="O303" i="11"/>
  <c r="G309" i="34" s="1"/>
  <c r="G303" i="12" s="1"/>
  <c r="F303" i="39" s="1"/>
  <c r="O52" i="11"/>
  <c r="G58" i="34" s="1"/>
  <c r="G52" i="12" s="1"/>
  <c r="F52" i="39" s="1"/>
  <c r="O12" i="11"/>
  <c r="G18" i="34" s="1"/>
  <c r="G12" i="12" s="1"/>
  <c r="F12" i="39" s="1"/>
  <c r="O98" i="11"/>
  <c r="G104" i="34" s="1"/>
  <c r="G98" i="12" s="1"/>
  <c r="F98" i="39" s="1"/>
  <c r="O212" i="11"/>
  <c r="G218" i="34" s="1"/>
  <c r="G212" i="12" s="1"/>
  <c r="F212" i="39" s="1"/>
  <c r="O238" i="11"/>
  <c r="G244" i="34" s="1"/>
  <c r="G238" i="12" s="1"/>
  <c r="F238" i="39" s="1"/>
  <c r="O13" i="11"/>
  <c r="G19" i="34" s="1"/>
  <c r="G13" i="12" s="1"/>
  <c r="F13" i="39" s="1"/>
  <c r="O150" i="11"/>
  <c r="G156" i="34" s="1"/>
  <c r="G150" i="12" s="1"/>
  <c r="F150" i="39" s="1"/>
  <c r="O244" i="11"/>
  <c r="G250" i="34" s="1"/>
  <c r="G244" i="12" s="1"/>
  <c r="F244" i="39" s="1"/>
  <c r="O25" i="11"/>
  <c r="G31" i="34" s="1"/>
  <c r="G25" i="12" s="1"/>
  <c r="F25" i="39" s="1"/>
  <c r="O124" i="11"/>
  <c r="G130" i="34" s="1"/>
  <c r="G124" i="12" s="1"/>
  <c r="F124" i="39" s="1"/>
  <c r="O281" i="11"/>
  <c r="G287" i="34" s="1"/>
  <c r="G281" i="12" s="1"/>
  <c r="F281" i="39" s="1"/>
  <c r="O259" i="11"/>
  <c r="G265" i="34" s="1"/>
  <c r="G259" i="12" s="1"/>
  <c r="F259" i="39" s="1"/>
  <c r="O31" i="11"/>
  <c r="G37" i="34" s="1"/>
  <c r="G31" i="12" s="1"/>
  <c r="F31" i="39" s="1"/>
  <c r="O164" i="11"/>
  <c r="G170" i="34" s="1"/>
  <c r="G164" i="12" s="1"/>
  <c r="F164" i="39" s="1"/>
  <c r="O276" i="11"/>
  <c r="G282" i="34" s="1"/>
  <c r="G276" i="12" s="1"/>
  <c r="F276" i="39" s="1"/>
  <c r="O47" i="11"/>
  <c r="G53" i="34" s="1"/>
  <c r="G47" i="12" s="1"/>
  <c r="F47" i="39" s="1"/>
  <c r="O88" i="11"/>
  <c r="G94" i="34" s="1"/>
  <c r="G88" i="12" s="1"/>
  <c r="F88" i="39" s="1"/>
  <c r="O234" i="11"/>
  <c r="G240" i="34" s="1"/>
  <c r="G234" i="12" s="1"/>
  <c r="F234" i="39" s="1"/>
  <c r="O122" i="11"/>
  <c r="G128" i="34" s="1"/>
  <c r="G122" i="12" s="1"/>
  <c r="F122" i="39" s="1"/>
  <c r="O74" i="11"/>
  <c r="G80" i="34" s="1"/>
  <c r="G74" i="12" s="1"/>
  <c r="F74" i="39" s="1"/>
  <c r="O118" i="11"/>
  <c r="G124" i="34" s="1"/>
  <c r="G118" i="12" s="1"/>
  <c r="F118" i="39" s="1"/>
  <c r="O298" i="11"/>
  <c r="G304" i="34" s="1"/>
  <c r="G298" i="12" s="1"/>
  <c r="F298" i="39" s="1"/>
  <c r="O55" i="11"/>
  <c r="G61" i="34" s="1"/>
  <c r="G55" i="12" s="1"/>
  <c r="F55" i="39" s="1"/>
  <c r="O168" i="11"/>
  <c r="G174" i="34" s="1"/>
  <c r="G168" i="12" s="1"/>
  <c r="F168" i="39" s="1"/>
  <c r="O216" i="11"/>
  <c r="G222" i="34" s="1"/>
  <c r="G216" i="12" s="1"/>
  <c r="F216" i="39" s="1"/>
  <c r="O173" i="11"/>
  <c r="G179" i="34" s="1"/>
  <c r="G173" i="12" s="1"/>
  <c r="F173" i="39" s="1"/>
  <c r="O177" i="11"/>
  <c r="G183" i="34" s="1"/>
  <c r="G177" i="12" s="1"/>
  <c r="F177" i="39" s="1"/>
  <c r="O233" i="11"/>
  <c r="G239" i="34" s="1"/>
  <c r="G233" i="12" s="1"/>
  <c r="F233" i="39" s="1"/>
  <c r="O245" i="11"/>
  <c r="G251" i="34" s="1"/>
  <c r="G245" i="12" s="1"/>
  <c r="F245" i="39" s="1"/>
  <c r="O237" i="11"/>
  <c r="G243" i="34" s="1"/>
  <c r="G237" i="12" s="1"/>
  <c r="F237" i="39" s="1"/>
  <c r="O131" i="11"/>
  <c r="G137" i="34" s="1"/>
  <c r="G131" i="12" s="1"/>
  <c r="F131" i="39" s="1"/>
  <c r="O111" i="11"/>
  <c r="G117" i="34" s="1"/>
  <c r="G111" i="12" s="1"/>
  <c r="F111" i="39" s="1"/>
  <c r="O101" i="11"/>
  <c r="G107" i="34" s="1"/>
  <c r="G101" i="12" s="1"/>
  <c r="F101" i="39" s="1"/>
  <c r="O127" i="11"/>
  <c r="G133" i="34" s="1"/>
  <c r="G127" i="12" s="1"/>
  <c r="F127" i="39" s="1"/>
  <c r="O146" i="11"/>
  <c r="G152" i="34" s="1"/>
  <c r="G146" i="12" s="1"/>
  <c r="F146" i="39" s="1"/>
  <c r="O22" i="11"/>
  <c r="G28" i="34" s="1"/>
  <c r="G22" i="12" s="1"/>
  <c r="F22" i="39" s="1"/>
  <c r="O29" i="11"/>
  <c r="G35" i="34" s="1"/>
  <c r="G29" i="12" s="1"/>
  <c r="F29" i="39" s="1"/>
  <c r="O147" i="11"/>
  <c r="G153" i="34" s="1"/>
  <c r="G147" i="12" s="1"/>
  <c r="F147" i="39" s="1"/>
  <c r="O87" i="11"/>
  <c r="G93" i="34" s="1"/>
  <c r="G87" i="12" s="1"/>
  <c r="F87" i="39" s="1"/>
  <c r="O63" i="11"/>
  <c r="G69" i="34" s="1"/>
  <c r="G63" i="12" s="1"/>
  <c r="F63" i="39" s="1"/>
  <c r="O120" i="11"/>
  <c r="G126" i="34" s="1"/>
  <c r="G120" i="12" s="1"/>
  <c r="F120" i="39" s="1"/>
  <c r="O215" i="11"/>
  <c r="G221" i="34" s="1"/>
  <c r="G215" i="12" s="1"/>
  <c r="F215" i="39" s="1"/>
  <c r="O226" i="11"/>
  <c r="G232" i="34" s="1"/>
  <c r="G226" i="12" s="1"/>
  <c r="F226" i="39" s="1"/>
  <c r="O9" i="11"/>
  <c r="G15" i="34" s="1"/>
  <c r="G9" i="12" s="1"/>
  <c r="F9" i="39" s="1"/>
  <c r="O208" i="11"/>
  <c r="G214" i="34" s="1"/>
  <c r="G208" i="12" s="1"/>
  <c r="F208" i="39" s="1"/>
  <c r="O201" i="11"/>
  <c r="G207" i="34" s="1"/>
  <c r="G201" i="12" s="1"/>
  <c r="F201" i="39" s="1"/>
  <c r="O14" i="11"/>
  <c r="G20" i="34" s="1"/>
  <c r="G14" i="12" s="1"/>
  <c r="F14" i="39" s="1"/>
  <c r="O114" i="11"/>
  <c r="G120" i="34" s="1"/>
  <c r="G114" i="12" s="1"/>
  <c r="F114" i="39" s="1"/>
  <c r="O219" i="11"/>
  <c r="G225" i="34" s="1"/>
  <c r="G219" i="12" s="1"/>
  <c r="F219" i="39" s="1"/>
  <c r="O239" i="11"/>
  <c r="G245" i="34" s="1"/>
  <c r="G239" i="12" s="1"/>
  <c r="F239" i="39" s="1"/>
  <c r="O7" i="11"/>
  <c r="G13" i="34" s="1"/>
  <c r="G7" i="12" s="1"/>
  <c r="F7" i="39" s="1"/>
  <c r="O190" i="11"/>
  <c r="G196" i="34" s="1"/>
  <c r="G190" i="12" s="1"/>
  <c r="F190" i="39" s="1"/>
  <c r="O266" i="11"/>
  <c r="G272" i="34" s="1"/>
  <c r="G266" i="12" s="1"/>
  <c r="F266" i="39" s="1"/>
  <c r="O23" i="11"/>
  <c r="G29" i="34" s="1"/>
  <c r="G23" i="12" s="1"/>
  <c r="F23" i="39" s="1"/>
  <c r="O160" i="11"/>
  <c r="G166" i="34" s="1"/>
  <c r="G160" i="12" s="1"/>
  <c r="F160" i="39" s="1"/>
  <c r="O227" i="11"/>
  <c r="G233" i="34" s="1"/>
  <c r="G227" i="12" s="1"/>
  <c r="F227" i="39" s="1"/>
  <c r="O240" i="11"/>
  <c r="G246" i="34" s="1"/>
  <c r="G240" i="12" s="1"/>
  <c r="F240" i="39" s="1"/>
  <c r="O82" i="11"/>
  <c r="G88" i="34" s="1"/>
  <c r="G82" i="12" s="1"/>
  <c r="F82" i="39" s="1"/>
  <c r="O235" i="11"/>
  <c r="G241" i="34" s="1"/>
  <c r="G235" i="12" s="1"/>
  <c r="F235" i="39" s="1"/>
  <c r="O292" i="11"/>
  <c r="G298" i="34" s="1"/>
  <c r="G292" i="12" s="1"/>
  <c r="F292" i="39" s="1"/>
  <c r="O57" i="11"/>
  <c r="G63" i="34" s="1"/>
  <c r="G57" i="12" s="1"/>
  <c r="F57" i="39" s="1"/>
  <c r="O210" i="11"/>
  <c r="G216" i="34" s="1"/>
  <c r="G210" i="12" s="1"/>
  <c r="F210" i="39" s="1"/>
  <c r="O209" i="11"/>
  <c r="G215" i="34" s="1"/>
  <c r="G209" i="12" s="1"/>
  <c r="F209" i="39" s="1"/>
  <c r="O205" i="11"/>
  <c r="G211" i="34" s="1"/>
  <c r="G205" i="12" s="1"/>
  <c r="F205" i="39" s="1"/>
  <c r="O17" i="11"/>
  <c r="G23" i="34" s="1"/>
  <c r="G17" i="12" s="1"/>
  <c r="F17" i="39" s="1"/>
  <c r="O195" i="11"/>
  <c r="G201" i="34" s="1"/>
  <c r="G195" i="12" s="1"/>
  <c r="F195" i="39" s="1"/>
  <c r="O183" i="11"/>
  <c r="G189" i="34" s="1"/>
  <c r="G183" i="12" s="1"/>
  <c r="F183" i="39" s="1"/>
  <c r="O159" i="11"/>
  <c r="G165" i="34" s="1"/>
  <c r="G159" i="12" s="1"/>
  <c r="F159" i="39" s="1"/>
  <c r="O94" i="11"/>
  <c r="G100" i="34" s="1"/>
  <c r="G94" i="12" s="1"/>
  <c r="F94" i="39" s="1"/>
  <c r="O136" i="11"/>
  <c r="G142" i="34" s="1"/>
  <c r="G136" i="12" s="1"/>
  <c r="F136" i="39" s="1"/>
  <c r="O144" i="11"/>
  <c r="G150" i="34" s="1"/>
  <c r="G144" i="12" s="1"/>
  <c r="F144" i="39" s="1"/>
  <c r="O139" i="11"/>
  <c r="G145" i="34" s="1"/>
  <c r="G139" i="12" s="1"/>
  <c r="F139" i="39" s="1"/>
  <c r="O140" i="11"/>
  <c r="G146" i="34" s="1"/>
  <c r="G140" i="12" s="1"/>
  <c r="F140" i="39" s="1"/>
  <c r="O241" i="11"/>
  <c r="G247" i="34" s="1"/>
  <c r="G241" i="12" s="1"/>
  <c r="F241" i="39" s="1"/>
  <c r="O135" i="11"/>
  <c r="G141" i="34" s="1"/>
  <c r="G135" i="12" s="1"/>
  <c r="F135" i="39" s="1"/>
  <c r="O115" i="11"/>
  <c r="G121" i="34" s="1"/>
  <c r="G115" i="12" s="1"/>
  <c r="F115" i="39" s="1"/>
  <c r="O62" i="11"/>
  <c r="G68" i="34" s="1"/>
  <c r="G62" i="12" s="1"/>
  <c r="F62" i="39" s="1"/>
  <c r="O49" i="11"/>
  <c r="G55" i="34" s="1"/>
  <c r="G49" i="12" s="1"/>
  <c r="F49" i="39" s="1"/>
  <c r="O156" i="11"/>
  <c r="G162" i="34" s="1"/>
  <c r="G156" i="12" s="1"/>
  <c r="F156" i="39" s="1"/>
  <c r="O261" i="11"/>
  <c r="G267" i="34" s="1"/>
  <c r="G261" i="12" s="1"/>
  <c r="F261" i="39" s="1"/>
  <c r="O262" i="11"/>
  <c r="G268" i="34" s="1"/>
  <c r="G262" i="12" s="1"/>
  <c r="F262" i="39" s="1"/>
  <c r="O71" i="11"/>
  <c r="G77" i="34" s="1"/>
  <c r="G71" i="12" s="1"/>
  <c r="F71" i="39" s="1"/>
  <c r="O162" i="11"/>
  <c r="G168" i="34" s="1"/>
  <c r="G162" i="12" s="1"/>
  <c r="F162" i="39" s="1"/>
  <c r="O224" i="11"/>
  <c r="G230" i="34" s="1"/>
  <c r="G224" i="12" s="1"/>
  <c r="F224" i="39" s="1"/>
  <c r="O21" i="11"/>
  <c r="G27" i="34" s="1"/>
  <c r="G21" i="12" s="1"/>
  <c r="F21" i="39" s="1"/>
  <c r="O42" i="11"/>
  <c r="G48" i="34" s="1"/>
  <c r="G42" i="12" s="1"/>
  <c r="F42" i="39" s="1"/>
  <c r="O228" i="11"/>
  <c r="G234" i="34" s="1"/>
  <c r="G228" i="12" s="1"/>
  <c r="F228" i="39" s="1"/>
  <c r="O242" i="11"/>
  <c r="G248" i="34" s="1"/>
  <c r="G242" i="12" s="1"/>
  <c r="F242" i="39" s="1"/>
  <c r="O79" i="11"/>
  <c r="G85" i="34" s="1"/>
  <c r="G79" i="12" s="1"/>
  <c r="F79" i="39" s="1"/>
  <c r="O251" i="11"/>
  <c r="G257" i="34" s="1"/>
  <c r="G251" i="12" s="1"/>
  <c r="F251" i="39" s="1"/>
  <c r="O280" i="11"/>
  <c r="G286" i="34" s="1"/>
  <c r="G280" i="12" s="1"/>
  <c r="F280" i="39" s="1"/>
  <c r="O65" i="11"/>
  <c r="G71" i="34" s="1"/>
  <c r="G65" i="12" s="1"/>
  <c r="F65" i="39" s="1"/>
  <c r="O172" i="11"/>
  <c r="G178" i="34" s="1"/>
  <c r="G172" i="12" s="1"/>
  <c r="F172" i="39" s="1"/>
  <c r="O206" i="11"/>
  <c r="G212" i="34" s="1"/>
  <c r="G206" i="12" s="1"/>
  <c r="F206" i="39" s="1"/>
  <c r="O198" i="11"/>
  <c r="G204" i="34" s="1"/>
  <c r="G198" i="12" s="1"/>
  <c r="F198" i="39" s="1"/>
  <c r="O86" i="11"/>
  <c r="G92" i="34" s="1"/>
  <c r="G86" i="12" s="1"/>
  <c r="F86" i="39" s="1"/>
  <c r="O255" i="11"/>
  <c r="G261" i="34" s="1"/>
  <c r="G255" i="12" s="1"/>
  <c r="F255" i="39" s="1"/>
  <c r="O282" i="11"/>
  <c r="G288" i="34" s="1"/>
  <c r="G282" i="12" s="1"/>
  <c r="F282" i="39" s="1"/>
  <c r="O40" i="11"/>
  <c r="G46" i="34" s="1"/>
  <c r="G40" i="12" s="1"/>
  <c r="F40" i="39" s="1"/>
  <c r="O204" i="11"/>
  <c r="G210" i="34" s="1"/>
  <c r="G204" i="12" s="1"/>
  <c r="F204" i="39" s="1"/>
  <c r="O246" i="11"/>
  <c r="G252" i="34" s="1"/>
  <c r="G246" i="12" s="1"/>
  <c r="F246" i="39" s="1"/>
  <c r="O157" i="11"/>
  <c r="G163" i="34" s="1"/>
  <c r="G157" i="12" s="1"/>
  <c r="F157" i="39" s="1"/>
  <c r="O175" i="11"/>
  <c r="G181" i="34" s="1"/>
  <c r="G175" i="12" s="1"/>
  <c r="F175" i="39" s="1"/>
  <c r="O103" i="11"/>
  <c r="G109" i="34" s="1"/>
  <c r="G103" i="12" s="1"/>
  <c r="F103" i="39" s="1"/>
  <c r="O191" i="11"/>
  <c r="G197" i="34" s="1"/>
  <c r="G191" i="12" s="1"/>
  <c r="F191" i="39" s="1"/>
  <c r="O102" i="11"/>
  <c r="G108" i="34" s="1"/>
  <c r="G102" i="12" s="1"/>
  <c r="F102" i="39" s="1"/>
  <c r="O211" i="11"/>
  <c r="G217" i="34" s="1"/>
  <c r="G211" i="12" s="1"/>
  <c r="F211" i="39" s="1"/>
  <c r="O8" i="11"/>
  <c r="G14" i="34" s="1"/>
  <c r="G8" i="12" s="1"/>
  <c r="F8" i="39" s="1"/>
  <c r="O125" i="11"/>
  <c r="G131" i="34" s="1"/>
  <c r="G125" i="12" s="1"/>
  <c r="F125" i="39" s="1"/>
  <c r="O24" i="11"/>
  <c r="G30" i="34" s="1"/>
  <c r="G24" i="12" s="1"/>
  <c r="F24" i="39" s="1"/>
  <c r="O109" i="11"/>
  <c r="G115" i="34" s="1"/>
  <c r="G109" i="12" s="1"/>
  <c r="F109" i="39" s="1"/>
  <c r="O18" i="11"/>
  <c r="G24" i="34" s="1"/>
  <c r="G18" i="12" s="1"/>
  <c r="F18" i="39" s="1"/>
  <c r="O155" i="11"/>
  <c r="G161" i="34" s="1"/>
  <c r="G155" i="12" s="1"/>
  <c r="F155" i="39" s="1"/>
  <c r="O93" i="11"/>
  <c r="G99" i="34" s="1"/>
  <c r="G93" i="12" s="1"/>
  <c r="F93" i="39" s="1"/>
  <c r="O11" i="11"/>
  <c r="G17" i="34" s="1"/>
  <c r="G11" i="12" s="1"/>
  <c r="F11" i="39" s="1"/>
  <c r="O51" i="11"/>
  <c r="G57" i="34" s="1"/>
  <c r="G51" i="12" s="1"/>
  <c r="F51" i="39" s="1"/>
  <c r="O188" i="11"/>
  <c r="G194" i="34" s="1"/>
  <c r="G188" i="12" s="1"/>
  <c r="F188" i="39" s="1"/>
  <c r="O277" i="11"/>
  <c r="G283" i="34" s="1"/>
  <c r="G277" i="12" s="1"/>
  <c r="F277" i="39" s="1"/>
  <c r="O252" i="11"/>
  <c r="G258" i="34" s="1"/>
  <c r="G252" i="12" s="1"/>
  <c r="F252" i="39" s="1"/>
  <c r="O59" i="11"/>
  <c r="G65" i="34" s="1"/>
  <c r="G59" i="12" s="1"/>
  <c r="F59" i="39" s="1"/>
  <c r="O247" i="11"/>
  <c r="G253" i="34" s="1"/>
  <c r="G247" i="12" s="1"/>
  <c r="F247" i="39" s="1"/>
  <c r="O220" i="11"/>
  <c r="G226" i="34" s="1"/>
  <c r="G220" i="12" s="1"/>
  <c r="F220" i="39" s="1"/>
  <c r="O27" i="11"/>
  <c r="G33" i="34" s="1"/>
  <c r="G27" i="12" s="1"/>
  <c r="F27" i="39" s="1"/>
  <c r="O148" i="11"/>
  <c r="G154" i="34" s="1"/>
  <c r="G148" i="12" s="1"/>
  <c r="F148" i="39" s="1"/>
  <c r="O278" i="11"/>
  <c r="G284" i="34" s="1"/>
  <c r="G278" i="12" s="1"/>
  <c r="F278" i="39" s="1"/>
  <c r="O33" i="11"/>
  <c r="G39" i="34" s="1"/>
  <c r="G33" i="12" s="1"/>
  <c r="F33" i="39" s="1"/>
  <c r="O70" i="11"/>
  <c r="G76" i="34" s="1"/>
  <c r="G70" i="12" s="1"/>
  <c r="F70" i="39" s="1"/>
  <c r="O267" i="11"/>
  <c r="G273" i="34" s="1"/>
  <c r="G267" i="12" s="1"/>
  <c r="F267" i="39" s="1"/>
  <c r="O256" i="11"/>
  <c r="G262" i="34" s="1"/>
  <c r="G256" i="12" s="1"/>
  <c r="F256" i="39" s="1"/>
  <c r="O35" i="11"/>
  <c r="G41" i="34" s="1"/>
  <c r="G35" i="12" s="1"/>
  <c r="F35" i="39" s="1"/>
  <c r="O202" i="11"/>
  <c r="G208" i="34" s="1"/>
  <c r="G202" i="12" s="1"/>
  <c r="F202" i="39" s="1"/>
  <c r="O302" i="11"/>
  <c r="G308" i="34" s="1"/>
  <c r="G302" i="12" s="1"/>
  <c r="F302" i="39" s="1"/>
  <c r="O254" i="11"/>
  <c r="G260" i="34" s="1"/>
  <c r="G254" i="12" s="1"/>
  <c r="F254" i="39" s="1"/>
  <c r="O90" i="11"/>
  <c r="G96" i="34" s="1"/>
  <c r="G90" i="12" s="1"/>
  <c r="F90" i="39" s="1"/>
  <c r="O271" i="11"/>
  <c r="G277" i="34" s="1"/>
  <c r="G271" i="12" s="1"/>
  <c r="F271" i="39" s="1"/>
  <c r="O288" i="11"/>
  <c r="G294" i="34" s="1"/>
  <c r="G288" i="12" s="1"/>
  <c r="F288" i="39" s="1"/>
  <c r="O77" i="11"/>
  <c r="G83" i="34" s="1"/>
  <c r="G77" i="12" s="1"/>
  <c r="F77" i="39" s="1"/>
  <c r="O257" i="11"/>
  <c r="G263" i="34" s="1"/>
  <c r="G257" i="12" s="1"/>
  <c r="F257" i="39" s="1"/>
  <c r="O305" i="11"/>
  <c r="G311" i="34" s="1"/>
  <c r="G305" i="12" s="1"/>
  <c r="F305" i="39" s="1"/>
  <c r="O91" i="11"/>
  <c r="G97" i="34" s="1"/>
  <c r="G91" i="12" s="1"/>
  <c r="F91" i="39" s="1"/>
  <c r="E44" i="48"/>
  <c r="F44" i="48" s="1"/>
  <c r="M306" i="11"/>
  <c r="G151" i="34"/>
  <c r="G145" i="12" s="1"/>
  <c r="F145" i="39" s="1"/>
  <c r="G296" i="34"/>
  <c r="G290" i="12" s="1"/>
  <c r="F290" i="39" s="1"/>
  <c r="G206" i="34"/>
  <c r="G200" i="12" s="1"/>
  <c r="F200" i="39" s="1"/>
  <c r="G276" i="34"/>
  <c r="G270" i="12" s="1"/>
  <c r="F270" i="39" s="1"/>
  <c r="G125" i="34"/>
  <c r="G119" i="12" s="1"/>
  <c r="F119" i="39" s="1"/>
  <c r="G84" i="34"/>
  <c r="G78" i="12" s="1"/>
  <c r="F78" i="39" s="1"/>
  <c r="G155" i="34"/>
  <c r="G149" i="12" s="1"/>
  <c r="F149" i="39" s="1"/>
  <c r="G148" i="34"/>
  <c r="G142" i="12" s="1"/>
  <c r="F142" i="39" s="1"/>
  <c r="G281" i="34"/>
  <c r="G275" i="12" s="1"/>
  <c r="F275" i="39" s="1"/>
  <c r="G122" i="34"/>
  <c r="G116" i="12" s="1"/>
  <c r="F116" i="39" s="1"/>
  <c r="G64" i="34"/>
  <c r="G58" i="12" s="1"/>
  <c r="F58" i="39" s="1"/>
  <c r="G54" i="34"/>
  <c r="G48" i="12" s="1"/>
  <c r="F48" i="39" s="1"/>
  <c r="G293" i="34"/>
  <c r="G287" i="12" s="1"/>
  <c r="F287" i="39" s="1"/>
  <c r="G269" i="34"/>
  <c r="G263" i="12" s="1"/>
  <c r="F263" i="39" s="1"/>
  <c r="G72" i="34"/>
  <c r="G66" i="12" s="1"/>
  <c r="F66" i="39" s="1"/>
  <c r="G40" i="34"/>
  <c r="G34" i="12" s="1"/>
  <c r="F34" i="39" s="1"/>
  <c r="G75" i="34"/>
  <c r="G69" i="12" s="1"/>
  <c r="F69" i="39" s="1"/>
  <c r="G307" i="34"/>
  <c r="G301" i="12" s="1"/>
  <c r="F301" i="39" s="1"/>
  <c r="D203" i="54"/>
  <c r="E203" i="54" s="1"/>
  <c r="D254" i="54"/>
  <c r="E254" i="54" s="1"/>
  <c r="D159" i="54"/>
  <c r="E159" i="54" s="1"/>
  <c r="D196" i="54"/>
  <c r="E196" i="54" s="1"/>
  <c r="D113" i="54"/>
  <c r="E113" i="54" s="1"/>
  <c r="D106" i="54"/>
  <c r="E106" i="54" s="1"/>
  <c r="F22" i="48"/>
  <c r="F24" i="48" s="1"/>
  <c r="D144" i="54"/>
  <c r="E144" i="54" s="1"/>
  <c r="D218" i="54"/>
  <c r="E218" i="54" s="1"/>
  <c r="D47" i="54"/>
  <c r="E47" i="54" s="1"/>
  <c r="D60" i="54"/>
  <c r="E60" i="54" s="1"/>
  <c r="D131" i="54"/>
  <c r="E131" i="54" s="1"/>
  <c r="D240" i="54"/>
  <c r="E240" i="54" s="1"/>
  <c r="D172" i="54"/>
  <c r="E172" i="54" s="1"/>
  <c r="D61" i="54"/>
  <c r="E61" i="54" s="1"/>
  <c r="D10" i="54"/>
  <c r="E10" i="54" s="1"/>
  <c r="D181" i="54"/>
  <c r="E181" i="54" s="1"/>
  <c r="D210" i="54"/>
  <c r="E210" i="54" s="1"/>
  <c r="D169" i="54"/>
  <c r="E169" i="54" s="1"/>
  <c r="D30" i="54"/>
  <c r="E30" i="54" s="1"/>
  <c r="D289" i="54"/>
  <c r="E289" i="54" s="1"/>
  <c r="D280" i="54"/>
  <c r="E280" i="54" s="1"/>
  <c r="D42" i="54"/>
  <c r="E42" i="54" s="1"/>
  <c r="D215" i="54"/>
  <c r="E215" i="54" s="1"/>
  <c r="D182" i="54"/>
  <c r="E182" i="54" s="1"/>
  <c r="D161" i="54"/>
  <c r="E161" i="54" s="1"/>
  <c r="D36" i="54"/>
  <c r="E36" i="54" s="1"/>
  <c r="D164" i="54"/>
  <c r="E164" i="54" s="1"/>
  <c r="D132" i="54"/>
  <c r="E132" i="54" s="1"/>
  <c r="D174" i="54"/>
  <c r="E174" i="54" s="1"/>
  <c r="D293" i="54"/>
  <c r="E293" i="54" s="1"/>
  <c r="D216" i="54"/>
  <c r="E216" i="54" s="1"/>
  <c r="D207" i="54"/>
  <c r="E207" i="54" s="1"/>
  <c r="D115" i="54"/>
  <c r="E115" i="54" s="1"/>
  <c r="D78" i="54"/>
  <c r="E78" i="54" s="1"/>
  <c r="D191" i="54"/>
  <c r="E191" i="54" s="1"/>
  <c r="D150" i="54"/>
  <c r="E150" i="54" s="1"/>
  <c r="D202" i="54"/>
  <c r="E202" i="54" s="1"/>
  <c r="D173" i="54"/>
  <c r="E173" i="54" s="1"/>
  <c r="D137" i="54"/>
  <c r="E137" i="54" s="1"/>
  <c r="D300" i="54"/>
  <c r="E300" i="54" s="1"/>
  <c r="D79" i="54"/>
  <c r="E79" i="54" s="1"/>
  <c r="D282" i="54"/>
  <c r="E282" i="54" s="1"/>
  <c r="D245" i="54"/>
  <c r="E245" i="54" s="1"/>
  <c r="D110" i="54"/>
  <c r="E110" i="54" s="1"/>
  <c r="D49" i="54"/>
  <c r="E49" i="54" s="1"/>
  <c r="D183" i="54"/>
  <c r="E183" i="54" s="1"/>
  <c r="H312" i="9"/>
  <c r="I12" i="9"/>
  <c r="D284" i="54"/>
  <c r="E284" i="54" s="1"/>
  <c r="D250" i="54"/>
  <c r="E250" i="54" s="1"/>
  <c r="D54" i="54"/>
  <c r="E54" i="54" s="1"/>
  <c r="D259" i="54"/>
  <c r="E259" i="54" s="1"/>
  <c r="D175" i="54"/>
  <c r="E175" i="54" s="1"/>
  <c r="D143" i="54"/>
  <c r="E143" i="54" s="1"/>
  <c r="G12" i="34"/>
  <c r="D186" i="54"/>
  <c r="E186" i="54" s="1"/>
  <c r="D260" i="54"/>
  <c r="E260" i="54" s="1"/>
  <c r="D230" i="54"/>
  <c r="E230" i="54" s="1"/>
  <c r="D246" i="54"/>
  <c r="E246" i="54" s="1"/>
  <c r="D123" i="54"/>
  <c r="E123" i="54" s="1"/>
  <c r="D24" i="54"/>
  <c r="E24" i="54" s="1"/>
  <c r="D265" i="54"/>
  <c r="E265" i="54" s="1"/>
  <c r="D285" i="54"/>
  <c r="E285" i="54" s="1"/>
  <c r="D274" i="54"/>
  <c r="E274" i="54" s="1"/>
  <c r="D125" i="54"/>
  <c r="E125" i="54" s="1"/>
  <c r="D264" i="54"/>
  <c r="E264" i="54" s="1"/>
  <c r="D229" i="54"/>
  <c r="E229" i="54" s="1"/>
  <c r="D55" i="54"/>
  <c r="E55" i="54" s="1"/>
  <c r="D29" i="54"/>
  <c r="E29" i="54" s="1"/>
  <c r="D40" i="54"/>
  <c r="E40" i="54" s="1"/>
  <c r="D59" i="54"/>
  <c r="E59" i="54" s="1"/>
  <c r="D65" i="54"/>
  <c r="E65" i="54" s="1"/>
  <c r="D234" i="54"/>
  <c r="E234" i="54" s="1"/>
  <c r="D197" i="54"/>
  <c r="E197" i="54" s="1"/>
  <c r="D236" i="54"/>
  <c r="E236" i="54" s="1"/>
  <c r="D227" i="54"/>
  <c r="E227" i="54" s="1"/>
  <c r="D31" i="54"/>
  <c r="E31" i="54" s="1"/>
  <c r="D34" i="54"/>
  <c r="E34" i="54" s="1"/>
  <c r="D134" i="54"/>
  <c r="E134" i="54" s="1"/>
  <c r="D217" i="54"/>
  <c r="E217" i="54" s="1"/>
  <c r="D267" i="54"/>
  <c r="E267" i="54" s="1"/>
  <c r="D152" i="54"/>
  <c r="E152" i="54" s="1"/>
  <c r="D27" i="54"/>
  <c r="E27" i="54" s="1"/>
  <c r="D53" i="54"/>
  <c r="E53" i="54" s="1"/>
  <c r="D188" i="54"/>
  <c r="E188" i="54" s="1"/>
  <c r="D90" i="54"/>
  <c r="E90" i="54" s="1"/>
  <c r="D247" i="54"/>
  <c r="E247" i="54" s="1"/>
  <c r="D235" i="54"/>
  <c r="E235" i="54" s="1"/>
  <c r="D107" i="54"/>
  <c r="E107" i="54" s="1"/>
  <c r="D66" i="54"/>
  <c r="E66" i="54" s="1"/>
  <c r="D135" i="54"/>
  <c r="E135" i="54" s="1"/>
  <c r="D120" i="54"/>
  <c r="E120" i="54" s="1"/>
  <c r="D178" i="54"/>
  <c r="E178" i="54" s="1"/>
  <c r="D32" i="54"/>
  <c r="E32" i="54" s="1"/>
  <c r="D15" i="54"/>
  <c r="E15" i="54" s="1"/>
  <c r="D286" i="54"/>
  <c r="E286" i="54" s="1"/>
  <c r="D156" i="54"/>
  <c r="E156" i="54" s="1"/>
  <c r="D130" i="54"/>
  <c r="E130" i="54" s="1"/>
  <c r="D94" i="54"/>
  <c r="E94" i="54" s="1"/>
  <c r="D179" i="54"/>
  <c r="E179" i="54" s="1"/>
  <c r="D193" i="54"/>
  <c r="E193" i="54" s="1"/>
  <c r="D206" i="54"/>
  <c r="E206" i="54" s="1"/>
  <c r="D255" i="54"/>
  <c r="E255" i="54" s="1"/>
  <c r="D64" i="54"/>
  <c r="E64" i="54" s="1"/>
  <c r="D100" i="54"/>
  <c r="E100" i="54" s="1"/>
  <c r="D304" i="54"/>
  <c r="E304" i="54" s="1"/>
  <c r="D122" i="54"/>
  <c r="E122" i="54" s="1"/>
  <c r="D41" i="54"/>
  <c r="E41" i="54" s="1"/>
  <c r="D303" i="54"/>
  <c r="E303" i="54" s="1"/>
  <c r="D108" i="54"/>
  <c r="E108" i="54" s="1"/>
  <c r="D13" i="54"/>
  <c r="E13" i="54" s="1"/>
  <c r="G312" i="34" l="1"/>
  <c r="O306" i="11"/>
  <c r="G6" i="12"/>
  <c r="F6" i="39" s="1"/>
  <c r="D6" i="12"/>
  <c r="G5" i="25"/>
  <c r="I312" i="9"/>
  <c r="D306" i="12" s="1"/>
  <c r="E6" i="39"/>
  <c r="D272" i="54"/>
  <c r="D6" i="54" l="1"/>
  <c r="G305" i="25"/>
  <c r="E272" i="54"/>
  <c r="D65" i="48" s="1"/>
  <c r="D64" i="48"/>
  <c r="E6" i="54" l="1"/>
  <c r="E306" i="54" s="1"/>
  <c r="D306" i="54"/>
  <c r="G306" i="12"/>
  <c r="G11" i="34"/>
  <c r="C5" i="34"/>
  <c r="D5" i="34" s="1"/>
  <c r="D8" i="34" s="1"/>
  <c r="J11" i="34" s="1"/>
  <c r="J284" i="34" s="1"/>
  <c r="H278" i="12" s="1"/>
  <c r="I278" i="12" s="1"/>
  <c r="C8" i="34" l="1"/>
  <c r="J278" i="12"/>
  <c r="K278" i="12" s="1"/>
  <c r="D278" i="39"/>
  <c r="G278" i="39" s="1"/>
  <c r="H278" i="39" s="1"/>
  <c r="I278" i="39" s="1"/>
  <c r="J45" i="34"/>
  <c r="H39" i="12" s="1"/>
  <c r="I39" i="12" s="1"/>
  <c r="J165" i="34"/>
  <c r="H159" i="12" s="1"/>
  <c r="I159" i="12" s="1"/>
  <c r="J291" i="34"/>
  <c r="H285" i="12" s="1"/>
  <c r="I285" i="12" s="1"/>
  <c r="J90" i="34"/>
  <c r="H84" i="12" s="1"/>
  <c r="I84" i="12" s="1"/>
  <c r="J12" i="34"/>
  <c r="H6" i="12" s="1"/>
  <c r="I6" i="12" s="1"/>
  <c r="J203" i="34"/>
  <c r="H197" i="12" s="1"/>
  <c r="I197" i="12" s="1"/>
  <c r="J62" i="34"/>
  <c r="H56" i="12" s="1"/>
  <c r="I56" i="12" s="1"/>
  <c r="J248" i="34"/>
  <c r="H242" i="12" s="1"/>
  <c r="I242" i="12" s="1"/>
  <c r="J254" i="34"/>
  <c r="H248" i="12" s="1"/>
  <c r="I248" i="12" s="1"/>
  <c r="J170" i="34"/>
  <c r="H164" i="12" s="1"/>
  <c r="I164" i="12" s="1"/>
  <c r="J233" i="34"/>
  <c r="H227" i="12" s="1"/>
  <c r="I227" i="12" s="1"/>
  <c r="J211" i="34"/>
  <c r="H205" i="12" s="1"/>
  <c r="I205" i="12" s="1"/>
  <c r="J308" i="34"/>
  <c r="H302" i="12" s="1"/>
  <c r="I302" i="12" s="1"/>
  <c r="J22" i="34"/>
  <c r="H16" i="12" s="1"/>
  <c r="I16" i="12" s="1"/>
  <c r="J232" i="34"/>
  <c r="H226" i="12" s="1"/>
  <c r="I226" i="12" s="1"/>
  <c r="J257" i="34"/>
  <c r="H251" i="12" s="1"/>
  <c r="I251" i="12" s="1"/>
  <c r="J167" i="34"/>
  <c r="H161" i="12" s="1"/>
  <c r="I161" i="12" s="1"/>
  <c r="J158" i="34"/>
  <c r="H152" i="12" s="1"/>
  <c r="I152" i="12" s="1"/>
  <c r="J264" i="34"/>
  <c r="H258" i="12" s="1"/>
  <c r="I258" i="12" s="1"/>
  <c r="J276" i="34"/>
  <c r="H270" i="12" s="1"/>
  <c r="I270" i="12" s="1"/>
  <c r="J42" i="34"/>
  <c r="H36" i="12" s="1"/>
  <c r="I36" i="12" s="1"/>
  <c r="J51" i="34"/>
  <c r="H45" i="12" s="1"/>
  <c r="I45" i="12" s="1"/>
  <c r="J43" i="34"/>
  <c r="H37" i="12" s="1"/>
  <c r="I37" i="12" s="1"/>
  <c r="J180" i="34"/>
  <c r="H174" i="12" s="1"/>
  <c r="I174" i="12" s="1"/>
  <c r="J130" i="34"/>
  <c r="H124" i="12" s="1"/>
  <c r="I124" i="12" s="1"/>
  <c r="J295" i="34"/>
  <c r="H289" i="12" s="1"/>
  <c r="I289" i="12" s="1"/>
  <c r="J210" i="34"/>
  <c r="H204" i="12" s="1"/>
  <c r="I204" i="12" s="1"/>
  <c r="J99" i="34"/>
  <c r="H93" i="12" s="1"/>
  <c r="I93" i="12" s="1"/>
  <c r="J85" i="34"/>
  <c r="H79" i="12" s="1"/>
  <c r="I79" i="12" s="1"/>
  <c r="J74" i="34"/>
  <c r="H68" i="12" s="1"/>
  <c r="I68" i="12" s="1"/>
  <c r="J118" i="34"/>
  <c r="H112" i="12" s="1"/>
  <c r="I112" i="12" s="1"/>
  <c r="J111" i="34"/>
  <c r="H105" i="12" s="1"/>
  <c r="I105" i="12" s="1"/>
  <c r="J219" i="34"/>
  <c r="H213" i="12" s="1"/>
  <c r="I213" i="12" s="1"/>
  <c r="J124" i="34"/>
  <c r="H118" i="12" s="1"/>
  <c r="I118" i="12" s="1"/>
  <c r="J183" i="34"/>
  <c r="H177" i="12" s="1"/>
  <c r="I177" i="12" s="1"/>
  <c r="J253" i="34"/>
  <c r="H247" i="12" s="1"/>
  <c r="I247" i="12" s="1"/>
  <c r="J30" i="34"/>
  <c r="H24" i="12" s="1"/>
  <c r="I24" i="12" s="1"/>
  <c r="J98" i="34"/>
  <c r="H92" i="12" s="1"/>
  <c r="I92" i="12" s="1"/>
  <c r="J260" i="34"/>
  <c r="H254" i="12" s="1"/>
  <c r="I254" i="12" s="1"/>
  <c r="J144" i="34"/>
  <c r="H138" i="12" s="1"/>
  <c r="I138" i="12" s="1"/>
  <c r="J230" i="34"/>
  <c r="H224" i="12" s="1"/>
  <c r="I224" i="12" s="1"/>
  <c r="J293" i="34"/>
  <c r="H287" i="12" s="1"/>
  <c r="I287" i="12" s="1"/>
  <c r="J266" i="34"/>
  <c r="H260" i="12" s="1"/>
  <c r="I260" i="12" s="1"/>
  <c r="J68" i="34"/>
  <c r="H62" i="12" s="1"/>
  <c r="I62" i="12" s="1"/>
  <c r="J240" i="34"/>
  <c r="H234" i="12" s="1"/>
  <c r="I234" i="12" s="1"/>
  <c r="J148" i="34"/>
  <c r="H142" i="12" s="1"/>
  <c r="I142" i="12" s="1"/>
  <c r="J310" i="34"/>
  <c r="H304" i="12" s="1"/>
  <c r="I304" i="12" s="1"/>
  <c r="J38" i="34"/>
  <c r="H32" i="12" s="1"/>
  <c r="I32" i="12" s="1"/>
  <c r="J95" i="34"/>
  <c r="H89" i="12" s="1"/>
  <c r="I89" i="12" s="1"/>
  <c r="J87" i="34"/>
  <c r="H81" i="12" s="1"/>
  <c r="I81" i="12" s="1"/>
  <c r="J246" i="34"/>
  <c r="H240" i="12" s="1"/>
  <c r="I240" i="12" s="1"/>
  <c r="J200" i="34"/>
  <c r="H194" i="12" s="1"/>
  <c r="I194" i="12" s="1"/>
  <c r="J227" i="34"/>
  <c r="H221" i="12" s="1"/>
  <c r="I221" i="12" s="1"/>
  <c r="J265" i="34"/>
  <c r="H259" i="12" s="1"/>
  <c r="I259" i="12" s="1"/>
  <c r="J204" i="34"/>
  <c r="H198" i="12" s="1"/>
  <c r="I198" i="12" s="1"/>
  <c r="J282" i="34"/>
  <c r="H276" i="12" s="1"/>
  <c r="I276" i="12" s="1"/>
  <c r="J133" i="34"/>
  <c r="H127" i="12" s="1"/>
  <c r="I127" i="12" s="1"/>
  <c r="J191" i="34"/>
  <c r="H185" i="12" s="1"/>
  <c r="I185" i="12" s="1"/>
  <c r="J15" i="34"/>
  <c r="H9" i="12" s="1"/>
  <c r="I9" i="12" s="1"/>
  <c r="J75" i="34"/>
  <c r="H69" i="12" s="1"/>
  <c r="I69" i="12" s="1"/>
  <c r="J119" i="34"/>
  <c r="H113" i="12" s="1"/>
  <c r="I113" i="12" s="1"/>
  <c r="J280" i="34"/>
  <c r="H274" i="12" s="1"/>
  <c r="I274" i="12" s="1"/>
  <c r="J226" i="34"/>
  <c r="H220" i="12" s="1"/>
  <c r="I220" i="12" s="1"/>
  <c r="J82" i="34"/>
  <c r="H76" i="12" s="1"/>
  <c r="I76" i="12" s="1"/>
  <c r="J212" i="34"/>
  <c r="H206" i="12" s="1"/>
  <c r="I206" i="12" s="1"/>
  <c r="J36" i="34"/>
  <c r="H30" i="12" s="1"/>
  <c r="I30" i="12" s="1"/>
  <c r="J215" i="34"/>
  <c r="H209" i="12" s="1"/>
  <c r="I209" i="12" s="1"/>
  <c r="J76" i="34"/>
  <c r="H70" i="12" s="1"/>
  <c r="I70" i="12" s="1"/>
  <c r="J35" i="34"/>
  <c r="H29" i="12" s="1"/>
  <c r="I29" i="12" s="1"/>
  <c r="J223" i="34"/>
  <c r="H217" i="12" s="1"/>
  <c r="I217" i="12" s="1"/>
  <c r="J59" i="34"/>
  <c r="H53" i="12" s="1"/>
  <c r="I53" i="12" s="1"/>
  <c r="J143" i="34"/>
  <c r="H137" i="12" s="1"/>
  <c r="I137" i="12" s="1"/>
  <c r="J287" i="34"/>
  <c r="H281" i="12" s="1"/>
  <c r="I281" i="12" s="1"/>
  <c r="J271" i="34"/>
  <c r="H265" i="12" s="1"/>
  <c r="I265" i="12" s="1"/>
  <c r="J245" i="34"/>
  <c r="H239" i="12" s="1"/>
  <c r="I239" i="12" s="1"/>
  <c r="J54" i="34"/>
  <c r="H48" i="12" s="1"/>
  <c r="I48" i="12" s="1"/>
  <c r="J244" i="34"/>
  <c r="H238" i="12" s="1"/>
  <c r="I238" i="12" s="1"/>
  <c r="J311" i="34"/>
  <c r="H305" i="12" s="1"/>
  <c r="I305" i="12" s="1"/>
  <c r="J77" i="34"/>
  <c r="H71" i="12" s="1"/>
  <c r="I71" i="12" s="1"/>
  <c r="J179" i="34"/>
  <c r="H173" i="12" s="1"/>
  <c r="I173" i="12" s="1"/>
  <c r="J21" i="34"/>
  <c r="H15" i="12" s="1"/>
  <c r="I15" i="12" s="1"/>
  <c r="J277" i="34"/>
  <c r="H271" i="12" s="1"/>
  <c r="I271" i="12" s="1"/>
  <c r="J272" i="34"/>
  <c r="H266" i="12" s="1"/>
  <c r="I266" i="12" s="1"/>
  <c r="J137" i="34"/>
  <c r="H131" i="12" s="1"/>
  <c r="I131" i="12" s="1"/>
  <c r="J41" i="34"/>
  <c r="H35" i="12" s="1"/>
  <c r="I35" i="12" s="1"/>
  <c r="J304" i="34"/>
  <c r="H298" i="12" s="1"/>
  <c r="I298" i="12" s="1"/>
  <c r="J33" i="34"/>
  <c r="H27" i="12" s="1"/>
  <c r="I27" i="12" s="1"/>
  <c r="J84" i="34"/>
  <c r="H78" i="12" s="1"/>
  <c r="I78" i="12" s="1"/>
  <c r="J39" i="34"/>
  <c r="H33" i="12" s="1"/>
  <c r="I33" i="12" s="1"/>
  <c r="J102" i="34"/>
  <c r="H96" i="12" s="1"/>
  <c r="I96" i="12" s="1"/>
  <c r="J126" i="34"/>
  <c r="H120" i="12" s="1"/>
  <c r="I120" i="12" s="1"/>
  <c r="J263" i="34"/>
  <c r="H257" i="12" s="1"/>
  <c r="I257" i="12" s="1"/>
  <c r="J131" i="34"/>
  <c r="H125" i="12" s="1"/>
  <c r="I125" i="12" s="1"/>
  <c r="J252" i="34"/>
  <c r="H246" i="12" s="1"/>
  <c r="I246" i="12" s="1"/>
  <c r="J26" i="34"/>
  <c r="H20" i="12" s="1"/>
  <c r="I20" i="12" s="1"/>
  <c r="J258" i="34"/>
  <c r="H252" i="12" s="1"/>
  <c r="I252" i="12" s="1"/>
  <c r="J14" i="34"/>
  <c r="H8" i="12" s="1"/>
  <c r="I8" i="12" s="1"/>
  <c r="J160" i="34"/>
  <c r="H154" i="12" s="1"/>
  <c r="I154" i="12" s="1"/>
  <c r="J231" i="34"/>
  <c r="H225" i="12" s="1"/>
  <c r="I225" i="12" s="1"/>
  <c r="J193" i="34"/>
  <c r="H187" i="12" s="1"/>
  <c r="I187" i="12" s="1"/>
  <c r="J171" i="34"/>
  <c r="H165" i="12" s="1"/>
  <c r="I165" i="12" s="1"/>
  <c r="J78" i="34"/>
  <c r="H72" i="12" s="1"/>
  <c r="I72" i="12" s="1"/>
  <c r="J247" i="34"/>
  <c r="H241" i="12" s="1"/>
  <c r="I241" i="12" s="1"/>
  <c r="J110" i="34"/>
  <c r="H104" i="12" s="1"/>
  <c r="I104" i="12" s="1"/>
  <c r="J81" i="34"/>
  <c r="H75" i="12" s="1"/>
  <c r="I75" i="12" s="1"/>
  <c r="J273" i="34"/>
  <c r="H267" i="12" s="1"/>
  <c r="I267" i="12" s="1"/>
  <c r="J80" i="34"/>
  <c r="H74" i="12" s="1"/>
  <c r="I74" i="12" s="1"/>
  <c r="J162" i="34"/>
  <c r="H156" i="12" s="1"/>
  <c r="I156" i="12" s="1"/>
  <c r="J128" i="34"/>
  <c r="H122" i="12" s="1"/>
  <c r="I122" i="12" s="1"/>
  <c r="J117" i="34"/>
  <c r="H111" i="12" s="1"/>
  <c r="I111" i="12" s="1"/>
  <c r="J127" i="34"/>
  <c r="H121" i="12" s="1"/>
  <c r="I121" i="12" s="1"/>
  <c r="J301" i="34"/>
  <c r="H295" i="12" s="1"/>
  <c r="I295" i="12" s="1"/>
  <c r="J213" i="34"/>
  <c r="H207" i="12" s="1"/>
  <c r="I207" i="12" s="1"/>
  <c r="J61" i="34"/>
  <c r="H55" i="12" s="1"/>
  <c r="I55" i="12" s="1"/>
  <c r="J194" i="34"/>
  <c r="H188" i="12" s="1"/>
  <c r="I188" i="12" s="1"/>
  <c r="J300" i="34"/>
  <c r="H294" i="12" s="1"/>
  <c r="I294" i="12" s="1"/>
  <c r="J250" i="34"/>
  <c r="H244" i="12" s="1"/>
  <c r="I244" i="12" s="1"/>
  <c r="J218" i="34"/>
  <c r="H212" i="12" s="1"/>
  <c r="I212" i="12" s="1"/>
  <c r="J79" i="34"/>
  <c r="H73" i="12" s="1"/>
  <c r="I73" i="12" s="1"/>
  <c r="J188" i="34"/>
  <c r="H182" i="12" s="1"/>
  <c r="I182" i="12" s="1"/>
  <c r="J134" i="34"/>
  <c r="H128" i="12" s="1"/>
  <c r="I128" i="12" s="1"/>
  <c r="J16" i="34"/>
  <c r="H10" i="12" s="1"/>
  <c r="I10" i="12" s="1"/>
  <c r="J147" i="34"/>
  <c r="H141" i="12" s="1"/>
  <c r="I141" i="12" s="1"/>
  <c r="J249" i="34"/>
  <c r="H243" i="12" s="1"/>
  <c r="I243" i="12" s="1"/>
  <c r="J207" i="34"/>
  <c r="H201" i="12" s="1"/>
  <c r="I201" i="12" s="1"/>
  <c r="J28" i="34"/>
  <c r="H22" i="12" s="1"/>
  <c r="I22" i="12" s="1"/>
  <c r="J283" i="34"/>
  <c r="H277" i="12" s="1"/>
  <c r="I277" i="12" s="1"/>
  <c r="J37" i="34"/>
  <c r="H31" i="12" s="1"/>
  <c r="I31" i="12" s="1"/>
  <c r="J229" i="34"/>
  <c r="H223" i="12" s="1"/>
  <c r="I223" i="12" s="1"/>
  <c r="J73" i="34"/>
  <c r="H67" i="12" s="1"/>
  <c r="I67" i="12" s="1"/>
  <c r="J150" i="34"/>
  <c r="H144" i="12" s="1"/>
  <c r="I144" i="12" s="1"/>
  <c r="J63" i="34"/>
  <c r="H57" i="12" s="1"/>
  <c r="I57" i="12" s="1"/>
  <c r="J174" i="34"/>
  <c r="H168" i="12" s="1"/>
  <c r="I168" i="12" s="1"/>
  <c r="J228" i="34"/>
  <c r="H222" i="12" s="1"/>
  <c r="I222" i="12" s="1"/>
  <c r="J199" i="34"/>
  <c r="H193" i="12" s="1"/>
  <c r="I193" i="12" s="1"/>
  <c r="J55" i="34"/>
  <c r="H49" i="12" s="1"/>
  <c r="I49" i="12" s="1"/>
  <c r="J114" i="34"/>
  <c r="H108" i="12" s="1"/>
  <c r="I108" i="12" s="1"/>
  <c r="J241" i="34"/>
  <c r="H235" i="12" s="1"/>
  <c r="I235" i="12" s="1"/>
  <c r="J52" i="34"/>
  <c r="H46" i="12" s="1"/>
  <c r="I46" i="12" s="1"/>
  <c r="J278" i="34"/>
  <c r="H272" i="12" s="1"/>
  <c r="I272" i="12" s="1"/>
  <c r="J101" i="34"/>
  <c r="H95" i="12" s="1"/>
  <c r="I95" i="12" s="1"/>
  <c r="J89" i="34"/>
  <c r="H83" i="12" s="1"/>
  <c r="I83" i="12" s="1"/>
  <c r="J64" i="34"/>
  <c r="H58" i="12" s="1"/>
  <c r="I58" i="12" s="1"/>
  <c r="J256" i="34"/>
  <c r="H250" i="12" s="1"/>
  <c r="I250" i="12" s="1"/>
  <c r="J220" i="34"/>
  <c r="H214" i="12" s="1"/>
  <c r="I214" i="12" s="1"/>
  <c r="J57" i="34"/>
  <c r="H51" i="12" s="1"/>
  <c r="I51" i="12" s="1"/>
  <c r="J297" i="34"/>
  <c r="H291" i="12" s="1"/>
  <c r="I291" i="12" s="1"/>
  <c r="J19" i="34"/>
  <c r="H13" i="12" s="1"/>
  <c r="I13" i="12" s="1"/>
  <c r="J299" i="34"/>
  <c r="H293" i="12" s="1"/>
  <c r="I293" i="12" s="1"/>
  <c r="J109" i="34"/>
  <c r="H103" i="12" s="1"/>
  <c r="I103" i="12" s="1"/>
  <c r="J13" i="34"/>
  <c r="H7" i="12" s="1"/>
  <c r="I7" i="12" s="1"/>
  <c r="J208" i="34"/>
  <c r="H202" i="12" s="1"/>
  <c r="I202" i="12" s="1"/>
  <c r="J202" i="34"/>
  <c r="H196" i="12" s="1"/>
  <c r="I196" i="12" s="1"/>
  <c r="J270" i="34"/>
  <c r="H264" i="12" s="1"/>
  <c r="I264" i="12" s="1"/>
  <c r="J116" i="34"/>
  <c r="H110" i="12" s="1"/>
  <c r="I110" i="12" s="1"/>
  <c r="J140" i="34"/>
  <c r="H134" i="12" s="1"/>
  <c r="I134" i="12" s="1"/>
  <c r="J281" i="34"/>
  <c r="H275" i="12" s="1"/>
  <c r="I275" i="12" s="1"/>
  <c r="J209" i="34"/>
  <c r="H203" i="12" s="1"/>
  <c r="I203" i="12" s="1"/>
  <c r="J27" i="34"/>
  <c r="H21" i="12" s="1"/>
  <c r="I21" i="12" s="1"/>
  <c r="J195" i="34"/>
  <c r="H189" i="12" s="1"/>
  <c r="I189" i="12" s="1"/>
  <c r="J190" i="34"/>
  <c r="H184" i="12" s="1"/>
  <c r="I184" i="12" s="1"/>
  <c r="J132" i="34"/>
  <c r="H126" i="12" s="1"/>
  <c r="I126" i="12" s="1"/>
  <c r="J142" i="34"/>
  <c r="H136" i="12" s="1"/>
  <c r="I136" i="12" s="1"/>
  <c r="J185" i="34"/>
  <c r="H179" i="12" s="1"/>
  <c r="I179" i="12" s="1"/>
  <c r="J44" i="34"/>
  <c r="H38" i="12" s="1"/>
  <c r="I38" i="12" s="1"/>
  <c r="J251" i="34"/>
  <c r="H245" i="12" s="1"/>
  <c r="I245" i="12" s="1"/>
  <c r="J238" i="34"/>
  <c r="H232" i="12" s="1"/>
  <c r="I232" i="12" s="1"/>
  <c r="J67" i="34"/>
  <c r="H61" i="12" s="1"/>
  <c r="I61" i="12" s="1"/>
  <c r="J186" i="34"/>
  <c r="H180" i="12" s="1"/>
  <c r="I180" i="12" s="1"/>
  <c r="J255" i="34"/>
  <c r="H249" i="12" s="1"/>
  <c r="I249" i="12" s="1"/>
  <c r="J46" i="34"/>
  <c r="H40" i="12" s="1"/>
  <c r="I40" i="12" s="1"/>
  <c r="J303" i="34"/>
  <c r="H297" i="12" s="1"/>
  <c r="I297" i="12" s="1"/>
  <c r="J294" i="34"/>
  <c r="H288" i="12" s="1"/>
  <c r="I288" i="12" s="1"/>
  <c r="J243" i="34"/>
  <c r="H237" i="12" s="1"/>
  <c r="I237" i="12" s="1"/>
  <c r="J93" i="34"/>
  <c r="H87" i="12" s="1"/>
  <c r="I87" i="12" s="1"/>
  <c r="J189" i="34"/>
  <c r="H183" i="12" s="1"/>
  <c r="I183" i="12" s="1"/>
  <c r="J187" i="34"/>
  <c r="H181" i="12" s="1"/>
  <c r="I181" i="12" s="1"/>
  <c r="J83" i="34"/>
  <c r="H77" i="12" s="1"/>
  <c r="I77" i="12" s="1"/>
  <c r="J34" i="34"/>
  <c r="H28" i="12" s="1"/>
  <c r="I28" i="12" s="1"/>
  <c r="J192" i="34"/>
  <c r="H186" i="12" s="1"/>
  <c r="I186" i="12" s="1"/>
  <c r="J275" i="34"/>
  <c r="H269" i="12" s="1"/>
  <c r="I269" i="12" s="1"/>
  <c r="J120" i="34"/>
  <c r="H114" i="12" s="1"/>
  <c r="I114" i="12" s="1"/>
  <c r="J129" i="34"/>
  <c r="H123" i="12" s="1"/>
  <c r="I123" i="12" s="1"/>
  <c r="J100" i="34"/>
  <c r="H94" i="12" s="1"/>
  <c r="I94" i="12" s="1"/>
  <c r="J53" i="34"/>
  <c r="H47" i="12" s="1"/>
  <c r="I47" i="12" s="1"/>
  <c r="J201" i="34"/>
  <c r="H195" i="12" s="1"/>
  <c r="I195" i="12" s="1"/>
  <c r="J69" i="34"/>
  <c r="H63" i="12" s="1"/>
  <c r="I63" i="12" s="1"/>
  <c r="J224" i="34"/>
  <c r="H218" i="12" s="1"/>
  <c r="I218" i="12" s="1"/>
  <c r="J234" i="34"/>
  <c r="H228" i="12" s="1"/>
  <c r="I228" i="12" s="1"/>
  <c r="J152" i="34"/>
  <c r="H146" i="12" s="1"/>
  <c r="I146" i="12" s="1"/>
  <c r="J107" i="34"/>
  <c r="H101" i="12" s="1"/>
  <c r="I101" i="12" s="1"/>
  <c r="J309" i="34"/>
  <c r="H303" i="12" s="1"/>
  <c r="I303" i="12" s="1"/>
  <c r="J279" i="34"/>
  <c r="H273" i="12" s="1"/>
  <c r="I273" i="12" s="1"/>
  <c r="J222" i="34"/>
  <c r="H216" i="12" s="1"/>
  <c r="I216" i="12" s="1"/>
  <c r="J115" i="34"/>
  <c r="H109" i="12" s="1"/>
  <c r="I109" i="12" s="1"/>
  <c r="J60" i="34"/>
  <c r="H54" i="12" s="1"/>
  <c r="I54" i="12" s="1"/>
  <c r="J91" i="34"/>
  <c r="H85" i="12" s="1"/>
  <c r="I85" i="12" s="1"/>
  <c r="J153" i="34"/>
  <c r="H147" i="12" s="1"/>
  <c r="I147" i="12" s="1"/>
  <c r="J31" i="34"/>
  <c r="H25" i="12" s="1"/>
  <c r="I25" i="12" s="1"/>
  <c r="J305" i="34"/>
  <c r="H299" i="12" s="1"/>
  <c r="I299" i="12" s="1"/>
  <c r="J307" i="34"/>
  <c r="H301" i="12" s="1"/>
  <c r="I301" i="12" s="1"/>
  <c r="J47" i="34"/>
  <c r="H41" i="12" s="1"/>
  <c r="I41" i="12" s="1"/>
  <c r="J198" i="34"/>
  <c r="H192" i="12" s="1"/>
  <c r="I192" i="12" s="1"/>
  <c r="J71" i="34"/>
  <c r="H65" i="12" s="1"/>
  <c r="I65" i="12" s="1"/>
  <c r="J29" i="34"/>
  <c r="H23" i="12" s="1"/>
  <c r="I23" i="12" s="1"/>
  <c r="J286" i="34"/>
  <c r="H280" i="12" s="1"/>
  <c r="I280" i="12" s="1"/>
  <c r="J108" i="34"/>
  <c r="H102" i="12" s="1"/>
  <c r="I102" i="12" s="1"/>
  <c r="J206" i="34"/>
  <c r="H200" i="12" s="1"/>
  <c r="I200" i="12" s="1"/>
  <c r="J217" i="34"/>
  <c r="H211" i="12" s="1"/>
  <c r="I211" i="12" s="1"/>
  <c r="J112" i="34"/>
  <c r="H106" i="12" s="1"/>
  <c r="I106" i="12" s="1"/>
  <c r="J146" i="34"/>
  <c r="H140" i="12" s="1"/>
  <c r="I140" i="12" s="1"/>
  <c r="J216" i="34"/>
  <c r="H210" i="12" s="1"/>
  <c r="I210" i="12" s="1"/>
  <c r="J175" i="34"/>
  <c r="H169" i="12" s="1"/>
  <c r="I169" i="12" s="1"/>
  <c r="J48" i="34"/>
  <c r="H42" i="12" s="1"/>
  <c r="I42" i="12" s="1"/>
  <c r="J123" i="34"/>
  <c r="H117" i="12" s="1"/>
  <c r="I117" i="12" s="1"/>
  <c r="J113" i="34"/>
  <c r="H107" i="12" s="1"/>
  <c r="I107" i="12" s="1"/>
  <c r="J267" i="34"/>
  <c r="H261" i="12" s="1"/>
  <c r="I261" i="12" s="1"/>
  <c r="J306" i="34"/>
  <c r="H300" i="12" s="1"/>
  <c r="I300" i="12" s="1"/>
  <c r="J125" i="34"/>
  <c r="H119" i="12" s="1"/>
  <c r="I119" i="12" s="1"/>
  <c r="J184" i="34"/>
  <c r="H178" i="12" s="1"/>
  <c r="I178" i="12" s="1"/>
  <c r="J92" i="34"/>
  <c r="H86" i="12" s="1"/>
  <c r="I86" i="12" s="1"/>
  <c r="J296" i="34"/>
  <c r="H290" i="12" s="1"/>
  <c r="I290" i="12" s="1"/>
  <c r="J49" i="34"/>
  <c r="H43" i="12" s="1"/>
  <c r="I43" i="12" s="1"/>
  <c r="J136" i="34"/>
  <c r="H130" i="12" s="1"/>
  <c r="I130" i="12" s="1"/>
  <c r="J105" i="34"/>
  <c r="H99" i="12" s="1"/>
  <c r="I99" i="12" s="1"/>
  <c r="J139" i="34"/>
  <c r="H133" i="12" s="1"/>
  <c r="I133" i="12" s="1"/>
  <c r="J302" i="34"/>
  <c r="H296" i="12" s="1"/>
  <c r="I296" i="12" s="1"/>
  <c r="J154" i="34"/>
  <c r="H148" i="12" s="1"/>
  <c r="I148" i="12" s="1"/>
  <c r="J17" i="34"/>
  <c r="H11" i="12" s="1"/>
  <c r="I11" i="12" s="1"/>
  <c r="J236" i="34"/>
  <c r="H230" i="12" s="1"/>
  <c r="I230" i="12" s="1"/>
  <c r="J88" i="34"/>
  <c r="H82" i="12" s="1"/>
  <c r="I82" i="12" s="1"/>
  <c r="J285" i="34"/>
  <c r="H279" i="12" s="1"/>
  <c r="I279" i="12" s="1"/>
  <c r="J274" i="34"/>
  <c r="H268" i="12" s="1"/>
  <c r="I268" i="12" s="1"/>
  <c r="J235" i="34"/>
  <c r="H229" i="12" s="1"/>
  <c r="I229" i="12" s="1"/>
  <c r="J163" i="34"/>
  <c r="H157" i="12" s="1"/>
  <c r="I157" i="12" s="1"/>
  <c r="J94" i="34"/>
  <c r="H88" i="12" s="1"/>
  <c r="I88" i="12" s="1"/>
  <c r="J262" i="34"/>
  <c r="H256" i="12" s="1"/>
  <c r="I256" i="12" s="1"/>
  <c r="J268" i="34"/>
  <c r="H262" i="12" s="1"/>
  <c r="I262" i="12" s="1"/>
  <c r="J97" i="34"/>
  <c r="H91" i="12" s="1"/>
  <c r="I91" i="12" s="1"/>
  <c r="J24" i="34"/>
  <c r="H18" i="12" s="1"/>
  <c r="I18" i="12" s="1"/>
  <c r="J288" i="34"/>
  <c r="H282" i="12" s="1"/>
  <c r="I282" i="12" s="1"/>
  <c r="J151" i="34"/>
  <c r="H145" i="12" s="1"/>
  <c r="I145" i="12" s="1"/>
  <c r="J56" i="34"/>
  <c r="H50" i="12" s="1"/>
  <c r="I50" i="12" s="1"/>
  <c r="J138" i="34"/>
  <c r="H132" i="12" s="1"/>
  <c r="I132" i="12" s="1"/>
  <c r="J166" i="34"/>
  <c r="H160" i="12" s="1"/>
  <c r="I160" i="12" s="1"/>
  <c r="J261" i="34"/>
  <c r="H255" i="12" s="1"/>
  <c r="I255" i="12" s="1"/>
  <c r="J205" i="34"/>
  <c r="H199" i="12" s="1"/>
  <c r="I199" i="12" s="1"/>
  <c r="J155" i="34"/>
  <c r="H149" i="12" s="1"/>
  <c r="I149" i="12" s="1"/>
  <c r="J156" i="34"/>
  <c r="H150" i="12" s="1"/>
  <c r="I150" i="12" s="1"/>
  <c r="J58" i="34"/>
  <c r="H52" i="12" s="1"/>
  <c r="I52" i="12" s="1"/>
  <c r="J70" i="34"/>
  <c r="H64" i="12" s="1"/>
  <c r="I64" i="12" s="1"/>
  <c r="J242" i="34"/>
  <c r="H236" i="12" s="1"/>
  <c r="I236" i="12" s="1"/>
  <c r="J177" i="34"/>
  <c r="H171" i="12" s="1"/>
  <c r="I171" i="12" s="1"/>
  <c r="J106" i="34"/>
  <c r="H100" i="12" s="1"/>
  <c r="I100" i="12" s="1"/>
  <c r="J40" i="34"/>
  <c r="H34" i="12" s="1"/>
  <c r="I34" i="12" s="1"/>
  <c r="J289" i="34"/>
  <c r="H283" i="12" s="1"/>
  <c r="I283" i="12" s="1"/>
  <c r="J103" i="34"/>
  <c r="H97" i="12" s="1"/>
  <c r="I97" i="12" s="1"/>
  <c r="J239" i="34"/>
  <c r="H233" i="12" s="1"/>
  <c r="I233" i="12" s="1"/>
  <c r="J86" i="34"/>
  <c r="H80" i="12" s="1"/>
  <c r="I80" i="12" s="1"/>
  <c r="J196" i="34"/>
  <c r="H190" i="12" s="1"/>
  <c r="I190" i="12" s="1"/>
  <c r="J122" i="34"/>
  <c r="H116" i="12" s="1"/>
  <c r="I116" i="12" s="1"/>
  <c r="J145" i="34"/>
  <c r="H139" i="12" s="1"/>
  <c r="I139" i="12" s="1"/>
  <c r="J176" i="34"/>
  <c r="H170" i="12" s="1"/>
  <c r="I170" i="12" s="1"/>
  <c r="J221" i="34"/>
  <c r="H215" i="12" s="1"/>
  <c r="I215" i="12" s="1"/>
  <c r="J159" i="34"/>
  <c r="H153" i="12" s="1"/>
  <c r="I153" i="12" s="1"/>
  <c r="J292" i="34"/>
  <c r="H286" i="12" s="1"/>
  <c r="I286" i="12" s="1"/>
  <c r="J164" i="34"/>
  <c r="H158" i="12" s="1"/>
  <c r="I158" i="12" s="1"/>
  <c r="J72" i="34"/>
  <c r="H66" i="12" s="1"/>
  <c r="I66" i="12" s="1"/>
  <c r="J312" i="34"/>
  <c r="H306" i="12" s="1"/>
  <c r="I306" i="12" s="1"/>
  <c r="J32" i="34"/>
  <c r="H26" i="12" s="1"/>
  <c r="I26" i="12" s="1"/>
  <c r="J104" i="34"/>
  <c r="H98" i="12" s="1"/>
  <c r="I98" i="12" s="1"/>
  <c r="J214" i="34"/>
  <c r="H208" i="12" s="1"/>
  <c r="I208" i="12" s="1"/>
  <c r="J169" i="34"/>
  <c r="H163" i="12" s="1"/>
  <c r="I163" i="12" s="1"/>
  <c r="J149" i="34"/>
  <c r="H143" i="12" s="1"/>
  <c r="I143" i="12" s="1"/>
  <c r="J135" i="34"/>
  <c r="H129" i="12" s="1"/>
  <c r="I129" i="12" s="1"/>
  <c r="J182" i="34"/>
  <c r="H176" i="12" s="1"/>
  <c r="I176" i="12" s="1"/>
  <c r="J181" i="34"/>
  <c r="H175" i="12" s="1"/>
  <c r="I175" i="12" s="1"/>
  <c r="J197" i="34"/>
  <c r="H191" i="12" s="1"/>
  <c r="I191" i="12" s="1"/>
  <c r="J298" i="34"/>
  <c r="H292" i="12" s="1"/>
  <c r="I292" i="12" s="1"/>
  <c r="J157" i="34"/>
  <c r="H151" i="12" s="1"/>
  <c r="I151" i="12" s="1"/>
  <c r="J23" i="34"/>
  <c r="H17" i="12" s="1"/>
  <c r="I17" i="12" s="1"/>
  <c r="J66" i="34"/>
  <c r="H60" i="12" s="1"/>
  <c r="I60" i="12" s="1"/>
  <c r="J290" i="34"/>
  <c r="H284" i="12" s="1"/>
  <c r="I284" i="12" s="1"/>
  <c r="J178" i="34"/>
  <c r="H172" i="12" s="1"/>
  <c r="I172" i="12" s="1"/>
  <c r="J173" i="34"/>
  <c r="H167" i="12" s="1"/>
  <c r="I167" i="12" s="1"/>
  <c r="J50" i="34"/>
  <c r="H44" i="12" s="1"/>
  <c r="I44" i="12" s="1"/>
  <c r="J18" i="34"/>
  <c r="H12" i="12" s="1"/>
  <c r="I12" i="12" s="1"/>
  <c r="J259" i="34"/>
  <c r="H253" i="12" s="1"/>
  <c r="I253" i="12" s="1"/>
  <c r="J25" i="34"/>
  <c r="H19" i="12" s="1"/>
  <c r="I19" i="12" s="1"/>
  <c r="J65" i="34"/>
  <c r="J96" i="34"/>
  <c r="H90" i="12" s="1"/>
  <c r="I90" i="12" s="1"/>
  <c r="J172" i="34"/>
  <c r="H166" i="12" s="1"/>
  <c r="I166" i="12" s="1"/>
  <c r="J168" i="34"/>
  <c r="H162" i="12" s="1"/>
  <c r="I162" i="12" s="1"/>
  <c r="J141" i="34"/>
  <c r="H135" i="12" s="1"/>
  <c r="I135" i="12" s="1"/>
  <c r="J237" i="34"/>
  <c r="H231" i="12" s="1"/>
  <c r="I231" i="12" s="1"/>
  <c r="J269" i="34"/>
  <c r="H263" i="12" s="1"/>
  <c r="I263" i="12" s="1"/>
  <c r="J225" i="34"/>
  <c r="H219" i="12" s="1"/>
  <c r="I219" i="12" s="1"/>
  <c r="J121" i="34"/>
  <c r="H115" i="12" s="1"/>
  <c r="I115" i="12" s="1"/>
  <c r="J20" i="34"/>
  <c r="H14" i="12" s="1"/>
  <c r="I14" i="12" s="1"/>
  <c r="J161" i="34"/>
  <c r="H155" i="12" s="1"/>
  <c r="I155" i="12" s="1"/>
  <c r="G278" i="13" l="1"/>
  <c r="H278" i="13" s="1"/>
  <c r="I278" i="13" s="1"/>
  <c r="J278" i="13" s="1"/>
  <c r="J167" i="12"/>
  <c r="K167" i="12" s="1"/>
  <c r="D167" i="39"/>
  <c r="G167" i="39" s="1"/>
  <c r="H167" i="39" s="1"/>
  <c r="I167" i="39" s="1"/>
  <c r="J175" i="12"/>
  <c r="K175" i="12" s="1"/>
  <c r="D175" i="39"/>
  <c r="G175" i="39" s="1"/>
  <c r="H175" i="39" s="1"/>
  <c r="I175" i="39" s="1"/>
  <c r="J306" i="12"/>
  <c r="J116" i="12"/>
  <c r="K116" i="12" s="1"/>
  <c r="D116" i="39"/>
  <c r="G116" i="39" s="1"/>
  <c r="H116" i="39" s="1"/>
  <c r="I116" i="39" s="1"/>
  <c r="J171" i="12"/>
  <c r="K171" i="12" s="1"/>
  <c r="D171" i="39"/>
  <c r="G171" i="39" s="1"/>
  <c r="H171" i="39" s="1"/>
  <c r="I171" i="39" s="1"/>
  <c r="J160" i="12"/>
  <c r="K160" i="12" s="1"/>
  <c r="D160" i="39"/>
  <c r="G160" i="39" s="1"/>
  <c r="H160" i="39" s="1"/>
  <c r="I160" i="39" s="1"/>
  <c r="J256" i="12"/>
  <c r="K256" i="12" s="1"/>
  <c r="D256" i="39"/>
  <c r="G256" i="39" s="1"/>
  <c r="H256" i="39" s="1"/>
  <c r="I256" i="39" s="1"/>
  <c r="J11" i="12"/>
  <c r="K11" i="12" s="1"/>
  <c r="D11" i="39"/>
  <c r="G11" i="39" s="1"/>
  <c r="H11" i="39" s="1"/>
  <c r="I11" i="39" s="1"/>
  <c r="J86" i="12"/>
  <c r="K86" i="12" s="1"/>
  <c r="D86" i="39"/>
  <c r="G86" i="39" s="1"/>
  <c r="H86" i="39" s="1"/>
  <c r="I86" i="39" s="1"/>
  <c r="J169" i="12"/>
  <c r="K169" i="12" s="1"/>
  <c r="D169" i="39"/>
  <c r="G169" i="39" s="1"/>
  <c r="H169" i="39" s="1"/>
  <c r="I169" i="39" s="1"/>
  <c r="J23" i="12"/>
  <c r="K23" i="12" s="1"/>
  <c r="D23" i="39"/>
  <c r="G23" i="39" s="1"/>
  <c r="H23" i="39" s="1"/>
  <c r="I23" i="39" s="1"/>
  <c r="J85" i="12"/>
  <c r="K85" i="12" s="1"/>
  <c r="D85" i="39"/>
  <c r="G85" i="39" s="1"/>
  <c r="H85" i="39" s="1"/>
  <c r="I85" i="39" s="1"/>
  <c r="J228" i="12"/>
  <c r="K228" i="12" s="1"/>
  <c r="D228" i="39"/>
  <c r="G228" i="39" s="1"/>
  <c r="H228" i="39" s="1"/>
  <c r="I228" i="39" s="1"/>
  <c r="J269" i="12"/>
  <c r="K269" i="12" s="1"/>
  <c r="D269" i="39"/>
  <c r="G269" i="39" s="1"/>
  <c r="H269" i="39" s="1"/>
  <c r="I269" i="39" s="1"/>
  <c r="J288" i="12"/>
  <c r="K288" i="12" s="1"/>
  <c r="D288" i="39"/>
  <c r="G288" i="39" s="1"/>
  <c r="H288" i="39" s="1"/>
  <c r="I288" i="39" s="1"/>
  <c r="J38" i="12"/>
  <c r="K38" i="12" s="1"/>
  <c r="D38" i="39"/>
  <c r="G38" i="39" s="1"/>
  <c r="H38" i="39" s="1"/>
  <c r="I38" i="39" s="1"/>
  <c r="J275" i="12"/>
  <c r="K275" i="12" s="1"/>
  <c r="D275" i="39"/>
  <c r="G275" i="39" s="1"/>
  <c r="H275" i="39" s="1"/>
  <c r="I275" i="39" s="1"/>
  <c r="J293" i="12"/>
  <c r="K293" i="12" s="1"/>
  <c r="D293" i="39"/>
  <c r="G293" i="39" s="1"/>
  <c r="H293" i="39" s="1"/>
  <c r="I293" i="39" s="1"/>
  <c r="J95" i="12"/>
  <c r="K95" i="12" s="1"/>
  <c r="D95" i="39"/>
  <c r="G95" i="39" s="1"/>
  <c r="H95" i="39" s="1"/>
  <c r="I95" i="39" s="1"/>
  <c r="J168" i="12"/>
  <c r="K168" i="12" s="1"/>
  <c r="D168" i="39"/>
  <c r="G168" i="39" s="1"/>
  <c r="H168" i="39" s="1"/>
  <c r="I168" i="39" s="1"/>
  <c r="J201" i="12"/>
  <c r="K201" i="12" s="1"/>
  <c r="D201" i="39"/>
  <c r="G201" i="39" s="1"/>
  <c r="H201" i="39" s="1"/>
  <c r="I201" i="39" s="1"/>
  <c r="J244" i="12"/>
  <c r="K244" i="12" s="1"/>
  <c r="D244" i="39"/>
  <c r="G244" i="39" s="1"/>
  <c r="H244" i="39" s="1"/>
  <c r="I244" i="39" s="1"/>
  <c r="J122" i="12"/>
  <c r="K122" i="12" s="1"/>
  <c r="D122" i="39"/>
  <c r="G122" i="39" s="1"/>
  <c r="H122" i="39" s="1"/>
  <c r="I122" i="39" s="1"/>
  <c r="J165" i="12"/>
  <c r="K165" i="12" s="1"/>
  <c r="D165" i="39"/>
  <c r="G165" i="39" s="1"/>
  <c r="H165" i="39" s="1"/>
  <c r="I165" i="39" s="1"/>
  <c r="J125" i="12"/>
  <c r="K125" i="12" s="1"/>
  <c r="D125" i="39"/>
  <c r="G125" i="39" s="1"/>
  <c r="H125" i="39" s="1"/>
  <c r="I125" i="39" s="1"/>
  <c r="J35" i="12"/>
  <c r="K35" i="12" s="1"/>
  <c r="D35" i="39"/>
  <c r="G35" i="39" s="1"/>
  <c r="H35" i="39" s="1"/>
  <c r="I35" i="39" s="1"/>
  <c r="J238" i="12"/>
  <c r="K238" i="12" s="1"/>
  <c r="D238" i="39"/>
  <c r="G238" i="39" s="1"/>
  <c r="H238" i="39" s="1"/>
  <c r="I238" i="39" s="1"/>
  <c r="J29" i="12"/>
  <c r="K29" i="12" s="1"/>
  <c r="D29" i="39"/>
  <c r="G29" i="39" s="1"/>
  <c r="H29" i="39" s="1"/>
  <c r="I29" i="39" s="1"/>
  <c r="J113" i="12"/>
  <c r="K113" i="12" s="1"/>
  <c r="D113" i="39"/>
  <c r="G113" i="39" s="1"/>
  <c r="H113" i="39" s="1"/>
  <c r="I113" i="39" s="1"/>
  <c r="J221" i="12"/>
  <c r="K221" i="12" s="1"/>
  <c r="D221" i="39"/>
  <c r="G221" i="39" s="1"/>
  <c r="H221" i="39" s="1"/>
  <c r="I221" i="39" s="1"/>
  <c r="J234" i="12"/>
  <c r="K234" i="12" s="1"/>
  <c r="D234" i="39"/>
  <c r="G234" i="39" s="1"/>
  <c r="H234" i="39" s="1"/>
  <c r="I234" i="39" s="1"/>
  <c r="J24" i="12"/>
  <c r="K24" i="12" s="1"/>
  <c r="D24" i="39"/>
  <c r="G24" i="39" s="1"/>
  <c r="H24" i="39" s="1"/>
  <c r="I24" i="39" s="1"/>
  <c r="J79" i="12"/>
  <c r="K79" i="12" s="1"/>
  <c r="D79" i="39"/>
  <c r="G79" i="39" s="1"/>
  <c r="H79" i="39" s="1"/>
  <c r="I79" i="39" s="1"/>
  <c r="J36" i="12"/>
  <c r="K36" i="12" s="1"/>
  <c r="D36" i="39"/>
  <c r="G36" i="39" s="1"/>
  <c r="H36" i="39" s="1"/>
  <c r="I36" i="39" s="1"/>
  <c r="J302" i="12"/>
  <c r="K302" i="12" s="1"/>
  <c r="D302" i="39"/>
  <c r="G302" i="39" s="1"/>
  <c r="H302" i="39" s="1"/>
  <c r="I302" i="39" s="1"/>
  <c r="D6" i="39"/>
  <c r="G6" i="39" s="1"/>
  <c r="H6" i="39" s="1"/>
  <c r="I6" i="39" s="1"/>
  <c r="J6" i="12"/>
  <c r="K6" i="12" s="1"/>
  <c r="J155" i="12"/>
  <c r="K155" i="12" s="1"/>
  <c r="D155" i="39"/>
  <c r="G155" i="39" s="1"/>
  <c r="H155" i="39" s="1"/>
  <c r="I155" i="39" s="1"/>
  <c r="J166" i="12"/>
  <c r="K166" i="12" s="1"/>
  <c r="D166" i="39"/>
  <c r="G166" i="39" s="1"/>
  <c r="H166" i="39" s="1"/>
  <c r="I166" i="39" s="1"/>
  <c r="J172" i="12"/>
  <c r="K172" i="12" s="1"/>
  <c r="D172" i="39"/>
  <c r="G172" i="39" s="1"/>
  <c r="H172" i="39" s="1"/>
  <c r="I172" i="39" s="1"/>
  <c r="J176" i="12"/>
  <c r="K176" i="12" s="1"/>
  <c r="D176" i="39"/>
  <c r="G176" i="39" s="1"/>
  <c r="H176" i="39" s="1"/>
  <c r="I176" i="39" s="1"/>
  <c r="J66" i="12"/>
  <c r="K66" i="12" s="1"/>
  <c r="D66" i="39"/>
  <c r="G66" i="39" s="1"/>
  <c r="H66" i="39" s="1"/>
  <c r="I66" i="39" s="1"/>
  <c r="J190" i="12"/>
  <c r="K190" i="12" s="1"/>
  <c r="D190" i="39"/>
  <c r="G190" i="39" s="1"/>
  <c r="H190" i="39" s="1"/>
  <c r="I190" i="39" s="1"/>
  <c r="J236" i="12"/>
  <c r="K236" i="12" s="1"/>
  <c r="D236" i="39"/>
  <c r="G236" i="39" s="1"/>
  <c r="H236" i="39" s="1"/>
  <c r="I236" i="39" s="1"/>
  <c r="J132" i="12"/>
  <c r="K132" i="12" s="1"/>
  <c r="D132" i="39"/>
  <c r="G132" i="39" s="1"/>
  <c r="H132" i="39" s="1"/>
  <c r="I132" i="39" s="1"/>
  <c r="J88" i="12"/>
  <c r="K88" i="12" s="1"/>
  <c r="D88" i="39"/>
  <c r="G88" i="39" s="1"/>
  <c r="H88" i="39" s="1"/>
  <c r="I88" i="39" s="1"/>
  <c r="J148" i="12"/>
  <c r="K148" i="12" s="1"/>
  <c r="D148" i="39"/>
  <c r="G148" i="39" s="1"/>
  <c r="H148" i="39" s="1"/>
  <c r="I148" i="39" s="1"/>
  <c r="J178" i="12"/>
  <c r="K178" i="12" s="1"/>
  <c r="D178" i="39"/>
  <c r="G178" i="39" s="1"/>
  <c r="H178" i="39" s="1"/>
  <c r="I178" i="39" s="1"/>
  <c r="J210" i="12"/>
  <c r="K210" i="12" s="1"/>
  <c r="D210" i="39"/>
  <c r="G210" i="39" s="1"/>
  <c r="H210" i="39" s="1"/>
  <c r="I210" i="39" s="1"/>
  <c r="J65" i="12"/>
  <c r="K65" i="12" s="1"/>
  <c r="D65" i="39"/>
  <c r="G65" i="39" s="1"/>
  <c r="H65" i="39" s="1"/>
  <c r="I65" i="39" s="1"/>
  <c r="J54" i="12"/>
  <c r="K54" i="12" s="1"/>
  <c r="D54" i="39"/>
  <c r="G54" i="39" s="1"/>
  <c r="H54" i="39" s="1"/>
  <c r="I54" i="39" s="1"/>
  <c r="J218" i="12"/>
  <c r="K218" i="12" s="1"/>
  <c r="D218" i="39"/>
  <c r="G218" i="39" s="1"/>
  <c r="H218" i="39" s="1"/>
  <c r="I218" i="39" s="1"/>
  <c r="J186" i="12"/>
  <c r="K186" i="12" s="1"/>
  <c r="D186" i="39"/>
  <c r="G186" i="39" s="1"/>
  <c r="H186" i="39" s="1"/>
  <c r="I186" i="39" s="1"/>
  <c r="J297" i="12"/>
  <c r="K297" i="12" s="1"/>
  <c r="D297" i="39"/>
  <c r="G297" i="39" s="1"/>
  <c r="H297" i="39" s="1"/>
  <c r="I297" i="39" s="1"/>
  <c r="J179" i="12"/>
  <c r="K179" i="12" s="1"/>
  <c r="D179" i="39"/>
  <c r="G179" i="39" s="1"/>
  <c r="H179" i="39" s="1"/>
  <c r="I179" i="39" s="1"/>
  <c r="J134" i="12"/>
  <c r="K134" i="12" s="1"/>
  <c r="D134" i="39"/>
  <c r="G134" i="39" s="1"/>
  <c r="H134" i="39" s="1"/>
  <c r="I134" i="39" s="1"/>
  <c r="J13" i="12"/>
  <c r="K13" i="12" s="1"/>
  <c r="D13" i="39"/>
  <c r="G13" i="39" s="1"/>
  <c r="H13" i="39" s="1"/>
  <c r="I13" i="39" s="1"/>
  <c r="J272" i="12"/>
  <c r="K272" i="12" s="1"/>
  <c r="D272" i="39"/>
  <c r="G272" i="39" s="1"/>
  <c r="H272" i="39" s="1"/>
  <c r="I272" i="39" s="1"/>
  <c r="J57" i="12"/>
  <c r="K57" i="12" s="1"/>
  <c r="D57" i="39"/>
  <c r="G57" i="39" s="1"/>
  <c r="H57" i="39" s="1"/>
  <c r="I57" i="39" s="1"/>
  <c r="J243" i="12"/>
  <c r="K243" i="12" s="1"/>
  <c r="D243" i="39"/>
  <c r="G243" i="39" s="1"/>
  <c r="H243" i="39" s="1"/>
  <c r="I243" i="39" s="1"/>
  <c r="J294" i="12"/>
  <c r="K294" i="12" s="1"/>
  <c r="D294" i="39"/>
  <c r="G294" i="39" s="1"/>
  <c r="H294" i="39" s="1"/>
  <c r="I294" i="39" s="1"/>
  <c r="J156" i="12"/>
  <c r="K156" i="12" s="1"/>
  <c r="D156" i="39"/>
  <c r="G156" i="39" s="1"/>
  <c r="H156" i="39" s="1"/>
  <c r="I156" i="39" s="1"/>
  <c r="J187" i="12"/>
  <c r="K187" i="12" s="1"/>
  <c r="D187" i="39"/>
  <c r="G187" i="39" s="1"/>
  <c r="H187" i="39" s="1"/>
  <c r="I187" i="39" s="1"/>
  <c r="J257" i="12"/>
  <c r="K257" i="12" s="1"/>
  <c r="D257" i="39"/>
  <c r="G257" i="39" s="1"/>
  <c r="H257" i="39" s="1"/>
  <c r="I257" i="39" s="1"/>
  <c r="J131" i="12"/>
  <c r="K131" i="12" s="1"/>
  <c r="D131" i="39"/>
  <c r="G131" i="39" s="1"/>
  <c r="H131" i="39" s="1"/>
  <c r="I131" i="39" s="1"/>
  <c r="J48" i="12"/>
  <c r="K48" i="12" s="1"/>
  <c r="D48" i="39"/>
  <c r="G48" i="39" s="1"/>
  <c r="H48" i="39" s="1"/>
  <c r="I48" i="39" s="1"/>
  <c r="J70" i="12"/>
  <c r="K70" i="12" s="1"/>
  <c r="D70" i="39"/>
  <c r="G70" i="39" s="1"/>
  <c r="H70" i="39" s="1"/>
  <c r="I70" i="39" s="1"/>
  <c r="J69" i="12"/>
  <c r="K69" i="12" s="1"/>
  <c r="D69" i="39"/>
  <c r="G69" i="39" s="1"/>
  <c r="H69" i="39" s="1"/>
  <c r="I69" i="39" s="1"/>
  <c r="J194" i="12"/>
  <c r="K194" i="12" s="1"/>
  <c r="D194" i="39"/>
  <c r="G194" i="39" s="1"/>
  <c r="H194" i="39" s="1"/>
  <c r="I194" i="39" s="1"/>
  <c r="J62" i="12"/>
  <c r="K62" i="12" s="1"/>
  <c r="D62" i="39"/>
  <c r="G62" i="39" s="1"/>
  <c r="H62" i="39" s="1"/>
  <c r="I62" i="39" s="1"/>
  <c r="J247" i="12"/>
  <c r="K247" i="12" s="1"/>
  <c r="D247" i="39"/>
  <c r="G247" i="39" s="1"/>
  <c r="H247" i="39" s="1"/>
  <c r="I247" i="39" s="1"/>
  <c r="J93" i="12"/>
  <c r="K93" i="12" s="1"/>
  <c r="D93" i="39"/>
  <c r="G93" i="39" s="1"/>
  <c r="H93" i="39" s="1"/>
  <c r="I93" i="39" s="1"/>
  <c r="J270" i="12"/>
  <c r="K270" i="12" s="1"/>
  <c r="D270" i="39"/>
  <c r="G270" i="39" s="1"/>
  <c r="H270" i="39" s="1"/>
  <c r="I270" i="39" s="1"/>
  <c r="J205" i="12"/>
  <c r="K205" i="12" s="1"/>
  <c r="D205" i="39"/>
  <c r="G205" i="39" s="1"/>
  <c r="H205" i="39" s="1"/>
  <c r="I205" i="39" s="1"/>
  <c r="J84" i="12"/>
  <c r="K84" i="12" s="1"/>
  <c r="D84" i="39"/>
  <c r="G84" i="39" s="1"/>
  <c r="H84" i="39" s="1"/>
  <c r="I84" i="39" s="1"/>
  <c r="J284" i="12"/>
  <c r="K284" i="12" s="1"/>
  <c r="D284" i="39"/>
  <c r="G284" i="39" s="1"/>
  <c r="H284" i="39" s="1"/>
  <c r="I284" i="39" s="1"/>
  <c r="J129" i="12"/>
  <c r="K129" i="12" s="1"/>
  <c r="D129" i="39"/>
  <c r="G129" i="39" s="1"/>
  <c r="H129" i="39" s="1"/>
  <c r="I129" i="39" s="1"/>
  <c r="J158" i="12"/>
  <c r="K158" i="12" s="1"/>
  <c r="D158" i="39"/>
  <c r="G158" i="39" s="1"/>
  <c r="H158" i="39" s="1"/>
  <c r="I158" i="39" s="1"/>
  <c r="J80" i="12"/>
  <c r="K80" i="12" s="1"/>
  <c r="D80" i="39"/>
  <c r="G80" i="39" s="1"/>
  <c r="H80" i="39" s="1"/>
  <c r="I80" i="39" s="1"/>
  <c r="J64" i="12"/>
  <c r="K64" i="12" s="1"/>
  <c r="D64" i="39"/>
  <c r="G64" i="39" s="1"/>
  <c r="H64" i="39" s="1"/>
  <c r="I64" i="39" s="1"/>
  <c r="J50" i="12"/>
  <c r="K50" i="12" s="1"/>
  <c r="D50" i="39"/>
  <c r="G50" i="39" s="1"/>
  <c r="H50" i="39" s="1"/>
  <c r="I50" i="39" s="1"/>
  <c r="J157" i="12"/>
  <c r="K157" i="12" s="1"/>
  <c r="D157" i="39"/>
  <c r="G157" i="39" s="1"/>
  <c r="H157" i="39" s="1"/>
  <c r="I157" i="39" s="1"/>
  <c r="J296" i="12"/>
  <c r="K296" i="12" s="1"/>
  <c r="D296" i="39"/>
  <c r="G296" i="39" s="1"/>
  <c r="H296" i="39" s="1"/>
  <c r="I296" i="39" s="1"/>
  <c r="J119" i="12"/>
  <c r="K119" i="12" s="1"/>
  <c r="D119" i="39"/>
  <c r="G119" i="39" s="1"/>
  <c r="H119" i="39" s="1"/>
  <c r="I119" i="39" s="1"/>
  <c r="J140" i="12"/>
  <c r="K140" i="12" s="1"/>
  <c r="D140" i="39"/>
  <c r="G140" i="39" s="1"/>
  <c r="H140" i="39" s="1"/>
  <c r="I140" i="39" s="1"/>
  <c r="J192" i="12"/>
  <c r="K192" i="12" s="1"/>
  <c r="D192" i="39"/>
  <c r="G192" i="39" s="1"/>
  <c r="H192" i="39" s="1"/>
  <c r="I192" i="39" s="1"/>
  <c r="J109" i="12"/>
  <c r="K109" i="12" s="1"/>
  <c r="D109" i="39"/>
  <c r="G109" i="39" s="1"/>
  <c r="H109" i="39" s="1"/>
  <c r="I109" i="39" s="1"/>
  <c r="J63" i="12"/>
  <c r="K63" i="12" s="1"/>
  <c r="D63" i="39"/>
  <c r="G63" i="39" s="1"/>
  <c r="H63" i="39" s="1"/>
  <c r="I63" i="39" s="1"/>
  <c r="J28" i="12"/>
  <c r="K28" i="12" s="1"/>
  <c r="D28" i="39"/>
  <c r="G28" i="39" s="1"/>
  <c r="H28" i="39" s="1"/>
  <c r="I28" i="39" s="1"/>
  <c r="J40" i="12"/>
  <c r="K40" i="12" s="1"/>
  <c r="D40" i="39"/>
  <c r="G40" i="39" s="1"/>
  <c r="H40" i="39" s="1"/>
  <c r="I40" i="39" s="1"/>
  <c r="J136" i="12"/>
  <c r="K136" i="12" s="1"/>
  <c r="D136" i="39"/>
  <c r="G136" i="39" s="1"/>
  <c r="H136" i="39" s="1"/>
  <c r="I136" i="39" s="1"/>
  <c r="J110" i="12"/>
  <c r="K110" i="12" s="1"/>
  <c r="D110" i="39"/>
  <c r="G110" i="39" s="1"/>
  <c r="H110" i="39" s="1"/>
  <c r="I110" i="39" s="1"/>
  <c r="J291" i="12"/>
  <c r="K291" i="12" s="1"/>
  <c r="D291" i="39"/>
  <c r="G291" i="39" s="1"/>
  <c r="H291" i="39" s="1"/>
  <c r="I291" i="39" s="1"/>
  <c r="J46" i="12"/>
  <c r="K46" i="12" s="1"/>
  <c r="D46" i="39"/>
  <c r="G46" i="39" s="1"/>
  <c r="H46" i="39" s="1"/>
  <c r="I46" i="39" s="1"/>
  <c r="J144" i="12"/>
  <c r="K144" i="12" s="1"/>
  <c r="D144" i="39"/>
  <c r="G144" i="39" s="1"/>
  <c r="H144" i="39" s="1"/>
  <c r="I144" i="39" s="1"/>
  <c r="J141" i="12"/>
  <c r="K141" i="12" s="1"/>
  <c r="D141" i="39"/>
  <c r="G141" i="39" s="1"/>
  <c r="H141" i="39" s="1"/>
  <c r="I141" i="39" s="1"/>
  <c r="J188" i="12"/>
  <c r="K188" i="12" s="1"/>
  <c r="D188" i="39"/>
  <c r="G188" i="39" s="1"/>
  <c r="H188" i="39" s="1"/>
  <c r="I188" i="39" s="1"/>
  <c r="J74" i="12"/>
  <c r="K74" i="12" s="1"/>
  <c r="D74" i="39"/>
  <c r="G74" i="39" s="1"/>
  <c r="H74" i="39" s="1"/>
  <c r="I74" i="39" s="1"/>
  <c r="J225" i="12"/>
  <c r="K225" i="12" s="1"/>
  <c r="D225" i="39"/>
  <c r="G225" i="39" s="1"/>
  <c r="H225" i="39" s="1"/>
  <c r="I225" i="39" s="1"/>
  <c r="J120" i="12"/>
  <c r="K120" i="12" s="1"/>
  <c r="D120" i="39"/>
  <c r="G120" i="39" s="1"/>
  <c r="H120" i="39" s="1"/>
  <c r="I120" i="39" s="1"/>
  <c r="J266" i="12"/>
  <c r="K266" i="12" s="1"/>
  <c r="D266" i="39"/>
  <c r="G266" i="39" s="1"/>
  <c r="H266" i="39" s="1"/>
  <c r="I266" i="39" s="1"/>
  <c r="J239" i="12"/>
  <c r="K239" i="12" s="1"/>
  <c r="D239" i="39"/>
  <c r="G239" i="39" s="1"/>
  <c r="H239" i="39" s="1"/>
  <c r="I239" i="39" s="1"/>
  <c r="J209" i="12"/>
  <c r="K209" i="12" s="1"/>
  <c r="D209" i="39"/>
  <c r="G209" i="39" s="1"/>
  <c r="H209" i="39" s="1"/>
  <c r="I209" i="39" s="1"/>
  <c r="J9" i="12"/>
  <c r="K9" i="12" s="1"/>
  <c r="D9" i="39"/>
  <c r="G9" i="39" s="1"/>
  <c r="H9" i="39" s="1"/>
  <c r="I9" i="39" s="1"/>
  <c r="J240" i="12"/>
  <c r="K240" i="12" s="1"/>
  <c r="D240" i="39"/>
  <c r="G240" i="39" s="1"/>
  <c r="H240" i="39" s="1"/>
  <c r="I240" i="39" s="1"/>
  <c r="J260" i="12"/>
  <c r="K260" i="12" s="1"/>
  <c r="D260" i="39"/>
  <c r="G260" i="39" s="1"/>
  <c r="H260" i="39" s="1"/>
  <c r="I260" i="39" s="1"/>
  <c r="J177" i="12"/>
  <c r="K177" i="12" s="1"/>
  <c r="D177" i="39"/>
  <c r="G177" i="39" s="1"/>
  <c r="H177" i="39" s="1"/>
  <c r="I177" i="39" s="1"/>
  <c r="J204" i="12"/>
  <c r="K204" i="12" s="1"/>
  <c r="D204" i="39"/>
  <c r="G204" i="39" s="1"/>
  <c r="H204" i="39" s="1"/>
  <c r="I204" i="39" s="1"/>
  <c r="J258" i="12"/>
  <c r="K258" i="12" s="1"/>
  <c r="D258" i="39"/>
  <c r="G258" i="39" s="1"/>
  <c r="H258" i="39" s="1"/>
  <c r="I258" i="39" s="1"/>
  <c r="J227" i="12"/>
  <c r="K227" i="12" s="1"/>
  <c r="D227" i="39"/>
  <c r="G227" i="39" s="1"/>
  <c r="H227" i="39" s="1"/>
  <c r="I227" i="39" s="1"/>
  <c r="J285" i="12"/>
  <c r="K285" i="12" s="1"/>
  <c r="D285" i="39"/>
  <c r="G285" i="39" s="1"/>
  <c r="H285" i="39" s="1"/>
  <c r="I285" i="39" s="1"/>
  <c r="J14" i="12"/>
  <c r="K14" i="12" s="1"/>
  <c r="D14" i="39"/>
  <c r="G14" i="39" s="1"/>
  <c r="H14" i="39" s="1"/>
  <c r="I14" i="39" s="1"/>
  <c r="H59" i="12"/>
  <c r="I59" i="12" s="1"/>
  <c r="F37" i="48"/>
  <c r="J286" i="12"/>
  <c r="K286" i="12" s="1"/>
  <c r="D286" i="39"/>
  <c r="G286" i="39" s="1"/>
  <c r="H286" i="39" s="1"/>
  <c r="I286" i="39" s="1"/>
  <c r="J233" i="12"/>
  <c r="K233" i="12" s="1"/>
  <c r="D233" i="39"/>
  <c r="G233" i="39" s="1"/>
  <c r="H233" i="39" s="1"/>
  <c r="I233" i="39" s="1"/>
  <c r="J52" i="12"/>
  <c r="K52" i="12" s="1"/>
  <c r="D52" i="39"/>
  <c r="G52" i="39" s="1"/>
  <c r="H52" i="39" s="1"/>
  <c r="I52" i="39" s="1"/>
  <c r="J145" i="12"/>
  <c r="K145" i="12" s="1"/>
  <c r="D145" i="39"/>
  <c r="G145" i="39" s="1"/>
  <c r="H145" i="39" s="1"/>
  <c r="I145" i="39" s="1"/>
  <c r="J229" i="12"/>
  <c r="K229" i="12" s="1"/>
  <c r="D229" i="39"/>
  <c r="G229" i="39" s="1"/>
  <c r="H229" i="39" s="1"/>
  <c r="I229" i="39" s="1"/>
  <c r="J133" i="12"/>
  <c r="K133" i="12" s="1"/>
  <c r="D133" i="39"/>
  <c r="G133" i="39" s="1"/>
  <c r="H133" i="39" s="1"/>
  <c r="I133" i="39" s="1"/>
  <c r="J300" i="12"/>
  <c r="K300" i="12" s="1"/>
  <c r="D300" i="39"/>
  <c r="G300" i="39" s="1"/>
  <c r="H300" i="39" s="1"/>
  <c r="I300" i="39" s="1"/>
  <c r="J106" i="12"/>
  <c r="K106" i="12" s="1"/>
  <c r="D106" i="39"/>
  <c r="G106" i="39" s="1"/>
  <c r="H106" i="39" s="1"/>
  <c r="I106" i="39" s="1"/>
  <c r="J41" i="12"/>
  <c r="K41" i="12" s="1"/>
  <c r="D41" i="39"/>
  <c r="G41" i="39" s="1"/>
  <c r="H41" i="39" s="1"/>
  <c r="I41" i="39" s="1"/>
  <c r="J216" i="12"/>
  <c r="K216" i="12" s="1"/>
  <c r="D216" i="39"/>
  <c r="G216" i="39" s="1"/>
  <c r="H216" i="39" s="1"/>
  <c r="I216" i="39" s="1"/>
  <c r="J195" i="12"/>
  <c r="K195" i="12" s="1"/>
  <c r="D195" i="39"/>
  <c r="G195" i="39" s="1"/>
  <c r="H195" i="39" s="1"/>
  <c r="I195" i="39" s="1"/>
  <c r="J77" i="12"/>
  <c r="K77" i="12" s="1"/>
  <c r="D77" i="39"/>
  <c r="G77" i="39" s="1"/>
  <c r="H77" i="39" s="1"/>
  <c r="I77" i="39" s="1"/>
  <c r="J249" i="12"/>
  <c r="K249" i="12" s="1"/>
  <c r="D249" i="39"/>
  <c r="G249" i="39" s="1"/>
  <c r="H249" i="39" s="1"/>
  <c r="I249" i="39" s="1"/>
  <c r="J126" i="12"/>
  <c r="K126" i="12" s="1"/>
  <c r="D126" i="39"/>
  <c r="G126" i="39" s="1"/>
  <c r="H126" i="39" s="1"/>
  <c r="I126" i="39" s="1"/>
  <c r="J264" i="12"/>
  <c r="K264" i="12" s="1"/>
  <c r="D264" i="39"/>
  <c r="G264" i="39" s="1"/>
  <c r="H264" i="39" s="1"/>
  <c r="I264" i="39" s="1"/>
  <c r="J51" i="12"/>
  <c r="K51" i="12" s="1"/>
  <c r="D51" i="39"/>
  <c r="G51" i="39" s="1"/>
  <c r="H51" i="39" s="1"/>
  <c r="I51" i="39" s="1"/>
  <c r="J235" i="12"/>
  <c r="K235" i="12" s="1"/>
  <c r="D235" i="39"/>
  <c r="G235" i="39" s="1"/>
  <c r="H235" i="39" s="1"/>
  <c r="I235" i="39" s="1"/>
  <c r="J67" i="12"/>
  <c r="K67" i="12" s="1"/>
  <c r="D67" i="39"/>
  <c r="G67" i="39" s="1"/>
  <c r="H67" i="39" s="1"/>
  <c r="I67" i="39" s="1"/>
  <c r="J10" i="12"/>
  <c r="K10" i="12" s="1"/>
  <c r="D10" i="39"/>
  <c r="G10" i="39" s="1"/>
  <c r="H10" i="39" s="1"/>
  <c r="I10" i="39" s="1"/>
  <c r="J55" i="12"/>
  <c r="K55" i="12" s="1"/>
  <c r="D55" i="39"/>
  <c r="G55" i="39" s="1"/>
  <c r="H55" i="39" s="1"/>
  <c r="I55" i="39" s="1"/>
  <c r="J267" i="12"/>
  <c r="K267" i="12" s="1"/>
  <c r="D267" i="39"/>
  <c r="G267" i="39" s="1"/>
  <c r="H267" i="39" s="1"/>
  <c r="I267" i="39" s="1"/>
  <c r="J154" i="12"/>
  <c r="K154" i="12" s="1"/>
  <c r="D154" i="39"/>
  <c r="G154" i="39" s="1"/>
  <c r="H154" i="39" s="1"/>
  <c r="I154" i="39" s="1"/>
  <c r="J96" i="12"/>
  <c r="K96" i="12" s="1"/>
  <c r="D96" i="39"/>
  <c r="G96" i="39" s="1"/>
  <c r="H96" i="39" s="1"/>
  <c r="I96" i="39" s="1"/>
  <c r="J271" i="12"/>
  <c r="K271" i="12" s="1"/>
  <c r="D271" i="39"/>
  <c r="G271" i="39" s="1"/>
  <c r="H271" i="39" s="1"/>
  <c r="I271" i="39" s="1"/>
  <c r="J265" i="12"/>
  <c r="K265" i="12" s="1"/>
  <c r="D265" i="39"/>
  <c r="G265" i="39" s="1"/>
  <c r="H265" i="39" s="1"/>
  <c r="I265" i="39" s="1"/>
  <c r="J30" i="12"/>
  <c r="K30" i="12" s="1"/>
  <c r="D30" i="39"/>
  <c r="G30" i="39" s="1"/>
  <c r="H30" i="39" s="1"/>
  <c r="I30" i="39" s="1"/>
  <c r="J185" i="12"/>
  <c r="K185" i="12" s="1"/>
  <c r="D185" i="39"/>
  <c r="G185" i="39" s="1"/>
  <c r="H185" i="39" s="1"/>
  <c r="I185" i="39" s="1"/>
  <c r="J81" i="12"/>
  <c r="K81" i="12" s="1"/>
  <c r="D81" i="39"/>
  <c r="G81" i="39" s="1"/>
  <c r="H81" i="39" s="1"/>
  <c r="I81" i="39" s="1"/>
  <c r="J287" i="12"/>
  <c r="K287" i="12" s="1"/>
  <c r="D287" i="39"/>
  <c r="G287" i="39" s="1"/>
  <c r="H287" i="39" s="1"/>
  <c r="I287" i="39" s="1"/>
  <c r="J118" i="12"/>
  <c r="K118" i="12" s="1"/>
  <c r="D118" i="39"/>
  <c r="G118" i="39" s="1"/>
  <c r="H118" i="39" s="1"/>
  <c r="I118" i="39" s="1"/>
  <c r="J289" i="12"/>
  <c r="K289" i="12" s="1"/>
  <c r="D289" i="39"/>
  <c r="G289" i="39" s="1"/>
  <c r="H289" i="39" s="1"/>
  <c r="I289" i="39" s="1"/>
  <c r="J152" i="12"/>
  <c r="K152" i="12" s="1"/>
  <c r="D152" i="39"/>
  <c r="G152" i="39" s="1"/>
  <c r="H152" i="39" s="1"/>
  <c r="I152" i="39" s="1"/>
  <c r="J164" i="12"/>
  <c r="K164" i="12" s="1"/>
  <c r="D164" i="39"/>
  <c r="G164" i="39" s="1"/>
  <c r="H164" i="39" s="1"/>
  <c r="I164" i="39" s="1"/>
  <c r="J159" i="12"/>
  <c r="K159" i="12" s="1"/>
  <c r="D159" i="39"/>
  <c r="G159" i="39" s="1"/>
  <c r="H159" i="39" s="1"/>
  <c r="I159" i="39" s="1"/>
  <c r="J90" i="12"/>
  <c r="K90" i="12" s="1"/>
  <c r="D90" i="39"/>
  <c r="G90" i="39" s="1"/>
  <c r="H90" i="39" s="1"/>
  <c r="I90" i="39" s="1"/>
  <c r="J219" i="12"/>
  <c r="K219" i="12" s="1"/>
  <c r="D219" i="39"/>
  <c r="G219" i="39" s="1"/>
  <c r="H219" i="39" s="1"/>
  <c r="I219" i="39" s="1"/>
  <c r="J17" i="12"/>
  <c r="K17" i="12" s="1"/>
  <c r="D17" i="39"/>
  <c r="G17" i="39" s="1"/>
  <c r="H17" i="39" s="1"/>
  <c r="I17" i="39" s="1"/>
  <c r="J163" i="12"/>
  <c r="K163" i="12" s="1"/>
  <c r="D163" i="39"/>
  <c r="G163" i="39" s="1"/>
  <c r="H163" i="39" s="1"/>
  <c r="I163" i="39" s="1"/>
  <c r="J153" i="12"/>
  <c r="K153" i="12" s="1"/>
  <c r="D153" i="39"/>
  <c r="G153" i="39" s="1"/>
  <c r="H153" i="39" s="1"/>
  <c r="I153" i="39" s="1"/>
  <c r="J97" i="12"/>
  <c r="K97" i="12" s="1"/>
  <c r="D97" i="39"/>
  <c r="G97" i="39" s="1"/>
  <c r="H97" i="39" s="1"/>
  <c r="I97" i="39" s="1"/>
  <c r="J150" i="12"/>
  <c r="K150" i="12" s="1"/>
  <c r="D150" i="39"/>
  <c r="G150" i="39" s="1"/>
  <c r="H150" i="39" s="1"/>
  <c r="I150" i="39" s="1"/>
  <c r="J282" i="12"/>
  <c r="K282" i="12" s="1"/>
  <c r="D282" i="39"/>
  <c r="G282" i="39" s="1"/>
  <c r="H282" i="39" s="1"/>
  <c r="I282" i="39" s="1"/>
  <c r="J268" i="12"/>
  <c r="K268" i="12" s="1"/>
  <c r="D268" i="39"/>
  <c r="G268" i="39" s="1"/>
  <c r="H268" i="39" s="1"/>
  <c r="I268" i="39" s="1"/>
  <c r="J99" i="12"/>
  <c r="K99" i="12" s="1"/>
  <c r="D99" i="39"/>
  <c r="G99" i="39" s="1"/>
  <c r="H99" i="39" s="1"/>
  <c r="I99" i="39" s="1"/>
  <c r="J261" i="12"/>
  <c r="K261" i="12" s="1"/>
  <c r="D261" i="39"/>
  <c r="G261" i="39" s="1"/>
  <c r="H261" i="39" s="1"/>
  <c r="I261" i="39" s="1"/>
  <c r="J211" i="12"/>
  <c r="K211" i="12" s="1"/>
  <c r="D211" i="39"/>
  <c r="G211" i="39" s="1"/>
  <c r="H211" i="39" s="1"/>
  <c r="I211" i="39" s="1"/>
  <c r="J301" i="12"/>
  <c r="K301" i="12" s="1"/>
  <c r="D301" i="39"/>
  <c r="G301" i="39" s="1"/>
  <c r="H301" i="39" s="1"/>
  <c r="I301" i="39" s="1"/>
  <c r="J273" i="12"/>
  <c r="K273" i="12" s="1"/>
  <c r="D273" i="39"/>
  <c r="G273" i="39" s="1"/>
  <c r="H273" i="39" s="1"/>
  <c r="I273" i="39" s="1"/>
  <c r="J47" i="12"/>
  <c r="K47" i="12" s="1"/>
  <c r="D47" i="39"/>
  <c r="G47" i="39" s="1"/>
  <c r="H47" i="39" s="1"/>
  <c r="I47" i="39" s="1"/>
  <c r="J181" i="12"/>
  <c r="K181" i="12" s="1"/>
  <c r="D181" i="39"/>
  <c r="G181" i="39" s="1"/>
  <c r="H181" i="39" s="1"/>
  <c r="I181" i="39" s="1"/>
  <c r="J180" i="12"/>
  <c r="K180" i="12" s="1"/>
  <c r="D180" i="39"/>
  <c r="G180" i="39" s="1"/>
  <c r="H180" i="39" s="1"/>
  <c r="I180" i="39" s="1"/>
  <c r="J184" i="12"/>
  <c r="K184" i="12" s="1"/>
  <c r="D184" i="39"/>
  <c r="G184" i="39" s="1"/>
  <c r="H184" i="39" s="1"/>
  <c r="I184" i="39" s="1"/>
  <c r="J196" i="12"/>
  <c r="K196" i="12" s="1"/>
  <c r="D196" i="39"/>
  <c r="G196" i="39" s="1"/>
  <c r="H196" i="39" s="1"/>
  <c r="I196" i="39" s="1"/>
  <c r="J214" i="12"/>
  <c r="K214" i="12" s="1"/>
  <c r="D214" i="39"/>
  <c r="G214" i="39" s="1"/>
  <c r="H214" i="39" s="1"/>
  <c r="I214" i="39" s="1"/>
  <c r="J108" i="12"/>
  <c r="K108" i="12" s="1"/>
  <c r="D108" i="39"/>
  <c r="G108" i="39" s="1"/>
  <c r="H108" i="39" s="1"/>
  <c r="I108" i="39" s="1"/>
  <c r="J223" i="12"/>
  <c r="K223" i="12" s="1"/>
  <c r="D223" i="39"/>
  <c r="G223" i="39" s="1"/>
  <c r="H223" i="39" s="1"/>
  <c r="I223" i="39" s="1"/>
  <c r="J128" i="12"/>
  <c r="K128" i="12" s="1"/>
  <c r="D128" i="39"/>
  <c r="G128" i="39" s="1"/>
  <c r="H128" i="39" s="1"/>
  <c r="I128" i="39" s="1"/>
  <c r="J207" i="12"/>
  <c r="K207" i="12" s="1"/>
  <c r="D207" i="39"/>
  <c r="G207" i="39" s="1"/>
  <c r="H207" i="39" s="1"/>
  <c r="I207" i="39" s="1"/>
  <c r="J75" i="12"/>
  <c r="K75" i="12" s="1"/>
  <c r="D75" i="39"/>
  <c r="G75" i="39" s="1"/>
  <c r="H75" i="39" s="1"/>
  <c r="I75" i="39" s="1"/>
  <c r="J8" i="12"/>
  <c r="K8" i="12" s="1"/>
  <c r="D8" i="39"/>
  <c r="G8" i="39" s="1"/>
  <c r="H8" i="39" s="1"/>
  <c r="I8" i="39" s="1"/>
  <c r="J33" i="12"/>
  <c r="K33" i="12" s="1"/>
  <c r="D33" i="39"/>
  <c r="G33" i="39" s="1"/>
  <c r="H33" i="39" s="1"/>
  <c r="I33" i="39" s="1"/>
  <c r="J15" i="12"/>
  <c r="K15" i="12" s="1"/>
  <c r="D15" i="39"/>
  <c r="G15" i="39" s="1"/>
  <c r="H15" i="39" s="1"/>
  <c r="I15" i="39" s="1"/>
  <c r="J281" i="12"/>
  <c r="K281" i="12" s="1"/>
  <c r="D281" i="39"/>
  <c r="G281" i="39" s="1"/>
  <c r="H281" i="39" s="1"/>
  <c r="I281" i="39" s="1"/>
  <c r="J206" i="12"/>
  <c r="K206" i="12" s="1"/>
  <c r="D206" i="39"/>
  <c r="G206" i="39" s="1"/>
  <c r="H206" i="39" s="1"/>
  <c r="I206" i="39" s="1"/>
  <c r="J127" i="12"/>
  <c r="K127" i="12" s="1"/>
  <c r="D127" i="39"/>
  <c r="G127" i="39" s="1"/>
  <c r="H127" i="39" s="1"/>
  <c r="I127" i="39" s="1"/>
  <c r="J89" i="12"/>
  <c r="K89" i="12" s="1"/>
  <c r="D89" i="39"/>
  <c r="G89" i="39" s="1"/>
  <c r="H89" i="39" s="1"/>
  <c r="I89" i="39" s="1"/>
  <c r="J224" i="12"/>
  <c r="K224" i="12" s="1"/>
  <c r="D224" i="39"/>
  <c r="G224" i="39" s="1"/>
  <c r="H224" i="39" s="1"/>
  <c r="I224" i="39" s="1"/>
  <c r="J213" i="12"/>
  <c r="K213" i="12" s="1"/>
  <c r="D213" i="39"/>
  <c r="G213" i="39" s="1"/>
  <c r="H213" i="39" s="1"/>
  <c r="I213" i="39" s="1"/>
  <c r="J124" i="12"/>
  <c r="K124" i="12" s="1"/>
  <c r="D124" i="39"/>
  <c r="G124" i="39" s="1"/>
  <c r="H124" i="39" s="1"/>
  <c r="I124" i="39" s="1"/>
  <c r="J161" i="12"/>
  <c r="K161" i="12" s="1"/>
  <c r="D161" i="39"/>
  <c r="G161" i="39" s="1"/>
  <c r="H161" i="39" s="1"/>
  <c r="I161" i="39" s="1"/>
  <c r="J248" i="12"/>
  <c r="K248" i="12" s="1"/>
  <c r="D248" i="39"/>
  <c r="G248" i="39" s="1"/>
  <c r="H248" i="39" s="1"/>
  <c r="I248" i="39" s="1"/>
  <c r="J39" i="12"/>
  <c r="K39" i="12" s="1"/>
  <c r="D39" i="39"/>
  <c r="G39" i="39" s="1"/>
  <c r="H39" i="39" s="1"/>
  <c r="I39" i="39" s="1"/>
  <c r="J60" i="12"/>
  <c r="K60" i="12" s="1"/>
  <c r="D60" i="39"/>
  <c r="G60" i="39" s="1"/>
  <c r="H60" i="39" s="1"/>
  <c r="I60" i="39" s="1"/>
  <c r="J253" i="12"/>
  <c r="K253" i="12" s="1"/>
  <c r="D253" i="39"/>
  <c r="G253" i="39" s="1"/>
  <c r="H253" i="39" s="1"/>
  <c r="I253" i="39" s="1"/>
  <c r="J208" i="12"/>
  <c r="K208" i="12" s="1"/>
  <c r="D208" i="39"/>
  <c r="G208" i="39" s="1"/>
  <c r="H208" i="39" s="1"/>
  <c r="I208" i="39" s="1"/>
  <c r="J215" i="12"/>
  <c r="K215" i="12" s="1"/>
  <c r="D215" i="39"/>
  <c r="G215" i="39" s="1"/>
  <c r="H215" i="39" s="1"/>
  <c r="I215" i="39" s="1"/>
  <c r="J283" i="12"/>
  <c r="K283" i="12" s="1"/>
  <c r="D283" i="39"/>
  <c r="G283" i="39" s="1"/>
  <c r="H283" i="39" s="1"/>
  <c r="I283" i="39" s="1"/>
  <c r="J149" i="12"/>
  <c r="K149" i="12" s="1"/>
  <c r="D149" i="39"/>
  <c r="G149" i="39" s="1"/>
  <c r="H149" i="39" s="1"/>
  <c r="I149" i="39" s="1"/>
  <c r="J18" i="12"/>
  <c r="K18" i="12" s="1"/>
  <c r="D18" i="39"/>
  <c r="G18" i="39" s="1"/>
  <c r="H18" i="39" s="1"/>
  <c r="I18" i="39" s="1"/>
  <c r="J279" i="12"/>
  <c r="K279" i="12" s="1"/>
  <c r="D279" i="39"/>
  <c r="G279" i="39" s="1"/>
  <c r="H279" i="39" s="1"/>
  <c r="I279" i="39" s="1"/>
  <c r="J130" i="12"/>
  <c r="K130" i="12" s="1"/>
  <c r="D130" i="39"/>
  <c r="G130" i="39" s="1"/>
  <c r="H130" i="39" s="1"/>
  <c r="I130" i="39" s="1"/>
  <c r="J107" i="12"/>
  <c r="K107" i="12" s="1"/>
  <c r="D107" i="39"/>
  <c r="G107" i="39" s="1"/>
  <c r="H107" i="39" s="1"/>
  <c r="I107" i="39" s="1"/>
  <c r="J200" i="12"/>
  <c r="K200" i="12" s="1"/>
  <c r="D200" i="39"/>
  <c r="G200" i="39" s="1"/>
  <c r="H200" i="39" s="1"/>
  <c r="I200" i="39" s="1"/>
  <c r="J299" i="12"/>
  <c r="K299" i="12" s="1"/>
  <c r="D299" i="39"/>
  <c r="G299" i="39" s="1"/>
  <c r="H299" i="39" s="1"/>
  <c r="I299" i="39" s="1"/>
  <c r="J303" i="12"/>
  <c r="K303" i="12" s="1"/>
  <c r="D303" i="39"/>
  <c r="G303" i="39" s="1"/>
  <c r="H303" i="39" s="1"/>
  <c r="I303" i="39" s="1"/>
  <c r="J94" i="12"/>
  <c r="K94" i="12" s="1"/>
  <c r="D94" i="39"/>
  <c r="G94" i="39" s="1"/>
  <c r="H94" i="39" s="1"/>
  <c r="I94" i="39" s="1"/>
  <c r="J183" i="12"/>
  <c r="K183" i="12" s="1"/>
  <c r="D183" i="39"/>
  <c r="G183" i="39" s="1"/>
  <c r="H183" i="39" s="1"/>
  <c r="I183" i="39" s="1"/>
  <c r="J61" i="12"/>
  <c r="K61" i="12" s="1"/>
  <c r="D61" i="39"/>
  <c r="G61" i="39" s="1"/>
  <c r="H61" i="39" s="1"/>
  <c r="I61" i="39" s="1"/>
  <c r="J189" i="12"/>
  <c r="K189" i="12" s="1"/>
  <c r="D189" i="39"/>
  <c r="G189" i="39" s="1"/>
  <c r="H189" i="39" s="1"/>
  <c r="I189" i="39" s="1"/>
  <c r="J202" i="12"/>
  <c r="K202" i="12" s="1"/>
  <c r="D202" i="39"/>
  <c r="G202" i="39" s="1"/>
  <c r="H202" i="39" s="1"/>
  <c r="I202" i="39" s="1"/>
  <c r="J250" i="12"/>
  <c r="K250" i="12" s="1"/>
  <c r="D250" i="39"/>
  <c r="G250" i="39" s="1"/>
  <c r="H250" i="39" s="1"/>
  <c r="I250" i="39" s="1"/>
  <c r="J49" i="12"/>
  <c r="K49" i="12" s="1"/>
  <c r="D49" i="39"/>
  <c r="G49" i="39" s="1"/>
  <c r="H49" i="39" s="1"/>
  <c r="I49" i="39" s="1"/>
  <c r="J31" i="12"/>
  <c r="K31" i="12" s="1"/>
  <c r="D31" i="39"/>
  <c r="G31" i="39" s="1"/>
  <c r="H31" i="39" s="1"/>
  <c r="I31" i="39" s="1"/>
  <c r="J182" i="12"/>
  <c r="K182" i="12" s="1"/>
  <c r="D182" i="39"/>
  <c r="G182" i="39" s="1"/>
  <c r="H182" i="39" s="1"/>
  <c r="I182" i="39" s="1"/>
  <c r="J295" i="12"/>
  <c r="K295" i="12" s="1"/>
  <c r="D295" i="39"/>
  <c r="G295" i="39" s="1"/>
  <c r="H295" i="39" s="1"/>
  <c r="I295" i="39" s="1"/>
  <c r="J104" i="12"/>
  <c r="K104" i="12" s="1"/>
  <c r="D104" i="39"/>
  <c r="G104" i="39" s="1"/>
  <c r="H104" i="39" s="1"/>
  <c r="I104" i="39" s="1"/>
  <c r="J252" i="12"/>
  <c r="K252" i="12" s="1"/>
  <c r="D252" i="39"/>
  <c r="G252" i="39" s="1"/>
  <c r="H252" i="39" s="1"/>
  <c r="I252" i="39" s="1"/>
  <c r="J78" i="12"/>
  <c r="K78" i="12" s="1"/>
  <c r="D78" i="39"/>
  <c r="G78" i="39" s="1"/>
  <c r="H78" i="39" s="1"/>
  <c r="I78" i="39" s="1"/>
  <c r="J173" i="12"/>
  <c r="K173" i="12" s="1"/>
  <c r="D173" i="39"/>
  <c r="G173" i="39" s="1"/>
  <c r="H173" i="39" s="1"/>
  <c r="I173" i="39" s="1"/>
  <c r="J137" i="12"/>
  <c r="K137" i="12" s="1"/>
  <c r="D137" i="39"/>
  <c r="G137" i="39" s="1"/>
  <c r="H137" i="39" s="1"/>
  <c r="I137" i="39" s="1"/>
  <c r="J76" i="12"/>
  <c r="K76" i="12" s="1"/>
  <c r="D76" i="39"/>
  <c r="G76" i="39" s="1"/>
  <c r="H76" i="39" s="1"/>
  <c r="I76" i="39" s="1"/>
  <c r="J276" i="12"/>
  <c r="K276" i="12" s="1"/>
  <c r="D276" i="39"/>
  <c r="G276" i="39" s="1"/>
  <c r="H276" i="39" s="1"/>
  <c r="I276" i="39" s="1"/>
  <c r="J32" i="12"/>
  <c r="K32" i="12" s="1"/>
  <c r="D32" i="39"/>
  <c r="G32" i="39" s="1"/>
  <c r="H32" i="39" s="1"/>
  <c r="I32" i="39" s="1"/>
  <c r="J138" i="12"/>
  <c r="K138" i="12" s="1"/>
  <c r="D138" i="39"/>
  <c r="G138" i="39" s="1"/>
  <c r="H138" i="39" s="1"/>
  <c r="I138" i="39" s="1"/>
  <c r="J105" i="12"/>
  <c r="K105" i="12" s="1"/>
  <c r="D105" i="39"/>
  <c r="G105" i="39" s="1"/>
  <c r="H105" i="39" s="1"/>
  <c r="I105" i="39" s="1"/>
  <c r="J174" i="12"/>
  <c r="K174" i="12" s="1"/>
  <c r="D174" i="39"/>
  <c r="G174" i="39" s="1"/>
  <c r="H174" i="39" s="1"/>
  <c r="I174" i="39" s="1"/>
  <c r="J251" i="12"/>
  <c r="K251" i="12" s="1"/>
  <c r="D251" i="39"/>
  <c r="G251" i="39" s="1"/>
  <c r="H251" i="39" s="1"/>
  <c r="I251" i="39" s="1"/>
  <c r="J242" i="12"/>
  <c r="K242" i="12" s="1"/>
  <c r="D242" i="39"/>
  <c r="G242" i="39" s="1"/>
  <c r="H242" i="39" s="1"/>
  <c r="I242" i="39" s="1"/>
  <c r="J143" i="12"/>
  <c r="K143" i="12" s="1"/>
  <c r="D143" i="39"/>
  <c r="G143" i="39" s="1"/>
  <c r="H143" i="39" s="1"/>
  <c r="I143" i="39" s="1"/>
  <c r="J263" i="12"/>
  <c r="K263" i="12" s="1"/>
  <c r="D263" i="39"/>
  <c r="G263" i="39" s="1"/>
  <c r="H263" i="39" s="1"/>
  <c r="I263" i="39" s="1"/>
  <c r="J231" i="12"/>
  <c r="K231" i="12" s="1"/>
  <c r="D231" i="39"/>
  <c r="G231" i="39" s="1"/>
  <c r="H231" i="39" s="1"/>
  <c r="I231" i="39" s="1"/>
  <c r="J292" i="12"/>
  <c r="K292" i="12" s="1"/>
  <c r="D292" i="39"/>
  <c r="G292" i="39" s="1"/>
  <c r="H292" i="39" s="1"/>
  <c r="I292" i="39" s="1"/>
  <c r="J98" i="12"/>
  <c r="K98" i="12" s="1"/>
  <c r="D98" i="39"/>
  <c r="G98" i="39" s="1"/>
  <c r="H98" i="39" s="1"/>
  <c r="I98" i="39" s="1"/>
  <c r="J170" i="12"/>
  <c r="K170" i="12" s="1"/>
  <c r="D170" i="39"/>
  <c r="G170" i="39" s="1"/>
  <c r="H170" i="39" s="1"/>
  <c r="I170" i="39" s="1"/>
  <c r="J34" i="12"/>
  <c r="K34" i="12" s="1"/>
  <c r="D34" i="39"/>
  <c r="G34" i="39" s="1"/>
  <c r="H34" i="39" s="1"/>
  <c r="I34" i="39" s="1"/>
  <c r="J199" i="12"/>
  <c r="K199" i="12" s="1"/>
  <c r="D199" i="39"/>
  <c r="G199" i="39" s="1"/>
  <c r="H199" i="39" s="1"/>
  <c r="I199" i="39" s="1"/>
  <c r="J91" i="12"/>
  <c r="K91" i="12" s="1"/>
  <c r="D91" i="39"/>
  <c r="G91" i="39" s="1"/>
  <c r="H91" i="39" s="1"/>
  <c r="I91" i="39" s="1"/>
  <c r="J82" i="12"/>
  <c r="K82" i="12" s="1"/>
  <c r="D82" i="39"/>
  <c r="G82" i="39" s="1"/>
  <c r="H82" i="39" s="1"/>
  <c r="I82" i="39" s="1"/>
  <c r="J43" i="12"/>
  <c r="K43" i="12" s="1"/>
  <c r="D43" i="39"/>
  <c r="G43" i="39" s="1"/>
  <c r="H43" i="39" s="1"/>
  <c r="I43" i="39" s="1"/>
  <c r="J117" i="12"/>
  <c r="K117" i="12" s="1"/>
  <c r="D117" i="39"/>
  <c r="G117" i="39" s="1"/>
  <c r="H117" i="39" s="1"/>
  <c r="I117" i="39" s="1"/>
  <c r="J102" i="12"/>
  <c r="K102" i="12" s="1"/>
  <c r="D102" i="39"/>
  <c r="G102" i="39" s="1"/>
  <c r="H102" i="39" s="1"/>
  <c r="I102" i="39" s="1"/>
  <c r="J25" i="12"/>
  <c r="K25" i="12" s="1"/>
  <c r="D25" i="39"/>
  <c r="G25" i="39" s="1"/>
  <c r="H25" i="39" s="1"/>
  <c r="I25" i="39" s="1"/>
  <c r="J101" i="12"/>
  <c r="K101" i="12" s="1"/>
  <c r="D101" i="39"/>
  <c r="G101" i="39" s="1"/>
  <c r="H101" i="39" s="1"/>
  <c r="I101" i="39" s="1"/>
  <c r="J123" i="12"/>
  <c r="K123" i="12" s="1"/>
  <c r="D123" i="39"/>
  <c r="G123" i="39" s="1"/>
  <c r="H123" i="39" s="1"/>
  <c r="I123" i="39" s="1"/>
  <c r="J87" i="12"/>
  <c r="K87" i="12" s="1"/>
  <c r="D87" i="39"/>
  <c r="G87" i="39" s="1"/>
  <c r="H87" i="39" s="1"/>
  <c r="I87" i="39" s="1"/>
  <c r="J232" i="12"/>
  <c r="K232" i="12" s="1"/>
  <c r="D232" i="39"/>
  <c r="G232" i="39" s="1"/>
  <c r="H232" i="39" s="1"/>
  <c r="I232" i="39" s="1"/>
  <c r="J21" i="12"/>
  <c r="K21" i="12" s="1"/>
  <c r="D21" i="39"/>
  <c r="G21" i="39" s="1"/>
  <c r="H21" i="39" s="1"/>
  <c r="I21" i="39" s="1"/>
  <c r="J7" i="12"/>
  <c r="K7" i="12" s="1"/>
  <c r="D7" i="39"/>
  <c r="G7" i="39" s="1"/>
  <c r="H7" i="39" s="1"/>
  <c r="I7" i="39" s="1"/>
  <c r="J58" i="12"/>
  <c r="K58" i="12" s="1"/>
  <c r="D58" i="39"/>
  <c r="G58" i="39" s="1"/>
  <c r="H58" i="39" s="1"/>
  <c r="I58" i="39" s="1"/>
  <c r="J193" i="12"/>
  <c r="K193" i="12" s="1"/>
  <c r="D193" i="39"/>
  <c r="G193" i="39" s="1"/>
  <c r="H193" i="39" s="1"/>
  <c r="I193" i="39" s="1"/>
  <c r="J277" i="12"/>
  <c r="K277" i="12" s="1"/>
  <c r="D277" i="39"/>
  <c r="G277" i="39" s="1"/>
  <c r="H277" i="39" s="1"/>
  <c r="I277" i="39" s="1"/>
  <c r="J73" i="12"/>
  <c r="K73" i="12" s="1"/>
  <c r="D73" i="39"/>
  <c r="G73" i="39" s="1"/>
  <c r="H73" i="39" s="1"/>
  <c r="I73" i="39" s="1"/>
  <c r="J121" i="12"/>
  <c r="K121" i="12" s="1"/>
  <c r="D121" i="39"/>
  <c r="G121" i="39" s="1"/>
  <c r="H121" i="39" s="1"/>
  <c r="I121" i="39" s="1"/>
  <c r="J241" i="12"/>
  <c r="K241" i="12" s="1"/>
  <c r="D241" i="39"/>
  <c r="G241" i="39" s="1"/>
  <c r="H241" i="39" s="1"/>
  <c r="I241" i="39" s="1"/>
  <c r="J20" i="12"/>
  <c r="K20" i="12" s="1"/>
  <c r="D20" i="39"/>
  <c r="G20" i="39" s="1"/>
  <c r="H20" i="39" s="1"/>
  <c r="I20" i="39" s="1"/>
  <c r="J27" i="12"/>
  <c r="K27" i="12" s="1"/>
  <c r="D27" i="39"/>
  <c r="G27" i="39" s="1"/>
  <c r="H27" i="39" s="1"/>
  <c r="I27" i="39" s="1"/>
  <c r="J71" i="12"/>
  <c r="K71" i="12" s="1"/>
  <c r="D71" i="39"/>
  <c r="G71" i="39" s="1"/>
  <c r="H71" i="39" s="1"/>
  <c r="I71" i="39" s="1"/>
  <c r="J53" i="12"/>
  <c r="K53" i="12" s="1"/>
  <c r="D53" i="39"/>
  <c r="G53" i="39" s="1"/>
  <c r="H53" i="39" s="1"/>
  <c r="I53" i="39" s="1"/>
  <c r="J220" i="12"/>
  <c r="K220" i="12" s="1"/>
  <c r="D220" i="39"/>
  <c r="G220" i="39" s="1"/>
  <c r="H220" i="39" s="1"/>
  <c r="I220" i="39" s="1"/>
  <c r="J198" i="12"/>
  <c r="K198" i="12" s="1"/>
  <c r="D198" i="39"/>
  <c r="G198" i="39" s="1"/>
  <c r="H198" i="39" s="1"/>
  <c r="I198" i="39" s="1"/>
  <c r="J304" i="12"/>
  <c r="K304" i="12" s="1"/>
  <c r="D304" i="39"/>
  <c r="G304" i="39" s="1"/>
  <c r="H304" i="39" s="1"/>
  <c r="I304" i="39" s="1"/>
  <c r="J254" i="12"/>
  <c r="K254" i="12" s="1"/>
  <c r="D254" i="39"/>
  <c r="G254" i="39" s="1"/>
  <c r="H254" i="39" s="1"/>
  <c r="I254" i="39" s="1"/>
  <c r="J112" i="12"/>
  <c r="K112" i="12" s="1"/>
  <c r="D112" i="39"/>
  <c r="G112" i="39" s="1"/>
  <c r="H112" i="39" s="1"/>
  <c r="I112" i="39" s="1"/>
  <c r="J37" i="12"/>
  <c r="K37" i="12" s="1"/>
  <c r="D37" i="39"/>
  <c r="G37" i="39" s="1"/>
  <c r="H37" i="39" s="1"/>
  <c r="I37" i="39" s="1"/>
  <c r="J226" i="12"/>
  <c r="K226" i="12" s="1"/>
  <c r="D226" i="39"/>
  <c r="G226" i="39" s="1"/>
  <c r="H226" i="39" s="1"/>
  <c r="I226" i="39" s="1"/>
  <c r="J56" i="12"/>
  <c r="K56" i="12" s="1"/>
  <c r="D56" i="39"/>
  <c r="G56" i="39" s="1"/>
  <c r="H56" i="39" s="1"/>
  <c r="I56" i="39" s="1"/>
  <c r="J162" i="12"/>
  <c r="K162" i="12" s="1"/>
  <c r="D162" i="39"/>
  <c r="G162" i="39" s="1"/>
  <c r="H162" i="39" s="1"/>
  <c r="I162" i="39" s="1"/>
  <c r="J115" i="12"/>
  <c r="K115" i="12" s="1"/>
  <c r="D115" i="39"/>
  <c r="G115" i="39" s="1"/>
  <c r="H115" i="39" s="1"/>
  <c r="I115" i="39" s="1"/>
  <c r="J19" i="12"/>
  <c r="K19" i="12" s="1"/>
  <c r="D19" i="39"/>
  <c r="G19" i="39" s="1"/>
  <c r="H19" i="39" s="1"/>
  <c r="I19" i="39" s="1"/>
  <c r="J151" i="12"/>
  <c r="K151" i="12" s="1"/>
  <c r="D151" i="39"/>
  <c r="G151" i="39" s="1"/>
  <c r="H151" i="39" s="1"/>
  <c r="I151" i="39" s="1"/>
  <c r="J12" i="12"/>
  <c r="K12" i="12" s="1"/>
  <c r="D12" i="39"/>
  <c r="G12" i="39" s="1"/>
  <c r="H12" i="39" s="1"/>
  <c r="I12" i="39" s="1"/>
  <c r="J135" i="12"/>
  <c r="K135" i="12" s="1"/>
  <c r="D135" i="39"/>
  <c r="G135" i="39" s="1"/>
  <c r="H135" i="39" s="1"/>
  <c r="I135" i="39" s="1"/>
  <c r="J44" i="12"/>
  <c r="K44" i="12" s="1"/>
  <c r="D44" i="39"/>
  <c r="G44" i="39" s="1"/>
  <c r="H44" i="39" s="1"/>
  <c r="I44" i="39" s="1"/>
  <c r="J191" i="12"/>
  <c r="K191" i="12" s="1"/>
  <c r="D191" i="39"/>
  <c r="G191" i="39" s="1"/>
  <c r="H191" i="39" s="1"/>
  <c r="I191" i="39" s="1"/>
  <c r="J26" i="12"/>
  <c r="K26" i="12" s="1"/>
  <c r="D26" i="39"/>
  <c r="G26" i="39" s="1"/>
  <c r="H26" i="39" s="1"/>
  <c r="I26" i="39" s="1"/>
  <c r="J139" i="12"/>
  <c r="K139" i="12" s="1"/>
  <c r="D139" i="39"/>
  <c r="G139" i="39" s="1"/>
  <c r="H139" i="39" s="1"/>
  <c r="I139" i="39" s="1"/>
  <c r="J100" i="12"/>
  <c r="K100" i="12" s="1"/>
  <c r="D100" i="39"/>
  <c r="G100" i="39" s="1"/>
  <c r="H100" i="39" s="1"/>
  <c r="I100" i="39" s="1"/>
  <c r="J255" i="12"/>
  <c r="K255" i="12" s="1"/>
  <c r="D255" i="39"/>
  <c r="G255" i="39" s="1"/>
  <c r="H255" i="39" s="1"/>
  <c r="I255" i="39" s="1"/>
  <c r="J262" i="12"/>
  <c r="K262" i="12" s="1"/>
  <c r="D262" i="39"/>
  <c r="G262" i="39" s="1"/>
  <c r="H262" i="39" s="1"/>
  <c r="I262" i="39" s="1"/>
  <c r="J230" i="12"/>
  <c r="K230" i="12" s="1"/>
  <c r="D230" i="39"/>
  <c r="G230" i="39" s="1"/>
  <c r="H230" i="39" s="1"/>
  <c r="I230" i="39" s="1"/>
  <c r="J290" i="12"/>
  <c r="K290" i="12" s="1"/>
  <c r="D290" i="39"/>
  <c r="G290" i="39" s="1"/>
  <c r="H290" i="39" s="1"/>
  <c r="I290" i="39" s="1"/>
  <c r="J42" i="12"/>
  <c r="K42" i="12" s="1"/>
  <c r="D42" i="39"/>
  <c r="G42" i="39" s="1"/>
  <c r="H42" i="39" s="1"/>
  <c r="I42" i="39" s="1"/>
  <c r="J280" i="12"/>
  <c r="K280" i="12" s="1"/>
  <c r="D280" i="39"/>
  <c r="G280" i="39" s="1"/>
  <c r="H280" i="39" s="1"/>
  <c r="I280" i="39" s="1"/>
  <c r="J147" i="12"/>
  <c r="K147" i="12" s="1"/>
  <c r="D147" i="39"/>
  <c r="G147" i="39" s="1"/>
  <c r="H147" i="39" s="1"/>
  <c r="I147" i="39" s="1"/>
  <c r="J146" i="12"/>
  <c r="K146" i="12" s="1"/>
  <c r="D146" i="39"/>
  <c r="G146" i="39" s="1"/>
  <c r="H146" i="39" s="1"/>
  <c r="I146" i="39" s="1"/>
  <c r="J114" i="12"/>
  <c r="K114" i="12" s="1"/>
  <c r="D114" i="39"/>
  <c r="G114" i="39" s="1"/>
  <c r="H114" i="39" s="1"/>
  <c r="I114" i="39" s="1"/>
  <c r="J237" i="12"/>
  <c r="K237" i="12" s="1"/>
  <c r="D237" i="39"/>
  <c r="G237" i="39" s="1"/>
  <c r="H237" i="39" s="1"/>
  <c r="I237" i="39" s="1"/>
  <c r="J245" i="12"/>
  <c r="K245" i="12" s="1"/>
  <c r="D245" i="39"/>
  <c r="G245" i="39" s="1"/>
  <c r="H245" i="39" s="1"/>
  <c r="I245" i="39" s="1"/>
  <c r="J203" i="12"/>
  <c r="K203" i="12" s="1"/>
  <c r="D203" i="39"/>
  <c r="G203" i="39" s="1"/>
  <c r="H203" i="39" s="1"/>
  <c r="I203" i="39" s="1"/>
  <c r="J103" i="12"/>
  <c r="K103" i="12" s="1"/>
  <c r="D103" i="39"/>
  <c r="G103" i="39" s="1"/>
  <c r="H103" i="39" s="1"/>
  <c r="I103" i="39" s="1"/>
  <c r="J83" i="12"/>
  <c r="K83" i="12" s="1"/>
  <c r="D83" i="39"/>
  <c r="G83" i="39" s="1"/>
  <c r="H83" i="39" s="1"/>
  <c r="I83" i="39" s="1"/>
  <c r="J222" i="12"/>
  <c r="K222" i="12" s="1"/>
  <c r="D222" i="39"/>
  <c r="G222" i="39" s="1"/>
  <c r="H222" i="39" s="1"/>
  <c r="I222" i="39" s="1"/>
  <c r="J22" i="12"/>
  <c r="K22" i="12" s="1"/>
  <c r="D22" i="39"/>
  <c r="G22" i="39" s="1"/>
  <c r="H22" i="39" s="1"/>
  <c r="I22" i="39" s="1"/>
  <c r="J212" i="12"/>
  <c r="K212" i="12" s="1"/>
  <c r="D212" i="39"/>
  <c r="G212" i="39" s="1"/>
  <c r="H212" i="39" s="1"/>
  <c r="I212" i="39" s="1"/>
  <c r="J111" i="12"/>
  <c r="K111" i="12" s="1"/>
  <c r="D111" i="39"/>
  <c r="G111" i="39" s="1"/>
  <c r="H111" i="39" s="1"/>
  <c r="I111" i="39" s="1"/>
  <c r="J72" i="12"/>
  <c r="K72" i="12" s="1"/>
  <c r="D72" i="39"/>
  <c r="G72" i="39" s="1"/>
  <c r="H72" i="39" s="1"/>
  <c r="I72" i="39" s="1"/>
  <c r="J246" i="12"/>
  <c r="K246" i="12" s="1"/>
  <c r="D246" i="39"/>
  <c r="G246" i="39" s="1"/>
  <c r="H246" i="39" s="1"/>
  <c r="I246" i="39" s="1"/>
  <c r="J298" i="12"/>
  <c r="K298" i="12" s="1"/>
  <c r="D298" i="39"/>
  <c r="G298" i="39" s="1"/>
  <c r="H298" i="39" s="1"/>
  <c r="I298" i="39" s="1"/>
  <c r="J305" i="12"/>
  <c r="K305" i="12" s="1"/>
  <c r="D305" i="39"/>
  <c r="G305" i="39" s="1"/>
  <c r="H305" i="39" s="1"/>
  <c r="I305" i="39" s="1"/>
  <c r="J217" i="12"/>
  <c r="K217" i="12" s="1"/>
  <c r="D217" i="39"/>
  <c r="G217" i="39" s="1"/>
  <c r="H217" i="39" s="1"/>
  <c r="I217" i="39" s="1"/>
  <c r="J274" i="12"/>
  <c r="K274" i="12" s="1"/>
  <c r="D274" i="39"/>
  <c r="G274" i="39" s="1"/>
  <c r="H274" i="39" s="1"/>
  <c r="I274" i="39" s="1"/>
  <c r="J259" i="12"/>
  <c r="K259" i="12" s="1"/>
  <c r="D259" i="39"/>
  <c r="G259" i="39" s="1"/>
  <c r="H259" i="39" s="1"/>
  <c r="I259" i="39" s="1"/>
  <c r="J142" i="12"/>
  <c r="K142" i="12" s="1"/>
  <c r="D142" i="39"/>
  <c r="G142" i="39" s="1"/>
  <c r="H142" i="39" s="1"/>
  <c r="I142" i="39" s="1"/>
  <c r="J92" i="12"/>
  <c r="K92" i="12" s="1"/>
  <c r="D92" i="39"/>
  <c r="G92" i="39" s="1"/>
  <c r="H92" i="39" s="1"/>
  <c r="I92" i="39" s="1"/>
  <c r="J68" i="12"/>
  <c r="K68" i="12" s="1"/>
  <c r="D68" i="39"/>
  <c r="G68" i="39" s="1"/>
  <c r="H68" i="39" s="1"/>
  <c r="I68" i="39" s="1"/>
  <c r="J45" i="12"/>
  <c r="K45" i="12" s="1"/>
  <c r="D45" i="39"/>
  <c r="G45" i="39" s="1"/>
  <c r="H45" i="39" s="1"/>
  <c r="I45" i="39" s="1"/>
  <c r="J16" i="12"/>
  <c r="K16" i="12" s="1"/>
  <c r="D16" i="39"/>
  <c r="G16" i="39" s="1"/>
  <c r="H16" i="39" s="1"/>
  <c r="I16" i="39" s="1"/>
  <c r="J197" i="12"/>
  <c r="K197" i="12" s="1"/>
  <c r="D197" i="39"/>
  <c r="G197" i="39" s="1"/>
  <c r="H197" i="39" s="1"/>
  <c r="I197" i="39" s="1"/>
  <c r="H284" i="34"/>
  <c r="I284" i="34" s="1"/>
  <c r="K284" i="34" s="1"/>
  <c r="F277" i="25" s="1"/>
  <c r="G26" i="13" l="1"/>
  <c r="H26" i="13" s="1"/>
  <c r="I26" i="13" s="1"/>
  <c r="J26" i="13" s="1"/>
  <c r="G291" i="13"/>
  <c r="H291" i="13" s="1"/>
  <c r="I291" i="13" s="1"/>
  <c r="J291" i="13" s="1"/>
  <c r="G28" i="13"/>
  <c r="H28" i="13" s="1"/>
  <c r="I28" i="13" s="1"/>
  <c r="J28" i="13" s="1"/>
  <c r="G50" i="13"/>
  <c r="H50" i="13" s="1"/>
  <c r="I50" i="13" s="1"/>
  <c r="J50" i="13" s="1"/>
  <c r="G194" i="13"/>
  <c r="H194" i="13" s="1"/>
  <c r="I194" i="13" s="1"/>
  <c r="J194" i="13" s="1"/>
  <c r="G131" i="13"/>
  <c r="H131" i="13" s="1"/>
  <c r="I131" i="13" s="1"/>
  <c r="J131" i="13" s="1"/>
  <c r="G132" i="13"/>
  <c r="H132" i="13" s="1"/>
  <c r="I132" i="13" s="1"/>
  <c r="J132" i="13" s="1"/>
  <c r="G29" i="13"/>
  <c r="H29" i="13" s="1"/>
  <c r="I29" i="13" s="1"/>
  <c r="J29" i="13" s="1"/>
  <c r="G165" i="13"/>
  <c r="H165" i="13" s="1"/>
  <c r="I165" i="13" s="1"/>
  <c r="J165" i="13" s="1"/>
  <c r="H171" i="34" s="1"/>
  <c r="I171" i="34" s="1"/>
  <c r="K171" i="34" s="1"/>
  <c r="F164" i="25" s="1"/>
  <c r="G168" i="13"/>
  <c r="H168" i="13" s="1"/>
  <c r="I168" i="13" s="1"/>
  <c r="J168" i="13" s="1"/>
  <c r="G38" i="13"/>
  <c r="H38" i="13" s="1"/>
  <c r="I38" i="13" s="1"/>
  <c r="J38" i="13" s="1"/>
  <c r="G102" i="13"/>
  <c r="H102" i="13" s="1"/>
  <c r="I102" i="13" s="1"/>
  <c r="J102" i="13" s="1"/>
  <c r="G141" i="13"/>
  <c r="H141" i="13" s="1"/>
  <c r="I141" i="13" s="1"/>
  <c r="J141" i="13" s="1"/>
  <c r="G110" i="13"/>
  <c r="H110" i="13" s="1"/>
  <c r="I110" i="13" s="1"/>
  <c r="J110" i="13" s="1"/>
  <c r="G63" i="13"/>
  <c r="H63" i="13" s="1"/>
  <c r="I63" i="13" s="1"/>
  <c r="J63" i="13" s="1"/>
  <c r="G119" i="13"/>
  <c r="H119" i="13" s="1"/>
  <c r="I119" i="13" s="1"/>
  <c r="J119" i="13" s="1"/>
  <c r="G69" i="13"/>
  <c r="H69" i="13" s="1"/>
  <c r="I69" i="13" s="1"/>
  <c r="J69" i="13" s="1"/>
  <c r="H75" i="34" s="1"/>
  <c r="I75" i="34" s="1"/>
  <c r="K75" i="34" s="1"/>
  <c r="F68" i="25" s="1"/>
  <c r="G257" i="13"/>
  <c r="H257" i="13" s="1"/>
  <c r="I257" i="13" s="1"/>
  <c r="J257" i="13" s="1"/>
  <c r="H263" i="34" s="1"/>
  <c r="I263" i="34" s="1"/>
  <c r="K263" i="34" s="1"/>
  <c r="F256" i="25" s="1"/>
  <c r="G243" i="13"/>
  <c r="H243" i="13" s="1"/>
  <c r="I243" i="13" s="1"/>
  <c r="J243" i="13" s="1"/>
  <c r="H249" i="34" s="1"/>
  <c r="I249" i="34" s="1"/>
  <c r="K249" i="34" s="1"/>
  <c r="F242" i="25" s="1"/>
  <c r="G134" i="13"/>
  <c r="H134" i="13" s="1"/>
  <c r="I134" i="13" s="1"/>
  <c r="J134" i="13" s="1"/>
  <c r="H140" i="34" s="1"/>
  <c r="I140" i="34" s="1"/>
  <c r="K140" i="34" s="1"/>
  <c r="F133" i="25" s="1"/>
  <c r="G236" i="13"/>
  <c r="H236" i="13" s="1"/>
  <c r="I236" i="13" s="1"/>
  <c r="J236" i="13" s="1"/>
  <c r="H242" i="34" s="1"/>
  <c r="I242" i="34" s="1"/>
  <c r="K242" i="34" s="1"/>
  <c r="F235" i="25" s="1"/>
  <c r="G172" i="13"/>
  <c r="H172" i="13" s="1"/>
  <c r="I172" i="13" s="1"/>
  <c r="J172" i="13" s="1"/>
  <c r="G234" i="13"/>
  <c r="H234" i="13" s="1"/>
  <c r="I234" i="13" s="1"/>
  <c r="J234" i="13" s="1"/>
  <c r="G23" i="13"/>
  <c r="H23" i="13" s="1"/>
  <c r="I23" i="13" s="1"/>
  <c r="J23" i="13" s="1"/>
  <c r="G276" i="13"/>
  <c r="H276" i="13" s="1"/>
  <c r="I276" i="13" s="1"/>
  <c r="J276" i="13" s="1"/>
  <c r="H282" i="34" s="1"/>
  <c r="I282" i="34" s="1"/>
  <c r="K282" i="34" s="1"/>
  <c r="F275" i="25" s="1"/>
  <c r="G78" i="13"/>
  <c r="H78" i="13" s="1"/>
  <c r="I78" i="13" s="1"/>
  <c r="J78" i="13" s="1"/>
  <c r="H84" i="34" s="1"/>
  <c r="I84" i="34" s="1"/>
  <c r="K84" i="34" s="1"/>
  <c r="F77" i="25" s="1"/>
  <c r="G107" i="13"/>
  <c r="H107" i="13" s="1"/>
  <c r="I107" i="13" s="1"/>
  <c r="J107" i="13" s="1"/>
  <c r="H113" i="34" s="1"/>
  <c r="I113" i="34" s="1"/>
  <c r="K113" i="34" s="1"/>
  <c r="F106" i="25" s="1"/>
  <c r="G175" i="13"/>
  <c r="H175" i="13" s="1"/>
  <c r="I175" i="13" s="1"/>
  <c r="J175" i="13" s="1"/>
  <c r="H181" i="34" s="1"/>
  <c r="I181" i="34" s="1"/>
  <c r="K181" i="34" s="1"/>
  <c r="F174" i="25" s="1"/>
  <c r="G304" i="13"/>
  <c r="H304" i="13" s="1"/>
  <c r="I304" i="13" s="1"/>
  <c r="J304" i="13" s="1"/>
  <c r="H310" i="34" s="1"/>
  <c r="I310" i="34" s="1"/>
  <c r="K310" i="34" s="1"/>
  <c r="F303" i="25" s="1"/>
  <c r="G98" i="13"/>
  <c r="H98" i="13" s="1"/>
  <c r="I98" i="13" s="1"/>
  <c r="J98" i="13" s="1"/>
  <c r="G128" i="13"/>
  <c r="H128" i="13" s="1"/>
  <c r="I128" i="13" s="1"/>
  <c r="J128" i="13" s="1"/>
  <c r="G164" i="13"/>
  <c r="H164" i="13" s="1"/>
  <c r="I164" i="13" s="1"/>
  <c r="J164" i="13" s="1"/>
  <c r="H170" i="34" s="1"/>
  <c r="I170" i="34" s="1"/>
  <c r="K170" i="34" s="1"/>
  <c r="F163" i="25" s="1"/>
  <c r="G287" i="13"/>
  <c r="H287" i="13" s="1"/>
  <c r="I287" i="13" s="1"/>
  <c r="J287" i="13" s="1"/>
  <c r="H293" i="34" s="1"/>
  <c r="I293" i="34" s="1"/>
  <c r="K293" i="34" s="1"/>
  <c r="F286" i="25" s="1"/>
  <c r="G245" i="13"/>
  <c r="H245" i="13" s="1"/>
  <c r="I245" i="13" s="1"/>
  <c r="J245" i="13" s="1"/>
  <c r="G171" i="13"/>
  <c r="H171" i="13" s="1"/>
  <c r="I171" i="13" s="1"/>
  <c r="J171" i="13" s="1"/>
  <c r="H177" i="34" s="1"/>
  <c r="I177" i="34" s="1"/>
  <c r="K177" i="34" s="1"/>
  <c r="F170" i="25" s="1"/>
  <c r="G159" i="13"/>
  <c r="H159" i="13" s="1"/>
  <c r="I159" i="13" s="1"/>
  <c r="J159" i="13" s="1"/>
  <c r="H165" i="34" s="1"/>
  <c r="I165" i="34" s="1"/>
  <c r="K165" i="34" s="1"/>
  <c r="F158" i="25" s="1"/>
  <c r="G30" i="13"/>
  <c r="H30" i="13" s="1"/>
  <c r="I30" i="13" s="1"/>
  <c r="J30" i="13" s="1"/>
  <c r="G72" i="13"/>
  <c r="H72" i="13" s="1"/>
  <c r="I72" i="13" s="1"/>
  <c r="J72" i="13" s="1"/>
  <c r="G97" i="13"/>
  <c r="H97" i="13" s="1"/>
  <c r="I97" i="13" s="1"/>
  <c r="J97" i="13" s="1"/>
  <c r="G271" i="13"/>
  <c r="H271" i="13" s="1"/>
  <c r="I271" i="13" s="1"/>
  <c r="J271" i="13" s="1"/>
  <c r="H277" i="34" s="1"/>
  <c r="I277" i="34" s="1"/>
  <c r="K277" i="34" s="1"/>
  <c r="F270" i="25" s="1"/>
  <c r="G251" i="13"/>
  <c r="H251" i="13" s="1"/>
  <c r="I251" i="13" s="1"/>
  <c r="J251" i="13" s="1"/>
  <c r="H257" i="34" s="1"/>
  <c r="I257" i="34" s="1"/>
  <c r="K257" i="34" s="1"/>
  <c r="F250" i="25" s="1"/>
  <c r="G281" i="13"/>
  <c r="H281" i="13" s="1"/>
  <c r="I281" i="13" s="1"/>
  <c r="J281" i="13" s="1"/>
  <c r="H287" i="34" s="1"/>
  <c r="I287" i="34" s="1"/>
  <c r="K287" i="34" s="1"/>
  <c r="F280" i="25" s="1"/>
  <c r="G75" i="13"/>
  <c r="H75" i="13" s="1"/>
  <c r="I75" i="13" s="1"/>
  <c r="J75" i="13" s="1"/>
  <c r="H81" i="34" s="1"/>
  <c r="I81" i="34" s="1"/>
  <c r="K81" i="34" s="1"/>
  <c r="F74" i="25" s="1"/>
  <c r="G154" i="13"/>
  <c r="H154" i="13" s="1"/>
  <c r="I154" i="13" s="1"/>
  <c r="J154" i="13" s="1"/>
  <c r="H160" i="34" s="1"/>
  <c r="I160" i="34" s="1"/>
  <c r="K160" i="34" s="1"/>
  <c r="F153" i="25" s="1"/>
  <c r="G265" i="13"/>
  <c r="H265" i="13" s="1"/>
  <c r="I265" i="13" s="1"/>
  <c r="J265" i="13" s="1"/>
  <c r="H271" i="34" s="1"/>
  <c r="I271" i="34" s="1"/>
  <c r="K271" i="34" s="1"/>
  <c r="F264" i="25" s="1"/>
  <c r="G267" i="13"/>
  <c r="H267" i="13" s="1"/>
  <c r="I267" i="13" s="1"/>
  <c r="J267" i="13" s="1"/>
  <c r="G235" i="13"/>
  <c r="H235" i="13" s="1"/>
  <c r="I235" i="13" s="1"/>
  <c r="J235" i="13" s="1"/>
  <c r="G41" i="13"/>
  <c r="H41" i="13" s="1"/>
  <c r="I41" i="13" s="1"/>
  <c r="J41" i="13" s="1"/>
  <c r="H47" i="34" s="1"/>
  <c r="I47" i="34" s="1"/>
  <c r="K47" i="34" s="1"/>
  <c r="F40" i="25" s="1"/>
  <c r="G20" i="13"/>
  <c r="H20" i="13" s="1"/>
  <c r="I20" i="13" s="1"/>
  <c r="J20" i="13" s="1"/>
  <c r="H26" i="34" s="1"/>
  <c r="I26" i="34" s="1"/>
  <c r="K26" i="34" s="1"/>
  <c r="F19" i="25" s="1"/>
  <c r="G277" i="13"/>
  <c r="H277" i="13" s="1"/>
  <c r="I277" i="13" s="1"/>
  <c r="J277" i="13" s="1"/>
  <c r="H283" i="34" s="1"/>
  <c r="I283" i="34" s="1"/>
  <c r="K283" i="34" s="1"/>
  <c r="F276" i="25" s="1"/>
  <c r="G117" i="13"/>
  <c r="H117" i="13" s="1"/>
  <c r="I117" i="13" s="1"/>
  <c r="J117" i="13" s="1"/>
  <c r="H123" i="34" s="1"/>
  <c r="I123" i="34" s="1"/>
  <c r="K123" i="34" s="1"/>
  <c r="F116" i="25" s="1"/>
  <c r="G138" i="13"/>
  <c r="H138" i="13" s="1"/>
  <c r="I138" i="13" s="1"/>
  <c r="J138" i="13" s="1"/>
  <c r="H144" i="34" s="1"/>
  <c r="I144" i="34" s="1"/>
  <c r="K144" i="34" s="1"/>
  <c r="F137" i="25" s="1"/>
  <c r="G96" i="13"/>
  <c r="H96" i="13" s="1"/>
  <c r="I96" i="13" s="1"/>
  <c r="J96" i="13" s="1"/>
  <c r="H102" i="34" s="1"/>
  <c r="I102" i="34" s="1"/>
  <c r="K102" i="34" s="1"/>
  <c r="F95" i="25" s="1"/>
  <c r="G10" i="13"/>
  <c r="H10" i="13" s="1"/>
  <c r="I10" i="13" s="1"/>
  <c r="J10" i="13" s="1"/>
  <c r="G264" i="13"/>
  <c r="H264" i="13" s="1"/>
  <c r="I264" i="13" s="1"/>
  <c r="J264" i="13" s="1"/>
  <c r="G195" i="13"/>
  <c r="H195" i="13" s="1"/>
  <c r="I195" i="13" s="1"/>
  <c r="J195" i="13" s="1"/>
  <c r="H201" i="34" s="1"/>
  <c r="I201" i="34" s="1"/>
  <c r="K201" i="34" s="1"/>
  <c r="F194" i="25" s="1"/>
  <c r="G14" i="13"/>
  <c r="H14" i="13" s="1"/>
  <c r="I14" i="13" s="1"/>
  <c r="J14" i="13" s="1"/>
  <c r="H20" i="34" s="1"/>
  <c r="I20" i="34" s="1"/>
  <c r="K20" i="34" s="1"/>
  <c r="F13" i="25" s="1"/>
  <c r="G241" i="13"/>
  <c r="H241" i="13" s="1"/>
  <c r="I241" i="13" s="1"/>
  <c r="J241" i="13" s="1"/>
  <c r="H247" i="34" s="1"/>
  <c r="I247" i="34" s="1"/>
  <c r="K247" i="34" s="1"/>
  <c r="F240" i="25" s="1"/>
  <c r="G193" i="13"/>
  <c r="H193" i="13" s="1"/>
  <c r="I193" i="13" s="1"/>
  <c r="J193" i="13" s="1"/>
  <c r="H199" i="34" s="1"/>
  <c r="I199" i="34" s="1"/>
  <c r="K199" i="34" s="1"/>
  <c r="F192" i="25" s="1"/>
  <c r="G183" i="13"/>
  <c r="H183" i="13" s="1"/>
  <c r="I183" i="13" s="1"/>
  <c r="J183" i="13" s="1"/>
  <c r="H189" i="34" s="1"/>
  <c r="I189" i="34" s="1"/>
  <c r="K189" i="34" s="1"/>
  <c r="F182" i="25" s="1"/>
  <c r="G256" i="13"/>
  <c r="H256" i="13" s="1"/>
  <c r="I256" i="13" s="1"/>
  <c r="J256" i="13" s="1"/>
  <c r="H262" i="34" s="1"/>
  <c r="I262" i="34" s="1"/>
  <c r="K262" i="34" s="1"/>
  <c r="F255" i="25" s="1"/>
  <c r="G67" i="13"/>
  <c r="H67" i="13" s="1"/>
  <c r="I67" i="13" s="1"/>
  <c r="J67" i="13" s="1"/>
  <c r="G216" i="13"/>
  <c r="H216" i="13" s="1"/>
  <c r="I216" i="13" s="1"/>
  <c r="J216" i="13" s="1"/>
  <c r="G233" i="13"/>
  <c r="H233" i="13" s="1"/>
  <c r="I233" i="13" s="1"/>
  <c r="J233" i="13" s="1"/>
  <c r="H239" i="34" s="1"/>
  <c r="I239" i="34" s="1"/>
  <c r="K239" i="34" s="1"/>
  <c r="F232" i="25" s="1"/>
  <c r="G285" i="13"/>
  <c r="H285" i="13" s="1"/>
  <c r="I285" i="13" s="1"/>
  <c r="J285" i="13" s="1"/>
  <c r="H291" i="34" s="1"/>
  <c r="I291" i="34" s="1"/>
  <c r="K291" i="34" s="1"/>
  <c r="F284" i="25" s="1"/>
  <c r="G178" i="13"/>
  <c r="H178" i="13" s="1"/>
  <c r="I178" i="13" s="1"/>
  <c r="J178" i="13" s="1"/>
  <c r="G170" i="13"/>
  <c r="H170" i="13" s="1"/>
  <c r="I170" i="13" s="1"/>
  <c r="J170" i="13" s="1"/>
  <c r="H176" i="34" s="1"/>
  <c r="I176" i="34" s="1"/>
  <c r="K176" i="34" s="1"/>
  <c r="F169" i="25" s="1"/>
  <c r="G144" i="13"/>
  <c r="H144" i="13" s="1"/>
  <c r="I144" i="13" s="1"/>
  <c r="J144" i="13" s="1"/>
  <c r="H150" i="34" s="1"/>
  <c r="I150" i="34" s="1"/>
  <c r="K150" i="34" s="1"/>
  <c r="F143" i="25" s="1"/>
  <c r="G136" i="13"/>
  <c r="H136" i="13" s="1"/>
  <c r="I136" i="13" s="1"/>
  <c r="J136" i="13" s="1"/>
  <c r="H142" i="34" s="1"/>
  <c r="I142" i="34" s="1"/>
  <c r="K142" i="34" s="1"/>
  <c r="F135" i="25" s="1"/>
  <c r="G296" i="13"/>
  <c r="H296" i="13" s="1"/>
  <c r="I296" i="13" s="1"/>
  <c r="J296" i="13" s="1"/>
  <c r="G80" i="13"/>
  <c r="H80" i="13" s="1"/>
  <c r="I80" i="13" s="1"/>
  <c r="J80" i="13" s="1"/>
  <c r="G247" i="13"/>
  <c r="H247" i="13" s="1"/>
  <c r="I247" i="13" s="1"/>
  <c r="J247" i="13" s="1"/>
  <c r="H253" i="34" s="1"/>
  <c r="I253" i="34" s="1"/>
  <c r="K253" i="34" s="1"/>
  <c r="F246" i="25" s="1"/>
  <c r="G187" i="13"/>
  <c r="H187" i="13" s="1"/>
  <c r="I187" i="13" s="1"/>
  <c r="J187" i="13" s="1"/>
  <c r="H193" i="34" s="1"/>
  <c r="I193" i="34" s="1"/>
  <c r="K193" i="34" s="1"/>
  <c r="F186" i="25" s="1"/>
  <c r="G179" i="13"/>
  <c r="H179" i="13" s="1"/>
  <c r="I179" i="13" s="1"/>
  <c r="J179" i="13" s="1"/>
  <c r="H185" i="34" s="1"/>
  <c r="I185" i="34" s="1"/>
  <c r="K185" i="34" s="1"/>
  <c r="F178" i="25" s="1"/>
  <c r="G35" i="13"/>
  <c r="H35" i="13" s="1"/>
  <c r="I35" i="13" s="1"/>
  <c r="J35" i="13" s="1"/>
  <c r="H41" i="34" s="1"/>
  <c r="I41" i="34" s="1"/>
  <c r="K41" i="34" s="1"/>
  <c r="F34" i="25" s="1"/>
  <c r="G244" i="13"/>
  <c r="H244" i="13" s="1"/>
  <c r="I244" i="13" s="1"/>
  <c r="J244" i="13" s="1"/>
  <c r="H250" i="34" s="1"/>
  <c r="I250" i="34" s="1"/>
  <c r="K250" i="34" s="1"/>
  <c r="F243" i="25" s="1"/>
  <c r="G293" i="13"/>
  <c r="H293" i="13" s="1"/>
  <c r="I293" i="13" s="1"/>
  <c r="J293" i="13" s="1"/>
  <c r="H299" i="34" s="1"/>
  <c r="I299" i="34" s="1"/>
  <c r="K299" i="34" s="1"/>
  <c r="F292" i="25" s="1"/>
  <c r="G269" i="13"/>
  <c r="H269" i="13" s="1"/>
  <c r="I269" i="13" s="1"/>
  <c r="J269" i="13" s="1"/>
  <c r="G167" i="13"/>
  <c r="H167" i="13" s="1"/>
  <c r="I167" i="13" s="1"/>
  <c r="J167" i="13" s="1"/>
  <c r="G147" i="13"/>
  <c r="H147" i="13" s="1"/>
  <c r="I147" i="13" s="1"/>
  <c r="J147" i="13" s="1"/>
  <c r="H153" i="34" s="1"/>
  <c r="I153" i="34" s="1"/>
  <c r="K153" i="34" s="1"/>
  <c r="F146" i="25" s="1"/>
  <c r="G135" i="13"/>
  <c r="H135" i="13" s="1"/>
  <c r="I135" i="13" s="1"/>
  <c r="J135" i="13" s="1"/>
  <c r="H141" i="34" s="1"/>
  <c r="I141" i="34" s="1"/>
  <c r="K141" i="34" s="1"/>
  <c r="F134" i="25" s="1"/>
  <c r="G27" i="13"/>
  <c r="H27" i="13" s="1"/>
  <c r="I27" i="13" s="1"/>
  <c r="J27" i="13" s="1"/>
  <c r="H33" i="34" s="1"/>
  <c r="I33" i="34" s="1"/>
  <c r="K33" i="34" s="1"/>
  <c r="F26" i="25" s="1"/>
  <c r="G73" i="13"/>
  <c r="H73" i="13" s="1"/>
  <c r="I73" i="13" s="1"/>
  <c r="J73" i="13" s="1"/>
  <c r="H79" i="34" s="1"/>
  <c r="I79" i="34" s="1"/>
  <c r="K79" i="34" s="1"/>
  <c r="F72" i="25" s="1"/>
  <c r="G303" i="13"/>
  <c r="H303" i="13" s="1"/>
  <c r="I303" i="13" s="1"/>
  <c r="J303" i="13" s="1"/>
  <c r="H309" i="34" s="1"/>
  <c r="I309" i="34" s="1"/>
  <c r="K309" i="34" s="1"/>
  <c r="F302" i="25" s="1"/>
  <c r="G40" i="13"/>
  <c r="H40" i="13" s="1"/>
  <c r="I40" i="13" s="1"/>
  <c r="J40" i="13" s="1"/>
  <c r="H46" i="34" s="1"/>
  <c r="I46" i="34" s="1"/>
  <c r="K46" i="34" s="1"/>
  <c r="F39" i="25" s="1"/>
  <c r="G158" i="13"/>
  <c r="H158" i="13" s="1"/>
  <c r="I158" i="13" s="1"/>
  <c r="J158" i="13" s="1"/>
  <c r="G66" i="13"/>
  <c r="H66" i="13" s="1"/>
  <c r="I66" i="13" s="1"/>
  <c r="J66" i="13" s="1"/>
  <c r="G155" i="13"/>
  <c r="H155" i="13" s="1"/>
  <c r="I155" i="13" s="1"/>
  <c r="J155" i="13" s="1"/>
  <c r="H161" i="34" s="1"/>
  <c r="I161" i="34" s="1"/>
  <c r="K161" i="34" s="1"/>
  <c r="F154" i="25" s="1"/>
  <c r="G79" i="13"/>
  <c r="H79" i="13" s="1"/>
  <c r="I79" i="13" s="1"/>
  <c r="J79" i="13" s="1"/>
  <c r="H85" i="34" s="1"/>
  <c r="I85" i="34" s="1"/>
  <c r="K85" i="34" s="1"/>
  <c r="F78" i="25" s="1"/>
  <c r="G113" i="13"/>
  <c r="H113" i="13" s="1"/>
  <c r="I113" i="13" s="1"/>
  <c r="J113" i="13" s="1"/>
  <c r="H119" i="34" s="1"/>
  <c r="I119" i="34" s="1"/>
  <c r="K119" i="34" s="1"/>
  <c r="F112" i="25" s="1"/>
  <c r="G201" i="13"/>
  <c r="H201" i="13" s="1"/>
  <c r="I201" i="13" s="1"/>
  <c r="J201" i="13" s="1"/>
  <c r="H207" i="34" s="1"/>
  <c r="I207" i="34" s="1"/>
  <c r="K207" i="34" s="1"/>
  <c r="F200" i="25" s="1"/>
  <c r="G228" i="13"/>
  <c r="H228" i="13" s="1"/>
  <c r="I228" i="13" s="1"/>
  <c r="J228" i="13" s="1"/>
  <c r="H234" i="34" s="1"/>
  <c r="I234" i="34" s="1"/>
  <c r="K234" i="34" s="1"/>
  <c r="F227" i="25" s="1"/>
  <c r="G86" i="13"/>
  <c r="H86" i="13" s="1"/>
  <c r="I86" i="13" s="1"/>
  <c r="J86" i="13" s="1"/>
  <c r="H92" i="34" s="1"/>
  <c r="I92" i="34" s="1"/>
  <c r="K92" i="34" s="1"/>
  <c r="F85" i="25" s="1"/>
  <c r="G68" i="13"/>
  <c r="H68" i="13" s="1"/>
  <c r="I68" i="13" s="1"/>
  <c r="J68" i="13" s="1"/>
  <c r="G274" i="13"/>
  <c r="H274" i="13" s="1"/>
  <c r="I274" i="13" s="1"/>
  <c r="J274" i="13" s="1"/>
  <c r="G22" i="13"/>
  <c r="H22" i="13" s="1"/>
  <c r="I22" i="13" s="1"/>
  <c r="J22" i="13" s="1"/>
  <c r="H28" i="34" s="1"/>
  <c r="I28" i="34" s="1"/>
  <c r="K28" i="34" s="1"/>
  <c r="F21" i="25" s="1"/>
  <c r="G203" i="13"/>
  <c r="H203" i="13" s="1"/>
  <c r="I203" i="13" s="1"/>
  <c r="J203" i="13" s="1"/>
  <c r="H209" i="34" s="1"/>
  <c r="I209" i="34" s="1"/>
  <c r="K209" i="34" s="1"/>
  <c r="F202" i="25" s="1"/>
  <c r="G32" i="13"/>
  <c r="H32" i="13" s="1"/>
  <c r="I32" i="13" s="1"/>
  <c r="J32" i="13" s="1"/>
  <c r="H38" i="34" s="1"/>
  <c r="I38" i="34" s="1"/>
  <c r="K38" i="34" s="1"/>
  <c r="F31" i="25" s="1"/>
  <c r="G173" i="13"/>
  <c r="H173" i="13" s="1"/>
  <c r="I173" i="13" s="1"/>
  <c r="J173" i="13" s="1"/>
  <c r="H179" i="34" s="1"/>
  <c r="I179" i="34" s="1"/>
  <c r="K179" i="34" s="1"/>
  <c r="F172" i="25" s="1"/>
  <c r="G18" i="13"/>
  <c r="H18" i="13" s="1"/>
  <c r="I18" i="13" s="1"/>
  <c r="J18" i="13" s="1"/>
  <c r="H24" i="34" s="1"/>
  <c r="I24" i="34" s="1"/>
  <c r="K24" i="34" s="1"/>
  <c r="F17" i="25" s="1"/>
  <c r="G208" i="13"/>
  <c r="H208" i="13" s="1"/>
  <c r="I208" i="13" s="1"/>
  <c r="J208" i="13" s="1"/>
  <c r="H214" i="34" s="1"/>
  <c r="I214" i="34" s="1"/>
  <c r="K214" i="34" s="1"/>
  <c r="F207" i="25" s="1"/>
  <c r="G223" i="13"/>
  <c r="H223" i="13" s="1"/>
  <c r="I223" i="13" s="1"/>
  <c r="J223" i="13" s="1"/>
  <c r="G17" i="13"/>
  <c r="H17" i="13" s="1"/>
  <c r="I17" i="13" s="1"/>
  <c r="J17" i="13" s="1"/>
  <c r="G227" i="13"/>
  <c r="H227" i="13" s="1"/>
  <c r="I227" i="13" s="1"/>
  <c r="J227" i="13" s="1"/>
  <c r="H233" i="34" s="1"/>
  <c r="I233" i="34" s="1"/>
  <c r="K233" i="34" s="1"/>
  <c r="F226" i="25" s="1"/>
  <c r="G74" i="13"/>
  <c r="H74" i="13" s="1"/>
  <c r="I74" i="13" s="1"/>
  <c r="J74" i="13" s="1"/>
  <c r="H80" i="34" s="1"/>
  <c r="I80" i="34" s="1"/>
  <c r="K80" i="34" s="1"/>
  <c r="F73" i="25" s="1"/>
  <c r="G148" i="13"/>
  <c r="H148" i="13" s="1"/>
  <c r="I148" i="13" s="1"/>
  <c r="J148" i="13" s="1"/>
  <c r="H154" i="34" s="1"/>
  <c r="I154" i="34" s="1"/>
  <c r="K154" i="34" s="1"/>
  <c r="F147" i="25" s="1"/>
  <c r="G44" i="13"/>
  <c r="H44" i="13" s="1"/>
  <c r="I44" i="13" s="1"/>
  <c r="J44" i="13" s="1"/>
  <c r="H50" i="34" s="1"/>
  <c r="I50" i="34" s="1"/>
  <c r="K50" i="34" s="1"/>
  <c r="F43" i="25" s="1"/>
  <c r="G226" i="13"/>
  <c r="H226" i="13" s="1"/>
  <c r="I226" i="13" s="1"/>
  <c r="J226" i="13" s="1"/>
  <c r="H232" i="34" s="1"/>
  <c r="I232" i="34" s="1"/>
  <c r="K232" i="34" s="1"/>
  <c r="F225" i="25" s="1"/>
  <c r="G58" i="13"/>
  <c r="H58" i="13" s="1"/>
  <c r="I58" i="13" s="1"/>
  <c r="J58" i="13" s="1"/>
  <c r="H64" i="34" s="1"/>
  <c r="I64" i="34" s="1"/>
  <c r="K64" i="34" s="1"/>
  <c r="F57" i="25" s="1"/>
  <c r="G87" i="13"/>
  <c r="H87" i="13" s="1"/>
  <c r="I87" i="13" s="1"/>
  <c r="J87" i="13" s="1"/>
  <c r="G253" i="13"/>
  <c r="H253" i="13" s="1"/>
  <c r="I253" i="13" s="1"/>
  <c r="J253" i="13" s="1"/>
  <c r="G89" i="13"/>
  <c r="H89" i="13" s="1"/>
  <c r="I89" i="13" s="1"/>
  <c r="J89" i="13" s="1"/>
  <c r="H95" i="34" s="1"/>
  <c r="I95" i="34" s="1"/>
  <c r="K95" i="34" s="1"/>
  <c r="F88" i="25" s="1"/>
  <c r="G108" i="13"/>
  <c r="H108" i="13" s="1"/>
  <c r="I108" i="13" s="1"/>
  <c r="J108" i="13" s="1"/>
  <c r="H114" i="34" s="1"/>
  <c r="I114" i="34" s="1"/>
  <c r="K114" i="34" s="1"/>
  <c r="F107" i="25" s="1"/>
  <c r="G180" i="13"/>
  <c r="H180" i="13" s="1"/>
  <c r="I180" i="13" s="1"/>
  <c r="J180" i="13" s="1"/>
  <c r="H186" i="34" s="1"/>
  <c r="I186" i="34" s="1"/>
  <c r="K186" i="34" s="1"/>
  <c r="F179" i="25" s="1"/>
  <c r="G268" i="13"/>
  <c r="H268" i="13" s="1"/>
  <c r="I268" i="13" s="1"/>
  <c r="J268" i="13" s="1"/>
  <c r="H274" i="34" s="1"/>
  <c r="I274" i="34" s="1"/>
  <c r="K274" i="34" s="1"/>
  <c r="F267" i="25" s="1"/>
  <c r="G51" i="13"/>
  <c r="H51" i="13" s="1"/>
  <c r="I51" i="13" s="1"/>
  <c r="J51" i="13" s="1"/>
  <c r="H57" i="34" s="1"/>
  <c r="I57" i="34" s="1"/>
  <c r="K57" i="34" s="1"/>
  <c r="F50" i="25" s="1"/>
  <c r="G240" i="13"/>
  <c r="H240" i="13" s="1"/>
  <c r="I240" i="13" s="1"/>
  <c r="J240" i="13" s="1"/>
  <c r="H246" i="34" s="1"/>
  <c r="I246" i="34" s="1"/>
  <c r="K246" i="34" s="1"/>
  <c r="F239" i="25" s="1"/>
  <c r="G297" i="13"/>
  <c r="H297" i="13" s="1"/>
  <c r="I297" i="13" s="1"/>
  <c r="J297" i="13" s="1"/>
  <c r="G91" i="13"/>
  <c r="H91" i="13" s="1"/>
  <c r="I91" i="13" s="1"/>
  <c r="J91" i="13" s="1"/>
  <c r="G111" i="13"/>
  <c r="H111" i="13" s="1"/>
  <c r="I111" i="13" s="1"/>
  <c r="J111" i="13" s="1"/>
  <c r="H117" i="34" s="1"/>
  <c r="I117" i="34" s="1"/>
  <c r="K117" i="34" s="1"/>
  <c r="F110" i="25" s="1"/>
  <c r="G83" i="13"/>
  <c r="H83" i="13" s="1"/>
  <c r="I83" i="13" s="1"/>
  <c r="J83" i="13" s="1"/>
  <c r="H89" i="34" s="1"/>
  <c r="I89" i="34" s="1"/>
  <c r="K89" i="34" s="1"/>
  <c r="F82" i="25" s="1"/>
  <c r="G76" i="13"/>
  <c r="H76" i="13" s="1"/>
  <c r="I76" i="13" s="1"/>
  <c r="J76" i="13" s="1"/>
  <c r="H82" i="34" s="1"/>
  <c r="I82" i="34" s="1"/>
  <c r="K82" i="34" s="1"/>
  <c r="F75" i="25" s="1"/>
  <c r="G252" i="13"/>
  <c r="H252" i="13" s="1"/>
  <c r="I252" i="13" s="1"/>
  <c r="J252" i="13" s="1"/>
  <c r="H258" i="34" s="1"/>
  <c r="I258" i="34" s="1"/>
  <c r="K258" i="34" s="1"/>
  <c r="F251" i="25" s="1"/>
  <c r="G31" i="13"/>
  <c r="H31" i="13" s="1"/>
  <c r="I31" i="13" s="1"/>
  <c r="J31" i="13" s="1"/>
  <c r="H37" i="34" s="1"/>
  <c r="I37" i="34" s="1"/>
  <c r="K37" i="34" s="1"/>
  <c r="F30" i="25" s="1"/>
  <c r="G189" i="13"/>
  <c r="H189" i="13" s="1"/>
  <c r="I189" i="13" s="1"/>
  <c r="J189" i="13" s="1"/>
  <c r="H195" i="34" s="1"/>
  <c r="I195" i="34" s="1"/>
  <c r="K195" i="34" s="1"/>
  <c r="F188" i="25" s="1"/>
  <c r="G130" i="13"/>
  <c r="H130" i="13" s="1"/>
  <c r="I130" i="13" s="1"/>
  <c r="J130" i="13" s="1"/>
  <c r="G214" i="13"/>
  <c r="H214" i="13" s="1"/>
  <c r="I214" i="13" s="1"/>
  <c r="J214" i="13" s="1"/>
  <c r="G129" i="13"/>
  <c r="H129" i="13" s="1"/>
  <c r="I129" i="13" s="1"/>
  <c r="J129" i="13" s="1"/>
  <c r="H135" i="34" s="1"/>
  <c r="I135" i="34" s="1"/>
  <c r="K135" i="34" s="1"/>
  <c r="F128" i="25" s="1"/>
  <c r="G186" i="13"/>
  <c r="H186" i="13" s="1"/>
  <c r="I186" i="13" s="1"/>
  <c r="J186" i="13" s="1"/>
  <c r="H192" i="34" s="1"/>
  <c r="I192" i="34" s="1"/>
  <c r="K192" i="34" s="1"/>
  <c r="F185" i="25" s="1"/>
  <c r="G210" i="13"/>
  <c r="H210" i="13" s="1"/>
  <c r="I210" i="13" s="1"/>
  <c r="J210" i="13" s="1"/>
  <c r="H216" i="34" s="1"/>
  <c r="I216" i="34" s="1"/>
  <c r="K216" i="34" s="1"/>
  <c r="F209" i="25" s="1"/>
  <c r="G45" i="13"/>
  <c r="H45" i="13" s="1"/>
  <c r="I45" i="13" s="1"/>
  <c r="J45" i="13" s="1"/>
  <c r="H51" i="34" s="1"/>
  <c r="I51" i="34" s="1"/>
  <c r="K51" i="34" s="1"/>
  <c r="F44" i="25" s="1"/>
  <c r="G298" i="13"/>
  <c r="H298" i="13" s="1"/>
  <c r="I298" i="13" s="1"/>
  <c r="J298" i="13" s="1"/>
  <c r="H304" i="34" s="1"/>
  <c r="I304" i="34" s="1"/>
  <c r="K304" i="34" s="1"/>
  <c r="F297" i="25" s="1"/>
  <c r="G212" i="13"/>
  <c r="H212" i="13" s="1"/>
  <c r="I212" i="13" s="1"/>
  <c r="J212" i="13" s="1"/>
  <c r="H218" i="34" s="1"/>
  <c r="I218" i="34" s="1"/>
  <c r="K218" i="34" s="1"/>
  <c r="F211" i="25" s="1"/>
  <c r="G103" i="13"/>
  <c r="H103" i="13" s="1"/>
  <c r="I103" i="13" s="1"/>
  <c r="J103" i="13" s="1"/>
  <c r="G12" i="13"/>
  <c r="H12" i="13" s="1"/>
  <c r="I12" i="13" s="1"/>
  <c r="J12" i="13" s="1"/>
  <c r="G137" i="13"/>
  <c r="H137" i="13" s="1"/>
  <c r="I137" i="13" s="1"/>
  <c r="J137" i="13" s="1"/>
  <c r="G61" i="13"/>
  <c r="H61" i="13" s="1"/>
  <c r="I61" i="13" s="1"/>
  <c r="J61" i="13" s="1"/>
  <c r="H67" i="34" s="1"/>
  <c r="I67" i="34" s="1"/>
  <c r="K67" i="34" s="1"/>
  <c r="F60" i="25" s="1"/>
  <c r="G39" i="13"/>
  <c r="H39" i="13" s="1"/>
  <c r="I39" i="13" s="1"/>
  <c r="J39" i="13" s="1"/>
  <c r="H45" i="34" s="1"/>
  <c r="I45" i="34" s="1"/>
  <c r="K45" i="34" s="1"/>
  <c r="F38" i="25" s="1"/>
  <c r="G150" i="13"/>
  <c r="H150" i="13" s="1"/>
  <c r="I150" i="13" s="1"/>
  <c r="J150" i="13" s="1"/>
  <c r="H156" i="34" s="1"/>
  <c r="I156" i="34" s="1"/>
  <c r="K156" i="34" s="1"/>
  <c r="F149" i="25" s="1"/>
  <c r="G292" i="13"/>
  <c r="H292" i="13" s="1"/>
  <c r="I292" i="13" s="1"/>
  <c r="J292" i="13" s="1"/>
  <c r="H298" i="34" s="1"/>
  <c r="I298" i="34" s="1"/>
  <c r="K298" i="34" s="1"/>
  <c r="F291" i="25" s="1"/>
  <c r="G163" i="13"/>
  <c r="H163" i="13" s="1"/>
  <c r="I163" i="13" s="1"/>
  <c r="J163" i="13" s="1"/>
  <c r="H169" i="34" s="1"/>
  <c r="I169" i="34" s="1"/>
  <c r="K169" i="34" s="1"/>
  <c r="F162" i="25" s="1"/>
  <c r="G166" i="13"/>
  <c r="H166" i="13" s="1"/>
  <c r="I166" i="13" s="1"/>
  <c r="J166" i="13" s="1"/>
  <c r="G92" i="13"/>
  <c r="H92" i="13" s="1"/>
  <c r="I92" i="13" s="1"/>
  <c r="J92" i="13" s="1"/>
  <c r="G191" i="13"/>
  <c r="H191" i="13" s="1"/>
  <c r="I191" i="13" s="1"/>
  <c r="J191" i="13" s="1"/>
  <c r="H197" i="34" s="1"/>
  <c r="I197" i="34" s="1"/>
  <c r="K197" i="34" s="1"/>
  <c r="F190" i="25" s="1"/>
  <c r="G21" i="13"/>
  <c r="H21" i="13" s="1"/>
  <c r="I21" i="13" s="1"/>
  <c r="J21" i="13" s="1"/>
  <c r="H27" i="34" s="1"/>
  <c r="I27" i="34" s="1"/>
  <c r="K27" i="34" s="1"/>
  <c r="F20" i="25" s="1"/>
  <c r="G101" i="13"/>
  <c r="H101" i="13" s="1"/>
  <c r="I101" i="13" s="1"/>
  <c r="J101" i="13" s="1"/>
  <c r="H107" i="34" s="1"/>
  <c r="I107" i="34" s="1"/>
  <c r="K107" i="34" s="1"/>
  <c r="F100" i="25" s="1"/>
  <c r="G143" i="13"/>
  <c r="H143" i="13" s="1"/>
  <c r="I143" i="13" s="1"/>
  <c r="J143" i="13" s="1"/>
  <c r="H149" i="34" s="1"/>
  <c r="I149" i="34" s="1"/>
  <c r="K149" i="34" s="1"/>
  <c r="F142" i="25" s="1"/>
  <c r="G105" i="13"/>
  <c r="H105" i="13" s="1"/>
  <c r="I105" i="13" s="1"/>
  <c r="J105" i="13" s="1"/>
  <c r="H111" i="34" s="1"/>
  <c r="I111" i="34" s="1"/>
  <c r="K111" i="34" s="1"/>
  <c r="F104" i="25" s="1"/>
  <c r="G182" i="13"/>
  <c r="H182" i="13" s="1"/>
  <c r="I182" i="13" s="1"/>
  <c r="J182" i="13" s="1"/>
  <c r="H188" i="34" s="1"/>
  <c r="I188" i="34" s="1"/>
  <c r="K188" i="34" s="1"/>
  <c r="F181" i="25" s="1"/>
  <c r="G206" i="13"/>
  <c r="H206" i="13" s="1"/>
  <c r="I206" i="13" s="1"/>
  <c r="J206" i="13" s="1"/>
  <c r="H212" i="34" s="1"/>
  <c r="I212" i="34" s="1"/>
  <c r="K212" i="34" s="1"/>
  <c r="F205" i="25" s="1"/>
  <c r="G33" i="13"/>
  <c r="H33" i="13" s="1"/>
  <c r="I33" i="13" s="1"/>
  <c r="J33" i="13" s="1"/>
  <c r="G211" i="13"/>
  <c r="H211" i="13" s="1"/>
  <c r="I211" i="13" s="1"/>
  <c r="J211" i="13" s="1"/>
  <c r="H217" i="34" s="1"/>
  <c r="I217" i="34" s="1"/>
  <c r="K217" i="34" s="1"/>
  <c r="F210" i="25" s="1"/>
  <c r="G282" i="13"/>
  <c r="H282" i="13" s="1"/>
  <c r="I282" i="13" s="1"/>
  <c r="J282" i="13" s="1"/>
  <c r="H288" i="34" s="1"/>
  <c r="I288" i="34" s="1"/>
  <c r="K288" i="34" s="1"/>
  <c r="F281" i="25" s="1"/>
  <c r="G289" i="13"/>
  <c r="H289" i="13" s="1"/>
  <c r="I289" i="13" s="1"/>
  <c r="J289" i="13" s="1"/>
  <c r="G185" i="13"/>
  <c r="H185" i="13" s="1"/>
  <c r="I185" i="13" s="1"/>
  <c r="J185" i="13" s="1"/>
  <c r="H191" i="34" s="1"/>
  <c r="I191" i="34" s="1"/>
  <c r="K191" i="34" s="1"/>
  <c r="F184" i="25" s="1"/>
  <c r="G229" i="13"/>
  <c r="H229" i="13" s="1"/>
  <c r="I229" i="13" s="1"/>
  <c r="J229" i="13" s="1"/>
  <c r="H235" i="34" s="1"/>
  <c r="I235" i="34" s="1"/>
  <c r="K235" i="34" s="1"/>
  <c r="F228" i="25" s="1"/>
  <c r="G286" i="13"/>
  <c r="H286" i="13" s="1"/>
  <c r="I286" i="13" s="1"/>
  <c r="J286" i="13" s="1"/>
  <c r="H292" i="34" s="1"/>
  <c r="I292" i="34" s="1"/>
  <c r="K292" i="34" s="1"/>
  <c r="F285" i="25" s="1"/>
  <c r="G177" i="13"/>
  <c r="H177" i="13" s="1"/>
  <c r="I177" i="13" s="1"/>
  <c r="J177" i="13" s="1"/>
  <c r="G209" i="13"/>
  <c r="H209" i="13" s="1"/>
  <c r="I209" i="13" s="1"/>
  <c r="J209" i="13" s="1"/>
  <c r="G225" i="13"/>
  <c r="H225" i="13" s="1"/>
  <c r="I225" i="13" s="1"/>
  <c r="J225" i="13" s="1"/>
  <c r="H231" i="34" s="1"/>
  <c r="I231" i="34" s="1"/>
  <c r="K231" i="34" s="1"/>
  <c r="F224" i="25" s="1"/>
  <c r="G294" i="13"/>
  <c r="H294" i="13" s="1"/>
  <c r="I294" i="13" s="1"/>
  <c r="J294" i="13" s="1"/>
  <c r="H300" i="34" s="1"/>
  <c r="I300" i="34" s="1"/>
  <c r="K300" i="34" s="1"/>
  <c r="F293" i="25" s="1"/>
  <c r="G13" i="13"/>
  <c r="H13" i="13" s="1"/>
  <c r="I13" i="13" s="1"/>
  <c r="J13" i="13" s="1"/>
  <c r="H19" i="34" s="1"/>
  <c r="I19" i="34" s="1"/>
  <c r="K19" i="34" s="1"/>
  <c r="F12" i="25" s="1"/>
  <c r="G88" i="13"/>
  <c r="H88" i="13" s="1"/>
  <c r="I88" i="13" s="1"/>
  <c r="J88" i="13" s="1"/>
  <c r="H94" i="34" s="1"/>
  <c r="I94" i="34" s="1"/>
  <c r="K94" i="34" s="1"/>
  <c r="F87" i="25" s="1"/>
  <c r="G221" i="13"/>
  <c r="H221" i="13" s="1"/>
  <c r="I221" i="13" s="1"/>
  <c r="J221" i="13" s="1"/>
  <c r="H227" i="34" s="1"/>
  <c r="I227" i="34" s="1"/>
  <c r="K227" i="34" s="1"/>
  <c r="F220" i="25" s="1"/>
  <c r="G122" i="13"/>
  <c r="H122" i="13" s="1"/>
  <c r="I122" i="13" s="1"/>
  <c r="J122" i="13" s="1"/>
  <c r="H128" i="34" s="1"/>
  <c r="I128" i="34" s="1"/>
  <c r="K128" i="34" s="1"/>
  <c r="F121" i="25" s="1"/>
  <c r="G95" i="13"/>
  <c r="H95" i="13" s="1"/>
  <c r="I95" i="13" s="1"/>
  <c r="J95" i="13" s="1"/>
  <c r="G116" i="13"/>
  <c r="H116" i="13" s="1"/>
  <c r="I116" i="13" s="1"/>
  <c r="J116" i="13" s="1"/>
  <c r="G248" i="13"/>
  <c r="H248" i="13" s="1"/>
  <c r="I248" i="13" s="1"/>
  <c r="J248" i="13" s="1"/>
  <c r="H254" i="34" s="1"/>
  <c r="I254" i="34" s="1"/>
  <c r="K254" i="34" s="1"/>
  <c r="F247" i="25" s="1"/>
  <c r="G19" i="13"/>
  <c r="H19" i="13" s="1"/>
  <c r="I19" i="13" s="1"/>
  <c r="J19" i="13" s="1"/>
  <c r="H25" i="34" s="1"/>
  <c r="I25" i="34" s="1"/>
  <c r="K25" i="34" s="1"/>
  <c r="F18" i="25" s="1"/>
  <c r="G121" i="13"/>
  <c r="H121" i="13" s="1"/>
  <c r="I121" i="13" s="1"/>
  <c r="J121" i="13" s="1"/>
  <c r="H127" i="34" s="1"/>
  <c r="I127" i="34" s="1"/>
  <c r="K127" i="34" s="1"/>
  <c r="F120" i="25" s="1"/>
  <c r="G218" i="13"/>
  <c r="H218" i="13" s="1"/>
  <c r="I218" i="13" s="1"/>
  <c r="J218" i="13" s="1"/>
  <c r="H224" i="34" s="1"/>
  <c r="I224" i="34" s="1"/>
  <c r="K224" i="34" s="1"/>
  <c r="F217" i="25" s="1"/>
  <c r="G24" i="13"/>
  <c r="H24" i="13" s="1"/>
  <c r="I24" i="13" s="1"/>
  <c r="J24" i="13" s="1"/>
  <c r="H30" i="34" s="1"/>
  <c r="I30" i="34" s="1"/>
  <c r="K30" i="34" s="1"/>
  <c r="F23" i="25" s="1"/>
  <c r="G104" i="13"/>
  <c r="H104" i="13" s="1"/>
  <c r="I104" i="13" s="1"/>
  <c r="J104" i="13" s="1"/>
  <c r="H110" i="34" s="1"/>
  <c r="I110" i="34" s="1"/>
  <c r="K110" i="34" s="1"/>
  <c r="F103" i="25" s="1"/>
  <c r="G258" i="13"/>
  <c r="H258" i="13" s="1"/>
  <c r="I258" i="13" s="1"/>
  <c r="J258" i="13" s="1"/>
  <c r="G266" i="13"/>
  <c r="H266" i="13" s="1"/>
  <c r="I266" i="13" s="1"/>
  <c r="J266" i="13" s="1"/>
  <c r="G188" i="13"/>
  <c r="H188" i="13" s="1"/>
  <c r="I188" i="13" s="1"/>
  <c r="J188" i="13" s="1"/>
  <c r="H194" i="34" s="1"/>
  <c r="I194" i="34" s="1"/>
  <c r="K194" i="34" s="1"/>
  <c r="F187" i="25" s="1"/>
  <c r="G160" i="13"/>
  <c r="H160" i="13" s="1"/>
  <c r="I160" i="13" s="1"/>
  <c r="J160" i="13" s="1"/>
  <c r="H166" i="34" s="1"/>
  <c r="I166" i="34" s="1"/>
  <c r="K166" i="34" s="1"/>
  <c r="F159" i="25" s="1"/>
  <c r="G48" i="13"/>
  <c r="H48" i="13" s="1"/>
  <c r="I48" i="13" s="1"/>
  <c r="J48" i="13" s="1"/>
  <c r="G302" i="13"/>
  <c r="H302" i="13" s="1"/>
  <c r="I302" i="13" s="1"/>
  <c r="J302" i="13" s="1"/>
  <c r="H308" i="34" s="1"/>
  <c r="I308" i="34" s="1"/>
  <c r="K308" i="34" s="1"/>
  <c r="F301" i="25" s="1"/>
  <c r="G106" i="13"/>
  <c r="H106" i="13" s="1"/>
  <c r="I106" i="13" s="1"/>
  <c r="J106" i="13" s="1"/>
  <c r="H112" i="34" s="1"/>
  <c r="I112" i="34" s="1"/>
  <c r="K112" i="34" s="1"/>
  <c r="F105" i="25" s="1"/>
  <c r="G246" i="13"/>
  <c r="H246" i="13" s="1"/>
  <c r="I246" i="13" s="1"/>
  <c r="J246" i="13" s="1"/>
  <c r="H252" i="34" s="1"/>
  <c r="I252" i="34" s="1"/>
  <c r="K252" i="34" s="1"/>
  <c r="F245" i="25" s="1"/>
  <c r="G37" i="13"/>
  <c r="H37" i="13" s="1"/>
  <c r="I37" i="13" s="1"/>
  <c r="J37" i="13" s="1"/>
  <c r="G7" i="13"/>
  <c r="H7" i="13" s="1"/>
  <c r="I7" i="13" s="1"/>
  <c r="J7" i="13" s="1"/>
  <c r="G174" i="13"/>
  <c r="H174" i="13" s="1"/>
  <c r="I174" i="13" s="1"/>
  <c r="J174" i="13" s="1"/>
  <c r="H180" i="34" s="1"/>
  <c r="I180" i="34" s="1"/>
  <c r="K180" i="34" s="1"/>
  <c r="F173" i="25" s="1"/>
  <c r="G295" i="13"/>
  <c r="H295" i="13" s="1"/>
  <c r="I295" i="13" s="1"/>
  <c r="J295" i="13" s="1"/>
  <c r="H301" i="34" s="1"/>
  <c r="I301" i="34" s="1"/>
  <c r="K301" i="34" s="1"/>
  <c r="F294" i="25" s="1"/>
  <c r="G250" i="13"/>
  <c r="H250" i="13" s="1"/>
  <c r="I250" i="13" s="1"/>
  <c r="J250" i="13" s="1"/>
  <c r="H256" i="34" s="1"/>
  <c r="I256" i="34" s="1"/>
  <c r="K256" i="34" s="1"/>
  <c r="F249" i="25" s="1"/>
  <c r="G124" i="13"/>
  <c r="H124" i="13" s="1"/>
  <c r="I124" i="13" s="1"/>
  <c r="J124" i="13" s="1"/>
  <c r="H130" i="34" s="1"/>
  <c r="I130" i="34" s="1"/>
  <c r="K130" i="34" s="1"/>
  <c r="F123" i="25" s="1"/>
  <c r="G127" i="13"/>
  <c r="H127" i="13" s="1"/>
  <c r="I127" i="13" s="1"/>
  <c r="J127" i="13" s="1"/>
  <c r="H133" i="34" s="1"/>
  <c r="I133" i="34" s="1"/>
  <c r="K133" i="34" s="1"/>
  <c r="F126" i="25" s="1"/>
  <c r="G207" i="13"/>
  <c r="H207" i="13" s="1"/>
  <c r="I207" i="13" s="1"/>
  <c r="J207" i="13" s="1"/>
  <c r="H213" i="34" s="1"/>
  <c r="I213" i="34" s="1"/>
  <c r="K213" i="34" s="1"/>
  <c r="F206" i="25" s="1"/>
  <c r="G152" i="13"/>
  <c r="H152" i="13" s="1"/>
  <c r="I152" i="13" s="1"/>
  <c r="J152" i="13" s="1"/>
  <c r="H158" i="34" s="1"/>
  <c r="I158" i="34" s="1"/>
  <c r="K158" i="34" s="1"/>
  <c r="F151" i="25" s="1"/>
  <c r="G81" i="13"/>
  <c r="H81" i="13" s="1"/>
  <c r="I81" i="13" s="1"/>
  <c r="J81" i="13" s="1"/>
  <c r="G249" i="13"/>
  <c r="H249" i="13" s="1"/>
  <c r="I249" i="13" s="1"/>
  <c r="J249" i="13" s="1"/>
  <c r="H255" i="34" s="1"/>
  <c r="I255" i="34" s="1"/>
  <c r="K255" i="34" s="1"/>
  <c r="F248" i="25" s="1"/>
  <c r="G133" i="13"/>
  <c r="H133" i="13" s="1"/>
  <c r="I133" i="13" s="1"/>
  <c r="J133" i="13" s="1"/>
  <c r="H139" i="34" s="1"/>
  <c r="I139" i="34" s="1"/>
  <c r="K139" i="34" s="1"/>
  <c r="F132" i="25" s="1"/>
  <c r="G9" i="13"/>
  <c r="H9" i="13" s="1"/>
  <c r="I9" i="13" s="1"/>
  <c r="J9" i="13" s="1"/>
  <c r="H15" i="34" s="1"/>
  <c r="I15" i="34" s="1"/>
  <c r="K15" i="34" s="1"/>
  <c r="F8" i="25" s="1"/>
  <c r="G120" i="13"/>
  <c r="H120" i="13" s="1"/>
  <c r="I120" i="13" s="1"/>
  <c r="J120" i="13" s="1"/>
  <c r="H126" i="34" s="1"/>
  <c r="I126" i="34" s="1"/>
  <c r="K126" i="34" s="1"/>
  <c r="F119" i="25" s="1"/>
  <c r="G62" i="13"/>
  <c r="H62" i="13" s="1"/>
  <c r="I62" i="13" s="1"/>
  <c r="J62" i="13" s="1"/>
  <c r="H68" i="34" s="1"/>
  <c r="I68" i="34" s="1"/>
  <c r="K68" i="34" s="1"/>
  <c r="F61" i="25" s="1"/>
  <c r="G156" i="13"/>
  <c r="H156" i="13" s="1"/>
  <c r="I156" i="13" s="1"/>
  <c r="J156" i="13" s="1"/>
  <c r="H162" i="34" s="1"/>
  <c r="I162" i="34" s="1"/>
  <c r="K162" i="34" s="1"/>
  <c r="F155" i="25" s="1"/>
  <c r="G272" i="13"/>
  <c r="H272" i="13" s="1"/>
  <c r="I272" i="13" s="1"/>
  <c r="J272" i="13" s="1"/>
  <c r="G85" i="13"/>
  <c r="H85" i="13" s="1"/>
  <c r="I85" i="13" s="1"/>
  <c r="J85" i="13" s="1"/>
  <c r="G230" i="13"/>
  <c r="H230" i="13" s="1"/>
  <c r="I230" i="13" s="1"/>
  <c r="J230" i="13" s="1"/>
  <c r="H236" i="34" s="1"/>
  <c r="I236" i="34" s="1"/>
  <c r="K236" i="34" s="1"/>
  <c r="F229" i="25" s="1"/>
  <c r="G151" i="13"/>
  <c r="H151" i="13" s="1"/>
  <c r="I151" i="13" s="1"/>
  <c r="J151" i="13" s="1"/>
  <c r="H157" i="34" s="1"/>
  <c r="I157" i="34" s="1"/>
  <c r="K157" i="34" s="1"/>
  <c r="F150" i="25" s="1"/>
  <c r="G56" i="13"/>
  <c r="H56" i="13" s="1"/>
  <c r="I56" i="13" s="1"/>
  <c r="J56" i="13" s="1"/>
  <c r="H62" i="34" s="1"/>
  <c r="I62" i="34" s="1"/>
  <c r="K62" i="34" s="1"/>
  <c r="F55" i="25" s="1"/>
  <c r="G112" i="13"/>
  <c r="H112" i="13" s="1"/>
  <c r="I112" i="13" s="1"/>
  <c r="J112" i="13" s="1"/>
  <c r="H118" i="34" s="1"/>
  <c r="I118" i="34" s="1"/>
  <c r="K118" i="34" s="1"/>
  <c r="F111" i="25" s="1"/>
  <c r="G220" i="13"/>
  <c r="H220" i="13" s="1"/>
  <c r="I220" i="13" s="1"/>
  <c r="J220" i="13" s="1"/>
  <c r="H226" i="34" s="1"/>
  <c r="I226" i="34" s="1"/>
  <c r="K226" i="34" s="1"/>
  <c r="F219" i="25" s="1"/>
  <c r="G82" i="13"/>
  <c r="H82" i="13" s="1"/>
  <c r="I82" i="13" s="1"/>
  <c r="J82" i="13" s="1"/>
  <c r="H88" i="34" s="1"/>
  <c r="I88" i="34" s="1"/>
  <c r="K88" i="34" s="1"/>
  <c r="F81" i="25" s="1"/>
  <c r="G231" i="13"/>
  <c r="H231" i="13" s="1"/>
  <c r="I231" i="13" s="1"/>
  <c r="J231" i="13" s="1"/>
  <c r="G202" i="13"/>
  <c r="H202" i="13" s="1"/>
  <c r="I202" i="13" s="1"/>
  <c r="J202" i="13" s="1"/>
  <c r="H208" i="34" s="1"/>
  <c r="I208" i="34" s="1"/>
  <c r="K208" i="34" s="1"/>
  <c r="F201" i="25" s="1"/>
  <c r="G200" i="13"/>
  <c r="H200" i="13" s="1"/>
  <c r="I200" i="13" s="1"/>
  <c r="J200" i="13" s="1"/>
  <c r="H206" i="34" s="1"/>
  <c r="I206" i="34" s="1"/>
  <c r="K206" i="34" s="1"/>
  <c r="F199" i="25" s="1"/>
  <c r="G279" i="13"/>
  <c r="H279" i="13" s="1"/>
  <c r="I279" i="13" s="1"/>
  <c r="J279" i="13" s="1"/>
  <c r="H285" i="34" s="1"/>
  <c r="I285" i="34" s="1"/>
  <c r="K285" i="34" s="1"/>
  <c r="F278" i="25" s="1"/>
  <c r="G283" i="13"/>
  <c r="H283" i="13" s="1"/>
  <c r="I283" i="13" s="1"/>
  <c r="J283" i="13" s="1"/>
  <c r="H289" i="34" s="1"/>
  <c r="I289" i="34" s="1"/>
  <c r="K289" i="34" s="1"/>
  <c r="F282" i="25" s="1"/>
  <c r="G60" i="13"/>
  <c r="H60" i="13" s="1"/>
  <c r="I60" i="13" s="1"/>
  <c r="J60" i="13" s="1"/>
  <c r="H66" i="34" s="1"/>
  <c r="I66" i="34" s="1"/>
  <c r="K66" i="34" s="1"/>
  <c r="F59" i="25" s="1"/>
  <c r="G161" i="13"/>
  <c r="H161" i="13" s="1"/>
  <c r="I161" i="13" s="1"/>
  <c r="J161" i="13" s="1"/>
  <c r="H167" i="34" s="1"/>
  <c r="I167" i="34" s="1"/>
  <c r="K167" i="34" s="1"/>
  <c r="F160" i="25" s="1"/>
  <c r="G196" i="13"/>
  <c r="H196" i="13" s="1"/>
  <c r="I196" i="13" s="1"/>
  <c r="J196" i="13" s="1"/>
  <c r="H202" i="34" s="1"/>
  <c r="I202" i="34" s="1"/>
  <c r="K202" i="34" s="1"/>
  <c r="F195" i="25" s="1"/>
  <c r="G47" i="13"/>
  <c r="H47" i="13" s="1"/>
  <c r="I47" i="13" s="1"/>
  <c r="J47" i="13" s="1"/>
  <c r="H53" i="34" s="1"/>
  <c r="I53" i="34" s="1"/>
  <c r="K53" i="34" s="1"/>
  <c r="F46" i="25" s="1"/>
  <c r="G261" i="13"/>
  <c r="H261" i="13" s="1"/>
  <c r="I261" i="13" s="1"/>
  <c r="J261" i="13" s="1"/>
  <c r="H267" i="34" s="1"/>
  <c r="I267" i="34" s="1"/>
  <c r="K267" i="34" s="1"/>
  <c r="F260" i="25" s="1"/>
  <c r="G126" i="13"/>
  <c r="H126" i="13" s="1"/>
  <c r="I126" i="13" s="1"/>
  <c r="J126" i="13" s="1"/>
  <c r="H132" i="34" s="1"/>
  <c r="I132" i="34" s="1"/>
  <c r="K132" i="34" s="1"/>
  <c r="F125" i="25" s="1"/>
  <c r="G300" i="13"/>
  <c r="H300" i="13" s="1"/>
  <c r="I300" i="13" s="1"/>
  <c r="J300" i="13" s="1"/>
  <c r="H306" i="34" s="1"/>
  <c r="I306" i="34" s="1"/>
  <c r="K306" i="34" s="1"/>
  <c r="F299" i="25" s="1"/>
  <c r="G52" i="13"/>
  <c r="H52" i="13" s="1"/>
  <c r="I52" i="13" s="1"/>
  <c r="J52" i="13" s="1"/>
  <c r="H58" i="34" s="1"/>
  <c r="I58" i="34" s="1"/>
  <c r="K58" i="34" s="1"/>
  <c r="F51" i="25" s="1"/>
  <c r="G192" i="13"/>
  <c r="H192" i="13" s="1"/>
  <c r="I192" i="13" s="1"/>
  <c r="J192" i="13" s="1"/>
  <c r="H198" i="34" s="1"/>
  <c r="I198" i="34" s="1"/>
  <c r="K198" i="34" s="1"/>
  <c r="F191" i="25" s="1"/>
  <c r="G284" i="13"/>
  <c r="H284" i="13" s="1"/>
  <c r="I284" i="13" s="1"/>
  <c r="J284" i="13" s="1"/>
  <c r="H290" i="34" s="1"/>
  <c r="I290" i="34" s="1"/>
  <c r="K290" i="34" s="1"/>
  <c r="F283" i="25" s="1"/>
  <c r="G93" i="13"/>
  <c r="H93" i="13" s="1"/>
  <c r="I93" i="13" s="1"/>
  <c r="J93" i="13" s="1"/>
  <c r="H99" i="34" s="1"/>
  <c r="I99" i="34" s="1"/>
  <c r="K99" i="34" s="1"/>
  <c r="F92" i="25" s="1"/>
  <c r="G190" i="13"/>
  <c r="H190" i="13" s="1"/>
  <c r="I190" i="13" s="1"/>
  <c r="J190" i="13" s="1"/>
  <c r="H196" i="34" s="1"/>
  <c r="I196" i="34" s="1"/>
  <c r="K196" i="34" s="1"/>
  <c r="F189" i="25" s="1"/>
  <c r="G36" i="13"/>
  <c r="H36" i="13" s="1"/>
  <c r="I36" i="13" s="1"/>
  <c r="J36" i="13" s="1"/>
  <c r="H42" i="34" s="1"/>
  <c r="I42" i="34" s="1"/>
  <c r="K42" i="34" s="1"/>
  <c r="F35" i="25" s="1"/>
  <c r="G16" i="13"/>
  <c r="H16" i="13" s="1"/>
  <c r="I16" i="13" s="1"/>
  <c r="J16" i="13" s="1"/>
  <c r="H22" i="34" s="1"/>
  <c r="I22" i="34" s="1"/>
  <c r="K22" i="34" s="1"/>
  <c r="F15" i="25" s="1"/>
  <c r="G217" i="13"/>
  <c r="H217" i="13" s="1"/>
  <c r="I217" i="13" s="1"/>
  <c r="J217" i="13" s="1"/>
  <c r="H223" i="34" s="1"/>
  <c r="I223" i="34" s="1"/>
  <c r="K223" i="34" s="1"/>
  <c r="F216" i="25" s="1"/>
  <c r="G237" i="13"/>
  <c r="H237" i="13" s="1"/>
  <c r="I237" i="13" s="1"/>
  <c r="J237" i="13" s="1"/>
  <c r="H243" i="34" s="1"/>
  <c r="I243" i="34" s="1"/>
  <c r="K243" i="34" s="1"/>
  <c r="F236" i="25" s="1"/>
  <c r="G280" i="13"/>
  <c r="H280" i="13" s="1"/>
  <c r="I280" i="13" s="1"/>
  <c r="J280" i="13" s="1"/>
  <c r="H286" i="34" s="1"/>
  <c r="I286" i="34" s="1"/>
  <c r="K286" i="34" s="1"/>
  <c r="F279" i="25" s="1"/>
  <c r="G262" i="13"/>
  <c r="H262" i="13" s="1"/>
  <c r="I262" i="13" s="1"/>
  <c r="J262" i="13" s="1"/>
  <c r="H268" i="34" s="1"/>
  <c r="I268" i="34" s="1"/>
  <c r="K268" i="34" s="1"/>
  <c r="F261" i="25" s="1"/>
  <c r="G254" i="13"/>
  <c r="H254" i="13" s="1"/>
  <c r="I254" i="13" s="1"/>
  <c r="J254" i="13" s="1"/>
  <c r="H260" i="34" s="1"/>
  <c r="I260" i="34" s="1"/>
  <c r="K260" i="34" s="1"/>
  <c r="F253" i="25" s="1"/>
  <c r="G53" i="13"/>
  <c r="H53" i="13" s="1"/>
  <c r="I53" i="13" s="1"/>
  <c r="J53" i="13" s="1"/>
  <c r="G263" i="13"/>
  <c r="H263" i="13" s="1"/>
  <c r="I263" i="13" s="1"/>
  <c r="J263" i="13" s="1"/>
  <c r="H269" i="34" s="1"/>
  <c r="I269" i="34" s="1"/>
  <c r="K269" i="34" s="1"/>
  <c r="F262" i="25" s="1"/>
  <c r="G94" i="13"/>
  <c r="H94" i="13" s="1"/>
  <c r="I94" i="13" s="1"/>
  <c r="J94" i="13" s="1"/>
  <c r="H100" i="34" s="1"/>
  <c r="I100" i="34" s="1"/>
  <c r="K100" i="34" s="1"/>
  <c r="F93" i="25" s="1"/>
  <c r="G15" i="13"/>
  <c r="H15" i="13" s="1"/>
  <c r="I15" i="13" s="1"/>
  <c r="J15" i="13" s="1"/>
  <c r="H21" i="34" s="1"/>
  <c r="I21" i="34" s="1"/>
  <c r="K21" i="34" s="1"/>
  <c r="F14" i="25" s="1"/>
  <c r="G273" i="13"/>
  <c r="H273" i="13" s="1"/>
  <c r="I273" i="13" s="1"/>
  <c r="J273" i="13" s="1"/>
  <c r="H279" i="34" s="1"/>
  <c r="I279" i="34" s="1"/>
  <c r="K279" i="34" s="1"/>
  <c r="F272" i="25" s="1"/>
  <c r="G99" i="13"/>
  <c r="H99" i="13" s="1"/>
  <c r="I99" i="13" s="1"/>
  <c r="J99" i="13" s="1"/>
  <c r="H105" i="34" s="1"/>
  <c r="I105" i="34" s="1"/>
  <c r="K105" i="34" s="1"/>
  <c r="F98" i="25" s="1"/>
  <c r="G118" i="13"/>
  <c r="H118" i="13" s="1"/>
  <c r="I118" i="13" s="1"/>
  <c r="J118" i="13" s="1"/>
  <c r="H124" i="34" s="1"/>
  <c r="I124" i="34" s="1"/>
  <c r="K124" i="34" s="1"/>
  <c r="F117" i="25" s="1"/>
  <c r="G239" i="13"/>
  <c r="H239" i="13" s="1"/>
  <c r="I239" i="13" s="1"/>
  <c r="J239" i="13" s="1"/>
  <c r="H245" i="34" s="1"/>
  <c r="I245" i="34" s="1"/>
  <c r="K245" i="34" s="1"/>
  <c r="F238" i="25" s="1"/>
  <c r="G140" i="13"/>
  <c r="H140" i="13" s="1"/>
  <c r="I140" i="13" s="1"/>
  <c r="J140" i="13" s="1"/>
  <c r="G84" i="13"/>
  <c r="H84" i="13" s="1"/>
  <c r="I84" i="13" s="1"/>
  <c r="J84" i="13" s="1"/>
  <c r="H90" i="34" s="1"/>
  <c r="I90" i="34" s="1"/>
  <c r="K90" i="34" s="1"/>
  <c r="F83" i="25" s="1"/>
  <c r="G57" i="13"/>
  <c r="H57" i="13" s="1"/>
  <c r="I57" i="13" s="1"/>
  <c r="J57" i="13" s="1"/>
  <c r="H63" i="34" s="1"/>
  <c r="I63" i="34" s="1"/>
  <c r="K63" i="34" s="1"/>
  <c r="F56" i="25" s="1"/>
  <c r="G238" i="13"/>
  <c r="H238" i="13" s="1"/>
  <c r="I238" i="13" s="1"/>
  <c r="J238" i="13" s="1"/>
  <c r="H244" i="34" s="1"/>
  <c r="I244" i="34" s="1"/>
  <c r="K244" i="34" s="1"/>
  <c r="F237" i="25" s="1"/>
  <c r="G169" i="13"/>
  <c r="H169" i="13" s="1"/>
  <c r="I169" i="13" s="1"/>
  <c r="J169" i="13" s="1"/>
  <c r="H175" i="34" s="1"/>
  <c r="I175" i="34" s="1"/>
  <c r="K175" i="34" s="1"/>
  <c r="F168" i="25" s="1"/>
  <c r="G176" i="13"/>
  <c r="H176" i="13" s="1"/>
  <c r="I176" i="13" s="1"/>
  <c r="J176" i="13" s="1"/>
  <c r="H182" i="34" s="1"/>
  <c r="I182" i="34" s="1"/>
  <c r="K182" i="34" s="1"/>
  <c r="F175" i="25" s="1"/>
  <c r="G142" i="13"/>
  <c r="H142" i="13" s="1"/>
  <c r="I142" i="13" s="1"/>
  <c r="J142" i="13" s="1"/>
  <c r="H148" i="34" s="1"/>
  <c r="I148" i="34" s="1"/>
  <c r="K148" i="34" s="1"/>
  <c r="F141" i="25" s="1"/>
  <c r="G305" i="13"/>
  <c r="H305" i="13" s="1"/>
  <c r="I305" i="13" s="1"/>
  <c r="J305" i="13" s="1"/>
  <c r="H311" i="34" s="1"/>
  <c r="I311" i="34" s="1"/>
  <c r="K311" i="34" s="1"/>
  <c r="F304" i="25" s="1"/>
  <c r="G114" i="13"/>
  <c r="H114" i="13" s="1"/>
  <c r="I114" i="13" s="1"/>
  <c r="J114" i="13" s="1"/>
  <c r="H120" i="34" s="1"/>
  <c r="I120" i="34" s="1"/>
  <c r="K120" i="34" s="1"/>
  <c r="F113" i="25" s="1"/>
  <c r="G42" i="13"/>
  <c r="H42" i="13" s="1"/>
  <c r="I42" i="13" s="1"/>
  <c r="J42" i="13" s="1"/>
  <c r="H48" i="34" s="1"/>
  <c r="I48" i="34" s="1"/>
  <c r="K48" i="34" s="1"/>
  <c r="F41" i="25" s="1"/>
  <c r="G255" i="13"/>
  <c r="H255" i="13" s="1"/>
  <c r="I255" i="13" s="1"/>
  <c r="J255" i="13" s="1"/>
  <c r="H261" i="34" s="1"/>
  <c r="I261" i="34" s="1"/>
  <c r="K261" i="34" s="1"/>
  <c r="F254" i="25" s="1"/>
  <c r="G71" i="13"/>
  <c r="H71" i="13" s="1"/>
  <c r="I71" i="13" s="1"/>
  <c r="J71" i="13" s="1"/>
  <c r="H77" i="34" s="1"/>
  <c r="I77" i="34" s="1"/>
  <c r="K77" i="34" s="1"/>
  <c r="F70" i="25" s="1"/>
  <c r="G199" i="13"/>
  <c r="H199" i="13" s="1"/>
  <c r="I199" i="13" s="1"/>
  <c r="J199" i="13" s="1"/>
  <c r="H205" i="34" s="1"/>
  <c r="I205" i="34" s="1"/>
  <c r="K205" i="34" s="1"/>
  <c r="F198" i="25" s="1"/>
  <c r="G301" i="13"/>
  <c r="G219" i="13"/>
  <c r="H219" i="13" s="1"/>
  <c r="I219" i="13" s="1"/>
  <c r="J219" i="13" s="1"/>
  <c r="H225" i="34" s="1"/>
  <c r="I225" i="34" s="1"/>
  <c r="K225" i="34" s="1"/>
  <c r="F218" i="25" s="1"/>
  <c r="G204" i="13"/>
  <c r="H204" i="13" s="1"/>
  <c r="I204" i="13" s="1"/>
  <c r="J204" i="13" s="1"/>
  <c r="H210" i="34" s="1"/>
  <c r="I210" i="34" s="1"/>
  <c r="K210" i="34" s="1"/>
  <c r="F203" i="25" s="1"/>
  <c r="G205" i="13"/>
  <c r="H205" i="13" s="1"/>
  <c r="I205" i="13" s="1"/>
  <c r="J205" i="13" s="1"/>
  <c r="H211" i="34" s="1"/>
  <c r="I211" i="34" s="1"/>
  <c r="K211" i="34" s="1"/>
  <c r="F204" i="25" s="1"/>
  <c r="G54" i="13"/>
  <c r="H54" i="13" s="1"/>
  <c r="I54" i="13" s="1"/>
  <c r="J54" i="13" s="1"/>
  <c r="H60" i="34" s="1"/>
  <c r="I60" i="34" s="1"/>
  <c r="K60" i="34" s="1"/>
  <c r="F53" i="25" s="1"/>
  <c r="G259" i="13"/>
  <c r="H259" i="13" s="1"/>
  <c r="I259" i="13" s="1"/>
  <c r="J259" i="13" s="1"/>
  <c r="H265" i="34" s="1"/>
  <c r="I265" i="34" s="1"/>
  <c r="K265" i="34" s="1"/>
  <c r="F258" i="25" s="1"/>
  <c r="G146" i="13"/>
  <c r="H146" i="13" s="1"/>
  <c r="I146" i="13" s="1"/>
  <c r="J146" i="13" s="1"/>
  <c r="H152" i="34" s="1"/>
  <c r="I152" i="34" s="1"/>
  <c r="K152" i="34" s="1"/>
  <c r="F145" i="25" s="1"/>
  <c r="G290" i="13"/>
  <c r="H290" i="13" s="1"/>
  <c r="I290" i="13" s="1"/>
  <c r="J290" i="13" s="1"/>
  <c r="H296" i="34" s="1"/>
  <c r="I296" i="34" s="1"/>
  <c r="K296" i="34" s="1"/>
  <c r="F289" i="25" s="1"/>
  <c r="G100" i="13"/>
  <c r="H100" i="13" s="1"/>
  <c r="I100" i="13" s="1"/>
  <c r="J100" i="13" s="1"/>
  <c r="H106" i="34" s="1"/>
  <c r="I106" i="34" s="1"/>
  <c r="K106" i="34" s="1"/>
  <c r="F99" i="25" s="1"/>
  <c r="G162" i="13"/>
  <c r="H162" i="13" s="1"/>
  <c r="I162" i="13" s="1"/>
  <c r="J162" i="13" s="1"/>
  <c r="H168" i="34" s="1"/>
  <c r="I168" i="34" s="1"/>
  <c r="K168" i="34" s="1"/>
  <c r="F161" i="25" s="1"/>
  <c r="G232" i="13"/>
  <c r="H232" i="13" s="1"/>
  <c r="I232" i="13" s="1"/>
  <c r="J232" i="13" s="1"/>
  <c r="H238" i="34" s="1"/>
  <c r="I238" i="34" s="1"/>
  <c r="K238" i="34" s="1"/>
  <c r="F231" i="25" s="1"/>
  <c r="G25" i="13"/>
  <c r="H25" i="13" s="1"/>
  <c r="I25" i="13" s="1"/>
  <c r="J25" i="13" s="1"/>
  <c r="H31" i="34" s="1"/>
  <c r="I31" i="34" s="1"/>
  <c r="K31" i="34" s="1"/>
  <c r="F24" i="25" s="1"/>
  <c r="G43" i="13"/>
  <c r="H43" i="13" s="1"/>
  <c r="I43" i="13" s="1"/>
  <c r="J43" i="13" s="1"/>
  <c r="H49" i="34" s="1"/>
  <c r="I49" i="34" s="1"/>
  <c r="K49" i="34" s="1"/>
  <c r="F42" i="25" s="1"/>
  <c r="G34" i="13"/>
  <c r="H34" i="13" s="1"/>
  <c r="I34" i="13" s="1"/>
  <c r="J34" i="13" s="1"/>
  <c r="H40" i="34" s="1"/>
  <c r="I40" i="34" s="1"/>
  <c r="K40" i="34" s="1"/>
  <c r="F33" i="25" s="1"/>
  <c r="G242" i="13"/>
  <c r="H242" i="13" s="1"/>
  <c r="I242" i="13" s="1"/>
  <c r="J242" i="13" s="1"/>
  <c r="H248" i="34" s="1"/>
  <c r="I248" i="34" s="1"/>
  <c r="K248" i="34" s="1"/>
  <c r="F241" i="25" s="1"/>
  <c r="G149" i="13"/>
  <c r="H149" i="13" s="1"/>
  <c r="I149" i="13" s="1"/>
  <c r="J149" i="13" s="1"/>
  <c r="H155" i="34" s="1"/>
  <c r="I155" i="34" s="1"/>
  <c r="K155" i="34" s="1"/>
  <c r="F148" i="25" s="1"/>
  <c r="G224" i="13"/>
  <c r="H224" i="13" s="1"/>
  <c r="I224" i="13" s="1"/>
  <c r="J224" i="13" s="1"/>
  <c r="H230" i="34" s="1"/>
  <c r="I230" i="34" s="1"/>
  <c r="K230" i="34" s="1"/>
  <c r="F223" i="25" s="1"/>
  <c r="G181" i="13"/>
  <c r="H181" i="13" s="1"/>
  <c r="I181" i="13" s="1"/>
  <c r="J181" i="13" s="1"/>
  <c r="H187" i="34" s="1"/>
  <c r="I187" i="34" s="1"/>
  <c r="K187" i="34" s="1"/>
  <c r="F180" i="25" s="1"/>
  <c r="G153" i="13"/>
  <c r="H153" i="13" s="1"/>
  <c r="I153" i="13" s="1"/>
  <c r="J153" i="13" s="1"/>
  <c r="H159" i="34" s="1"/>
  <c r="I159" i="34" s="1"/>
  <c r="K159" i="34" s="1"/>
  <c r="F152" i="25" s="1"/>
  <c r="G90" i="13"/>
  <c r="H90" i="13" s="1"/>
  <c r="I90" i="13" s="1"/>
  <c r="J90" i="13" s="1"/>
  <c r="H96" i="34" s="1"/>
  <c r="I96" i="34" s="1"/>
  <c r="K96" i="34" s="1"/>
  <c r="F89" i="25" s="1"/>
  <c r="G145" i="13"/>
  <c r="H145" i="13" s="1"/>
  <c r="I145" i="13" s="1"/>
  <c r="J145" i="13" s="1"/>
  <c r="H151" i="34" s="1"/>
  <c r="I151" i="34" s="1"/>
  <c r="K151" i="34" s="1"/>
  <c r="F144" i="25" s="1"/>
  <c r="G46" i="13"/>
  <c r="H46" i="13" s="1"/>
  <c r="I46" i="13" s="1"/>
  <c r="J46" i="13" s="1"/>
  <c r="H52" i="34" s="1"/>
  <c r="I52" i="34" s="1"/>
  <c r="K52" i="34" s="1"/>
  <c r="F45" i="25" s="1"/>
  <c r="G109" i="13"/>
  <c r="H109" i="13" s="1"/>
  <c r="I109" i="13" s="1"/>
  <c r="J109" i="13" s="1"/>
  <c r="H115" i="34" s="1"/>
  <c r="I115" i="34" s="1"/>
  <c r="K115" i="34" s="1"/>
  <c r="F108" i="25" s="1"/>
  <c r="G64" i="13"/>
  <c r="H64" i="13" s="1"/>
  <c r="I64" i="13" s="1"/>
  <c r="J64" i="13" s="1"/>
  <c r="H70" i="34" s="1"/>
  <c r="I70" i="34" s="1"/>
  <c r="K70" i="34" s="1"/>
  <c r="F63" i="25" s="1"/>
  <c r="G270" i="13"/>
  <c r="H270" i="13" s="1"/>
  <c r="I270" i="13" s="1"/>
  <c r="J270" i="13" s="1"/>
  <c r="H276" i="34" s="1"/>
  <c r="I276" i="34" s="1"/>
  <c r="K276" i="34" s="1"/>
  <c r="F269" i="25" s="1"/>
  <c r="G70" i="13"/>
  <c r="H70" i="13" s="1"/>
  <c r="I70" i="13" s="1"/>
  <c r="J70" i="13" s="1"/>
  <c r="H76" i="34" s="1"/>
  <c r="I76" i="34" s="1"/>
  <c r="K76" i="34" s="1"/>
  <c r="F69" i="25" s="1"/>
  <c r="G125" i="13"/>
  <c r="H125" i="13" s="1"/>
  <c r="I125" i="13" s="1"/>
  <c r="J125" i="13" s="1"/>
  <c r="H131" i="34" s="1"/>
  <c r="I131" i="34" s="1"/>
  <c r="K131" i="34" s="1"/>
  <c r="F124" i="25" s="1"/>
  <c r="G288" i="13"/>
  <c r="H288" i="13" s="1"/>
  <c r="I288" i="13" s="1"/>
  <c r="J288" i="13" s="1"/>
  <c r="H294" i="34" s="1"/>
  <c r="I294" i="34" s="1"/>
  <c r="K294" i="34" s="1"/>
  <c r="F287" i="25" s="1"/>
  <c r="G11" i="13"/>
  <c r="H11" i="13" s="1"/>
  <c r="I11" i="13" s="1"/>
  <c r="J11" i="13" s="1"/>
  <c r="H17" i="34" s="1"/>
  <c r="I17" i="34" s="1"/>
  <c r="K17" i="34" s="1"/>
  <c r="F10" i="25" s="1"/>
  <c r="H143" i="34"/>
  <c r="I143" i="34" s="1"/>
  <c r="K143" i="34" s="1"/>
  <c r="F136" i="25" s="1"/>
  <c r="H87" i="34"/>
  <c r="I87" i="34" s="1"/>
  <c r="K87" i="34" s="1"/>
  <c r="F80" i="25" s="1"/>
  <c r="H54" i="34"/>
  <c r="I54" i="34" s="1"/>
  <c r="K54" i="34" s="1"/>
  <c r="F47" i="25" s="1"/>
  <c r="H278" i="34"/>
  <c r="I278" i="34" s="1"/>
  <c r="K278" i="34" s="1"/>
  <c r="F271" i="25" s="1"/>
  <c r="H72" i="34"/>
  <c r="I72" i="34" s="1"/>
  <c r="K72" i="34" s="1"/>
  <c r="F65" i="25" s="1"/>
  <c r="H74" i="34"/>
  <c r="I74" i="34" s="1"/>
  <c r="K74" i="34" s="1"/>
  <c r="F67" i="25" s="1"/>
  <c r="H108" i="34"/>
  <c r="I108" i="34" s="1"/>
  <c r="K108" i="34" s="1"/>
  <c r="F101" i="25" s="1"/>
  <c r="H104" i="34"/>
  <c r="I104" i="34" s="1"/>
  <c r="K104" i="34" s="1"/>
  <c r="F97" i="25" s="1"/>
  <c r="H136" i="34"/>
  <c r="I136" i="34" s="1"/>
  <c r="K136" i="34" s="1"/>
  <c r="F129" i="25" s="1"/>
  <c r="H134" i="34"/>
  <c r="I134" i="34" s="1"/>
  <c r="K134" i="34" s="1"/>
  <c r="F127" i="25" s="1"/>
  <c r="H241" i="34"/>
  <c r="I241" i="34" s="1"/>
  <c r="K241" i="34" s="1"/>
  <c r="F234" i="25" s="1"/>
  <c r="H215" i="34"/>
  <c r="I215" i="34" s="1"/>
  <c r="K215" i="34" s="1"/>
  <c r="F208" i="25" s="1"/>
  <c r="H86" i="34"/>
  <c r="I86" i="34" s="1"/>
  <c r="K86" i="34" s="1"/>
  <c r="F79" i="25" s="1"/>
  <c r="H172" i="34"/>
  <c r="I172" i="34" s="1"/>
  <c r="K172" i="34" s="1"/>
  <c r="F165" i="25" s="1"/>
  <c r="H275" i="34"/>
  <c r="I275" i="34" s="1"/>
  <c r="K275" i="34" s="1"/>
  <c r="F268" i="25" s="1"/>
  <c r="H220" i="34"/>
  <c r="I220" i="34" s="1"/>
  <c r="K220" i="34" s="1"/>
  <c r="F213" i="25" s="1"/>
  <c r="H116" i="34"/>
  <c r="I116" i="34" s="1"/>
  <c r="K116" i="34" s="1"/>
  <c r="F109" i="25" s="1"/>
  <c r="H125" i="34"/>
  <c r="I125" i="34" s="1"/>
  <c r="K125" i="34" s="1"/>
  <c r="F118" i="25" s="1"/>
  <c r="H101" i="34"/>
  <c r="I101" i="34" s="1"/>
  <c r="K101" i="34" s="1"/>
  <c r="F94" i="25" s="1"/>
  <c r="H29" i="34"/>
  <c r="I29" i="34" s="1"/>
  <c r="K29" i="34" s="1"/>
  <c r="F22" i="25" s="1"/>
  <c r="H32" i="34"/>
  <c r="I32" i="34" s="1"/>
  <c r="K32" i="34" s="1"/>
  <c r="F25" i="25" s="1"/>
  <c r="H16" i="34"/>
  <c r="I16" i="34" s="1"/>
  <c r="K16" i="34" s="1"/>
  <c r="F9" i="25" s="1"/>
  <c r="J59" i="12"/>
  <c r="K59" i="12" s="1"/>
  <c r="K306" i="12" s="1"/>
  <c r="D59" i="39"/>
  <c r="G59" i="39" s="1"/>
  <c r="H59" i="39" s="1"/>
  <c r="I59" i="39" s="1"/>
  <c r="E34" i="48" s="1"/>
  <c r="H34" i="34"/>
  <c r="I34" i="34" s="1"/>
  <c r="K34" i="34" s="1"/>
  <c r="F27" i="25" s="1"/>
  <c r="H56" i="34"/>
  <c r="I56" i="34" s="1"/>
  <c r="K56" i="34" s="1"/>
  <c r="F49" i="25" s="1"/>
  <c r="H137" i="34"/>
  <c r="I137" i="34" s="1"/>
  <c r="K137" i="34" s="1"/>
  <c r="F130" i="25" s="1"/>
  <c r="H44" i="34"/>
  <c r="I44" i="34" s="1"/>
  <c r="K44" i="34" s="1"/>
  <c r="F37" i="25" s="1"/>
  <c r="H98" i="34"/>
  <c r="I98" i="34" s="1"/>
  <c r="K98" i="34" s="1"/>
  <c r="F91" i="25" s="1"/>
  <c r="H78" i="34"/>
  <c r="I78" i="34" s="1"/>
  <c r="K78" i="34" s="1"/>
  <c r="F71" i="25" s="1"/>
  <c r="H251" i="34"/>
  <c r="I251" i="34" s="1"/>
  <c r="K251" i="34" s="1"/>
  <c r="F244" i="25" s="1"/>
  <c r="H43" i="34"/>
  <c r="I43" i="34" s="1"/>
  <c r="K43" i="34" s="1"/>
  <c r="F36" i="25" s="1"/>
  <c r="H13" i="34"/>
  <c r="I13" i="34" s="1"/>
  <c r="K13" i="34" s="1"/>
  <c r="F6" i="25" s="1"/>
  <c r="H229" i="34"/>
  <c r="I229" i="34" s="1"/>
  <c r="K229" i="34" s="1"/>
  <c r="F222" i="25" s="1"/>
  <c r="H103" i="34"/>
  <c r="I103" i="34" s="1"/>
  <c r="K103" i="34" s="1"/>
  <c r="F96" i="25" s="1"/>
  <c r="H164" i="34"/>
  <c r="I164" i="34" s="1"/>
  <c r="K164" i="34" s="1"/>
  <c r="F157" i="25" s="1"/>
  <c r="H303" i="34"/>
  <c r="I303" i="34" s="1"/>
  <c r="K303" i="34" s="1"/>
  <c r="F296" i="25" s="1"/>
  <c r="H280" i="34"/>
  <c r="I280" i="34" s="1"/>
  <c r="K280" i="34" s="1"/>
  <c r="F273" i="25" s="1"/>
  <c r="H93" i="34"/>
  <c r="I93" i="34" s="1"/>
  <c r="K93" i="34" s="1"/>
  <c r="F86" i="25" s="1"/>
  <c r="H97" i="34"/>
  <c r="I97" i="34" s="1"/>
  <c r="K97" i="34" s="1"/>
  <c r="F90" i="25" s="1"/>
  <c r="H39" i="34"/>
  <c r="I39" i="34" s="1"/>
  <c r="K39" i="34" s="1"/>
  <c r="F32" i="25" s="1"/>
  <c r="H23" i="34"/>
  <c r="I23" i="34" s="1"/>
  <c r="K23" i="34" s="1"/>
  <c r="F16" i="25" s="1"/>
  <c r="H273" i="34"/>
  <c r="I273" i="34" s="1"/>
  <c r="K273" i="34" s="1"/>
  <c r="F266" i="25" s="1"/>
  <c r="H183" i="34"/>
  <c r="I183" i="34" s="1"/>
  <c r="K183" i="34" s="1"/>
  <c r="F176" i="25" s="1"/>
  <c r="H302" i="34"/>
  <c r="I302" i="34" s="1"/>
  <c r="K302" i="34" s="1"/>
  <c r="F295" i="25" s="1"/>
  <c r="G278" i="54"/>
  <c r="H278" i="54" s="1"/>
  <c r="I277" i="25"/>
  <c r="H109" i="34"/>
  <c r="I109" i="34" s="1"/>
  <c r="K109" i="34" s="1"/>
  <c r="F102" i="25" s="1"/>
  <c r="H59" i="34"/>
  <c r="I59" i="34" s="1"/>
  <c r="K59" i="34" s="1"/>
  <c r="F52" i="25" s="1"/>
  <c r="H259" i="34"/>
  <c r="I259" i="34" s="1"/>
  <c r="K259" i="34" s="1"/>
  <c r="F252" i="25" s="1"/>
  <c r="H36" i="34"/>
  <c r="I36" i="34" s="1"/>
  <c r="K36" i="34" s="1"/>
  <c r="F29" i="25" s="1"/>
  <c r="H73" i="34"/>
  <c r="I73" i="34" s="1"/>
  <c r="K73" i="34" s="1"/>
  <c r="F66" i="25" s="1"/>
  <c r="H222" i="34"/>
  <c r="I222" i="34" s="1"/>
  <c r="K222" i="34" s="1"/>
  <c r="F215" i="25" s="1"/>
  <c r="H147" i="34"/>
  <c r="I147" i="34" s="1"/>
  <c r="K147" i="34" s="1"/>
  <c r="F140" i="25" s="1"/>
  <c r="H69" i="34"/>
  <c r="I69" i="34" s="1"/>
  <c r="K69" i="34" s="1"/>
  <c r="F62" i="25" s="1"/>
  <c r="G65" i="13"/>
  <c r="H65" i="13" s="1"/>
  <c r="I65" i="13" s="1"/>
  <c r="J65" i="13" s="1"/>
  <c r="H71" i="34" s="1"/>
  <c r="I71" i="34" s="1"/>
  <c r="K71" i="34" s="1"/>
  <c r="F64" i="25" s="1"/>
  <c r="H184" i="34"/>
  <c r="I184" i="34" s="1"/>
  <c r="K184" i="34" s="1"/>
  <c r="F177" i="25" s="1"/>
  <c r="H178" i="34"/>
  <c r="I178" i="34" s="1"/>
  <c r="K178" i="34" s="1"/>
  <c r="F171" i="25" s="1"/>
  <c r="H240" i="34"/>
  <c r="I240" i="34" s="1"/>
  <c r="K240" i="34" s="1"/>
  <c r="F233" i="25" s="1"/>
  <c r="G197" i="13"/>
  <c r="H197" i="13" s="1"/>
  <c r="I197" i="13" s="1"/>
  <c r="J197" i="13" s="1"/>
  <c r="H203" i="34" s="1"/>
  <c r="I203" i="34" s="1"/>
  <c r="K203" i="34" s="1"/>
  <c r="F196" i="25" s="1"/>
  <c r="G222" i="13"/>
  <c r="H222" i="13" s="1"/>
  <c r="I222" i="13" s="1"/>
  <c r="J222" i="13" s="1"/>
  <c r="H228" i="34" s="1"/>
  <c r="I228" i="34" s="1"/>
  <c r="K228" i="34" s="1"/>
  <c r="F221" i="25" s="1"/>
  <c r="G139" i="13"/>
  <c r="H139" i="13" s="1"/>
  <c r="I139" i="13" s="1"/>
  <c r="J139" i="13" s="1"/>
  <c r="H145" i="34" s="1"/>
  <c r="I145" i="34" s="1"/>
  <c r="K145" i="34" s="1"/>
  <c r="F138" i="25" s="1"/>
  <c r="H18" i="34"/>
  <c r="I18" i="34" s="1"/>
  <c r="K18" i="34" s="1"/>
  <c r="F11" i="25" s="1"/>
  <c r="G115" i="13"/>
  <c r="H115" i="13" s="1"/>
  <c r="I115" i="13" s="1"/>
  <c r="J115" i="13" s="1"/>
  <c r="H121" i="34" s="1"/>
  <c r="I121" i="34" s="1"/>
  <c r="K121" i="34" s="1"/>
  <c r="F114" i="25" s="1"/>
  <c r="G198" i="13"/>
  <c r="H198" i="13" s="1"/>
  <c r="I198" i="13" s="1"/>
  <c r="J198" i="13" s="1"/>
  <c r="H204" i="34" s="1"/>
  <c r="I204" i="34" s="1"/>
  <c r="K204" i="34" s="1"/>
  <c r="F197" i="25" s="1"/>
  <c r="G123" i="13"/>
  <c r="H123" i="13" s="1"/>
  <c r="I123" i="13" s="1"/>
  <c r="J123" i="13" s="1"/>
  <c r="H129" i="34" s="1"/>
  <c r="I129" i="34" s="1"/>
  <c r="K129" i="34" s="1"/>
  <c r="F122" i="25" s="1"/>
  <c r="H237" i="34"/>
  <c r="I237" i="34" s="1"/>
  <c r="K237" i="34" s="1"/>
  <c r="F230" i="25" s="1"/>
  <c r="G49" i="13"/>
  <c r="H49" i="13" s="1"/>
  <c r="I49" i="13" s="1"/>
  <c r="J49" i="13" s="1"/>
  <c r="H55" i="34" s="1"/>
  <c r="I55" i="34" s="1"/>
  <c r="K55" i="34" s="1"/>
  <c r="F48" i="25" s="1"/>
  <c r="G299" i="13"/>
  <c r="H299" i="13" s="1"/>
  <c r="I299" i="13" s="1"/>
  <c r="J299" i="13" s="1"/>
  <c r="H305" i="34" s="1"/>
  <c r="I305" i="34" s="1"/>
  <c r="K305" i="34" s="1"/>
  <c r="F298" i="25" s="1"/>
  <c r="G215" i="13"/>
  <c r="H215" i="13" s="1"/>
  <c r="I215" i="13" s="1"/>
  <c r="J215" i="13" s="1"/>
  <c r="H221" i="34" s="1"/>
  <c r="I221" i="34" s="1"/>
  <c r="K221" i="34" s="1"/>
  <c r="F214" i="25" s="1"/>
  <c r="G213" i="13"/>
  <c r="H213" i="13" s="1"/>
  <c r="I213" i="13" s="1"/>
  <c r="J213" i="13" s="1"/>
  <c r="H219" i="34" s="1"/>
  <c r="I219" i="34" s="1"/>
  <c r="K219" i="34" s="1"/>
  <c r="F212" i="25" s="1"/>
  <c r="G8" i="13"/>
  <c r="H8" i="13" s="1"/>
  <c r="I8" i="13" s="1"/>
  <c r="J8" i="13" s="1"/>
  <c r="H14" i="34" s="1"/>
  <c r="I14" i="34" s="1"/>
  <c r="K14" i="34" s="1"/>
  <c r="F7" i="25" s="1"/>
  <c r="G184" i="13"/>
  <c r="H184" i="13" s="1"/>
  <c r="I184" i="13" s="1"/>
  <c r="J184" i="13" s="1"/>
  <c r="H190" i="34" s="1"/>
  <c r="I190" i="34" s="1"/>
  <c r="K190" i="34" s="1"/>
  <c r="F183" i="25" s="1"/>
  <c r="H307" i="34"/>
  <c r="I307" i="34" s="1"/>
  <c r="K307" i="34" s="1"/>
  <c r="F300" i="25" s="1"/>
  <c r="H295" i="34"/>
  <c r="I295" i="34" s="1"/>
  <c r="K295" i="34" s="1"/>
  <c r="F288" i="25" s="1"/>
  <c r="G55" i="13"/>
  <c r="H55" i="13" s="1"/>
  <c r="I55" i="13" s="1"/>
  <c r="J55" i="13" s="1"/>
  <c r="H61" i="34" s="1"/>
  <c r="I61" i="34" s="1"/>
  <c r="K61" i="34" s="1"/>
  <c r="F54" i="25" s="1"/>
  <c r="H270" i="34"/>
  <c r="I270" i="34" s="1"/>
  <c r="K270" i="34" s="1"/>
  <c r="F263" i="25" s="1"/>
  <c r="G77" i="13"/>
  <c r="H77" i="13" s="1"/>
  <c r="I77" i="13" s="1"/>
  <c r="J77" i="13" s="1"/>
  <c r="H83" i="34" s="1"/>
  <c r="I83" i="34" s="1"/>
  <c r="K83" i="34" s="1"/>
  <c r="F76" i="25" s="1"/>
  <c r="H264" i="34"/>
  <c r="I264" i="34" s="1"/>
  <c r="K264" i="34" s="1"/>
  <c r="F257" i="25" s="1"/>
  <c r="G260" i="13"/>
  <c r="H260" i="13" s="1"/>
  <c r="I260" i="13" s="1"/>
  <c r="J260" i="13" s="1"/>
  <c r="H266" i="34" s="1"/>
  <c r="I266" i="34" s="1"/>
  <c r="K266" i="34" s="1"/>
  <c r="F259" i="25" s="1"/>
  <c r="H272" i="34"/>
  <c r="I272" i="34" s="1"/>
  <c r="K272" i="34" s="1"/>
  <c r="F265" i="25" s="1"/>
  <c r="H297" i="34"/>
  <c r="I297" i="34" s="1"/>
  <c r="K297" i="34" s="1"/>
  <c r="F290" i="25" s="1"/>
  <c r="H146" i="34"/>
  <c r="I146" i="34" s="1"/>
  <c r="K146" i="34" s="1"/>
  <c r="F139" i="25" s="1"/>
  <c r="G157" i="13"/>
  <c r="H157" i="13" s="1"/>
  <c r="I157" i="13" s="1"/>
  <c r="J157" i="13" s="1"/>
  <c r="H163" i="34" s="1"/>
  <c r="I163" i="34" s="1"/>
  <c r="K163" i="34" s="1"/>
  <c r="F156" i="25" s="1"/>
  <c r="H200" i="34"/>
  <c r="I200" i="34" s="1"/>
  <c r="K200" i="34" s="1"/>
  <c r="F193" i="25" s="1"/>
  <c r="H138" i="34"/>
  <c r="I138" i="34" s="1"/>
  <c r="K138" i="34" s="1"/>
  <c r="F131" i="25" s="1"/>
  <c r="G6" i="13"/>
  <c r="H6" i="13" s="1"/>
  <c r="I6" i="13" s="1"/>
  <c r="J6" i="13" s="1"/>
  <c r="H35" i="34"/>
  <c r="I35" i="34" s="1"/>
  <c r="K35" i="34" s="1"/>
  <c r="F28" i="25" s="1"/>
  <c r="H174" i="34"/>
  <c r="I174" i="34" s="1"/>
  <c r="K174" i="34" s="1"/>
  <c r="F167" i="25" s="1"/>
  <c r="G275" i="13"/>
  <c r="H275" i="13" s="1"/>
  <c r="I275" i="13" s="1"/>
  <c r="J275" i="13" s="1"/>
  <c r="H281" i="34" s="1"/>
  <c r="I281" i="34" s="1"/>
  <c r="K281" i="34" s="1"/>
  <c r="F274" i="25" s="1"/>
  <c r="H91" i="34"/>
  <c r="I91" i="34" s="1"/>
  <c r="K91" i="34" s="1"/>
  <c r="F84" i="25" s="1"/>
  <c r="H122" i="34"/>
  <c r="I122" i="34" s="1"/>
  <c r="K122" i="34" s="1"/>
  <c r="F115" i="25" s="1"/>
  <c r="H173" i="34"/>
  <c r="I173" i="34" s="1"/>
  <c r="K173" i="34" s="1"/>
  <c r="F166" i="25" s="1"/>
  <c r="I306" i="39" l="1"/>
  <c r="G306" i="13" s="1"/>
  <c r="H306" i="13" s="1"/>
  <c r="G59" i="13"/>
  <c r="H59" i="13" s="1"/>
  <c r="I59" i="13" s="1"/>
  <c r="J59" i="13" s="1"/>
  <c r="E35" i="48" s="1"/>
  <c r="I122" i="25"/>
  <c r="G123" i="54"/>
  <c r="H123" i="54" s="1"/>
  <c r="I221" i="25"/>
  <c r="G222" i="54"/>
  <c r="H222" i="54" s="1"/>
  <c r="I183" i="25"/>
  <c r="G184" i="54"/>
  <c r="H184" i="54" s="1"/>
  <c r="I274" i="25"/>
  <c r="G275" i="54"/>
  <c r="H275" i="54" s="1"/>
  <c r="I197" i="25"/>
  <c r="G198" i="54"/>
  <c r="H198" i="54" s="1"/>
  <c r="I76" i="25"/>
  <c r="G77" i="54"/>
  <c r="H77" i="54" s="1"/>
  <c r="I48" i="25"/>
  <c r="G49" i="54"/>
  <c r="H49" i="54" s="1"/>
  <c r="I54" i="25"/>
  <c r="G55" i="54"/>
  <c r="H55" i="54" s="1"/>
  <c r="I212" i="25"/>
  <c r="G213" i="54"/>
  <c r="H213" i="54" s="1"/>
  <c r="I196" i="25"/>
  <c r="G197" i="54"/>
  <c r="H197" i="54" s="1"/>
  <c r="I156" i="25"/>
  <c r="G157" i="54"/>
  <c r="H157" i="54" s="1"/>
  <c r="I114" i="25"/>
  <c r="G115" i="54"/>
  <c r="H115" i="54" s="1"/>
  <c r="I64" i="25"/>
  <c r="G65" i="54"/>
  <c r="H65" i="54" s="1"/>
  <c r="I298" i="25"/>
  <c r="G299" i="54"/>
  <c r="H299" i="54" s="1"/>
  <c r="I7" i="25"/>
  <c r="G8" i="54"/>
  <c r="H8" i="54" s="1"/>
  <c r="I259" i="25"/>
  <c r="G260" i="54"/>
  <c r="H260" i="54" s="1"/>
  <c r="I214" i="25"/>
  <c r="G215" i="54"/>
  <c r="H215" i="54" s="1"/>
  <c r="I138" i="25"/>
  <c r="G139" i="54"/>
  <c r="H139" i="54" s="1"/>
  <c r="I167" i="25"/>
  <c r="G168" i="54"/>
  <c r="H168" i="54" s="1"/>
  <c r="I263" i="25"/>
  <c r="G264" i="54"/>
  <c r="H264" i="54" s="1"/>
  <c r="I110" i="25"/>
  <c r="G111" i="54"/>
  <c r="H111" i="54" s="1"/>
  <c r="I171" i="25"/>
  <c r="G172" i="54"/>
  <c r="H172" i="54" s="1"/>
  <c r="I140" i="25"/>
  <c r="G141" i="54"/>
  <c r="H141" i="54" s="1"/>
  <c r="I281" i="25"/>
  <c r="G282" i="54"/>
  <c r="H282" i="54" s="1"/>
  <c r="I173" i="25"/>
  <c r="G174" i="54"/>
  <c r="H174" i="54" s="1"/>
  <c r="I102" i="25"/>
  <c r="G103" i="54"/>
  <c r="H103" i="54" s="1"/>
  <c r="I135" i="25"/>
  <c r="G136" i="54"/>
  <c r="H136" i="54" s="1"/>
  <c r="I260" i="25"/>
  <c r="G261" i="54"/>
  <c r="H261" i="54" s="1"/>
  <c r="I142" i="25"/>
  <c r="G143" i="54"/>
  <c r="H143" i="54" s="1"/>
  <c r="I200" i="25"/>
  <c r="G201" i="54"/>
  <c r="H201" i="54" s="1"/>
  <c r="I191" i="25"/>
  <c r="G192" i="54"/>
  <c r="H192" i="54" s="1"/>
  <c r="I96" i="25"/>
  <c r="G97" i="54"/>
  <c r="H97" i="54" s="1"/>
  <c r="I137" i="25"/>
  <c r="G138" i="54"/>
  <c r="H138" i="54" s="1"/>
  <c r="I244" i="25"/>
  <c r="G245" i="54"/>
  <c r="H245" i="54" s="1"/>
  <c r="I23" i="25"/>
  <c r="G24" i="54"/>
  <c r="H24" i="54" s="1"/>
  <c r="I187" i="25"/>
  <c r="G188" i="54"/>
  <c r="H188" i="54" s="1"/>
  <c r="I184" i="25"/>
  <c r="G185" i="54"/>
  <c r="H185" i="54" s="1"/>
  <c r="I249" i="25"/>
  <c r="G250" i="54"/>
  <c r="H250" i="54" s="1"/>
  <c r="I25" i="25"/>
  <c r="G26" i="54"/>
  <c r="H26" i="54" s="1"/>
  <c r="I254" i="25"/>
  <c r="G255" i="54"/>
  <c r="H255" i="54" s="1"/>
  <c r="I242" i="25"/>
  <c r="G243" i="54"/>
  <c r="H243" i="54" s="1"/>
  <c r="I125" i="25"/>
  <c r="G126" i="54"/>
  <c r="H126" i="54" s="1"/>
  <c r="I148" i="25"/>
  <c r="G149" i="54"/>
  <c r="H149" i="54" s="1"/>
  <c r="I220" i="25"/>
  <c r="G221" i="54"/>
  <c r="H221" i="54" s="1"/>
  <c r="I143" i="25"/>
  <c r="G144" i="54"/>
  <c r="H144" i="54" s="1"/>
  <c r="I149" i="25"/>
  <c r="G150" i="54"/>
  <c r="H150" i="54" s="1"/>
  <c r="G105" i="54"/>
  <c r="H105" i="54" s="1"/>
  <c r="I104" i="25"/>
  <c r="G203" i="54"/>
  <c r="H203" i="54" s="1"/>
  <c r="I202" i="25"/>
  <c r="I85" i="25"/>
  <c r="G86" i="54"/>
  <c r="H86" i="54" s="1"/>
  <c r="I204" i="25"/>
  <c r="G205" i="54"/>
  <c r="H205" i="54" s="1"/>
  <c r="I80" i="25"/>
  <c r="G81" i="54"/>
  <c r="H81" i="54" s="1"/>
  <c r="I28" i="25"/>
  <c r="G29" i="54"/>
  <c r="H29" i="54" s="1"/>
  <c r="I139" i="25"/>
  <c r="G140" i="54"/>
  <c r="H140" i="54" s="1"/>
  <c r="I280" i="25"/>
  <c r="G281" i="54"/>
  <c r="H281" i="54" s="1"/>
  <c r="I294" i="25"/>
  <c r="G295" i="54"/>
  <c r="H295" i="54" s="1"/>
  <c r="I111" i="25"/>
  <c r="G112" i="54"/>
  <c r="H112" i="54" s="1"/>
  <c r="I141" i="25"/>
  <c r="G142" i="54"/>
  <c r="H142" i="54" s="1"/>
  <c r="I177" i="25"/>
  <c r="G178" i="54"/>
  <c r="H178" i="54" s="1"/>
  <c r="I8" i="25"/>
  <c r="G9" i="54"/>
  <c r="H9" i="54" s="1"/>
  <c r="I180" i="25"/>
  <c r="G181" i="54"/>
  <c r="H181" i="54" s="1"/>
  <c r="I169" i="25"/>
  <c r="G170" i="54"/>
  <c r="H170" i="54" s="1"/>
  <c r="I297" i="25"/>
  <c r="G298" i="54"/>
  <c r="H298" i="54" s="1"/>
  <c r="H12" i="34"/>
  <c r="I224" i="25"/>
  <c r="G225" i="54"/>
  <c r="H225" i="54" s="1"/>
  <c r="I195" i="25"/>
  <c r="G196" i="54"/>
  <c r="H196" i="54" s="1"/>
  <c r="G91" i="54"/>
  <c r="H91" i="54" s="1"/>
  <c r="I90" i="25"/>
  <c r="I112" i="25"/>
  <c r="G113" i="54"/>
  <c r="H113" i="54" s="1"/>
  <c r="I45" i="25"/>
  <c r="G46" i="54"/>
  <c r="H46" i="54" s="1"/>
  <c r="I272" i="25"/>
  <c r="G273" i="54"/>
  <c r="H273" i="54" s="1"/>
  <c r="I291" i="25"/>
  <c r="G292" i="54"/>
  <c r="H292" i="54" s="1"/>
  <c r="I71" i="25"/>
  <c r="G72" i="54"/>
  <c r="H72" i="54" s="1"/>
  <c r="I175" i="25"/>
  <c r="G176" i="54"/>
  <c r="H176" i="54" s="1"/>
  <c r="I239" i="25"/>
  <c r="G240" i="54"/>
  <c r="H240" i="54" s="1"/>
  <c r="I89" i="25"/>
  <c r="G90" i="54"/>
  <c r="H90" i="54" s="1"/>
  <c r="G173" i="54"/>
  <c r="H173" i="54" s="1"/>
  <c r="I172" i="25"/>
  <c r="I279" i="25"/>
  <c r="G280" i="54"/>
  <c r="H280" i="54" s="1"/>
  <c r="I211" i="25"/>
  <c r="G212" i="54"/>
  <c r="H212" i="54" s="1"/>
  <c r="I68" i="25"/>
  <c r="G69" i="54"/>
  <c r="H69" i="54" s="1"/>
  <c r="I153" i="25"/>
  <c r="G154" i="54"/>
  <c r="H154" i="54" s="1"/>
  <c r="I93" i="25"/>
  <c r="G94" i="54"/>
  <c r="H94" i="54" s="1"/>
  <c r="I165" i="25"/>
  <c r="G166" i="54"/>
  <c r="H166" i="54" s="1"/>
  <c r="I208" i="25"/>
  <c r="G209" i="54"/>
  <c r="H209" i="54" s="1"/>
  <c r="I46" i="25"/>
  <c r="G47" i="54"/>
  <c r="H47" i="54" s="1"/>
  <c r="I97" i="25"/>
  <c r="G98" i="54"/>
  <c r="H98" i="54" s="1"/>
  <c r="I245" i="25"/>
  <c r="G246" i="54"/>
  <c r="H246" i="54" s="1"/>
  <c r="I218" i="25"/>
  <c r="G219" i="54"/>
  <c r="H219" i="54" s="1"/>
  <c r="I136" i="25"/>
  <c r="G137" i="54"/>
  <c r="H137" i="54" s="1"/>
  <c r="I95" i="25"/>
  <c r="G96" i="54"/>
  <c r="H96" i="54" s="1"/>
  <c r="I206" i="25"/>
  <c r="G207" i="54"/>
  <c r="H207" i="54" s="1"/>
  <c r="I24" i="25"/>
  <c r="G25" i="54"/>
  <c r="H25" i="54" s="1"/>
  <c r="I44" i="25"/>
  <c r="G45" i="54"/>
  <c r="H45" i="54" s="1"/>
  <c r="I113" i="25"/>
  <c r="G114" i="54"/>
  <c r="H114" i="54" s="1"/>
  <c r="I189" i="25"/>
  <c r="G190" i="54"/>
  <c r="H190" i="54" s="1"/>
  <c r="I176" i="25"/>
  <c r="G177" i="54"/>
  <c r="H177" i="54" s="1"/>
  <c r="I32" i="25"/>
  <c r="G33" i="54"/>
  <c r="H33" i="54" s="1"/>
  <c r="I86" i="25"/>
  <c r="G87" i="54"/>
  <c r="H87" i="54" s="1"/>
  <c r="I154" i="25"/>
  <c r="G155" i="54"/>
  <c r="H155" i="54" s="1"/>
  <c r="I238" i="25"/>
  <c r="G239" i="54"/>
  <c r="H239" i="54" s="1"/>
  <c r="I222" i="25"/>
  <c r="G223" i="54"/>
  <c r="H223" i="54" s="1"/>
  <c r="I116" i="25"/>
  <c r="G117" i="54"/>
  <c r="H117" i="54" s="1"/>
  <c r="I91" i="25"/>
  <c r="G92" i="54"/>
  <c r="H92" i="54" s="1"/>
  <c r="I209" i="25"/>
  <c r="G210" i="54"/>
  <c r="H210" i="54" s="1"/>
  <c r="I267" i="25"/>
  <c r="G268" i="54"/>
  <c r="H268" i="54" s="1"/>
  <c r="I250" i="25"/>
  <c r="G251" i="54"/>
  <c r="H251" i="54" s="1"/>
  <c r="I82" i="25"/>
  <c r="G83" i="54"/>
  <c r="H83" i="54" s="1"/>
  <c r="I22" i="25"/>
  <c r="G23" i="54"/>
  <c r="H23" i="54" s="1"/>
  <c r="I283" i="25"/>
  <c r="G284" i="54"/>
  <c r="H284" i="54" s="1"/>
  <c r="I117" i="25"/>
  <c r="G118" i="54"/>
  <c r="H118" i="54" s="1"/>
  <c r="I181" i="25"/>
  <c r="G182" i="54"/>
  <c r="H182" i="54" s="1"/>
  <c r="G148" i="54"/>
  <c r="H148" i="54" s="1"/>
  <c r="I147" i="25"/>
  <c r="I284" i="25"/>
  <c r="G285" i="54"/>
  <c r="H285" i="54" s="1"/>
  <c r="I127" i="25"/>
  <c r="G128" i="54"/>
  <c r="H128" i="54" s="1"/>
  <c r="I101" i="25"/>
  <c r="G102" i="54"/>
  <c r="H102" i="54" s="1"/>
  <c r="I67" i="25"/>
  <c r="G68" i="54"/>
  <c r="H68" i="54" s="1"/>
  <c r="I124" i="25"/>
  <c r="G125" i="54"/>
  <c r="H125" i="54" s="1"/>
  <c r="I39" i="25"/>
  <c r="G40" i="54"/>
  <c r="H40" i="54" s="1"/>
  <c r="I98" i="25"/>
  <c r="G99" i="54"/>
  <c r="H99" i="54" s="1"/>
  <c r="I241" i="25"/>
  <c r="G242" i="54"/>
  <c r="H242" i="54" s="1"/>
  <c r="G291" i="54"/>
  <c r="H291" i="54" s="1"/>
  <c r="I290" i="25"/>
  <c r="I13" i="25"/>
  <c r="G14" i="54"/>
  <c r="H14" i="54" s="1"/>
  <c r="I11" i="25"/>
  <c r="G12" i="54"/>
  <c r="H12" i="54" s="1"/>
  <c r="I88" i="25"/>
  <c r="G89" i="54"/>
  <c r="H89" i="54" s="1"/>
  <c r="I192" i="25"/>
  <c r="G193" i="54"/>
  <c r="H193" i="54" s="1"/>
  <c r="I303" i="25"/>
  <c r="G304" i="54"/>
  <c r="H304" i="54" s="1"/>
  <c r="I258" i="25"/>
  <c r="G259" i="54"/>
  <c r="H259" i="54" s="1"/>
  <c r="I53" i="25"/>
  <c r="G54" i="54"/>
  <c r="H54" i="54" s="1"/>
  <c r="I228" i="25"/>
  <c r="G229" i="54"/>
  <c r="H229" i="54" s="1"/>
  <c r="I123" i="25"/>
  <c r="G124" i="54"/>
  <c r="H124" i="54" s="1"/>
  <c r="I120" i="25"/>
  <c r="G121" i="54"/>
  <c r="H121" i="54" s="1"/>
  <c r="I87" i="25"/>
  <c r="G88" i="54"/>
  <c r="H88" i="54" s="1"/>
  <c r="I226" i="25"/>
  <c r="G227" i="54"/>
  <c r="H227" i="54" s="1"/>
  <c r="I205" i="25"/>
  <c r="G206" i="54"/>
  <c r="H206" i="54" s="1"/>
  <c r="I6" i="25"/>
  <c r="G7" i="54"/>
  <c r="H7" i="54" s="1"/>
  <c r="I15" i="25"/>
  <c r="G16" i="54"/>
  <c r="H16" i="54" s="1"/>
  <c r="I12" i="25"/>
  <c r="G13" i="54"/>
  <c r="H13" i="54" s="1"/>
  <c r="I179" i="25"/>
  <c r="G180" i="54"/>
  <c r="H180" i="54" s="1"/>
  <c r="I33" i="25"/>
  <c r="G34" i="54"/>
  <c r="H34" i="54" s="1"/>
  <c r="I304" i="25"/>
  <c r="G305" i="54"/>
  <c r="H305" i="54" s="1"/>
  <c r="I94" i="25"/>
  <c r="G95" i="54"/>
  <c r="H95" i="54" s="1"/>
  <c r="I118" i="25"/>
  <c r="G119" i="54"/>
  <c r="H119" i="54" s="1"/>
  <c r="I162" i="25"/>
  <c r="G163" i="54"/>
  <c r="H163" i="54" s="1"/>
  <c r="I275" i="25"/>
  <c r="G276" i="54"/>
  <c r="H276" i="54" s="1"/>
  <c r="I178" i="25"/>
  <c r="G179" i="54"/>
  <c r="H179" i="54" s="1"/>
  <c r="I285" i="25"/>
  <c r="G286" i="54"/>
  <c r="H286" i="54" s="1"/>
  <c r="I126" i="25"/>
  <c r="G127" i="54"/>
  <c r="H127" i="54" s="1"/>
  <c r="G58" i="54"/>
  <c r="H58" i="54" s="1"/>
  <c r="I57" i="25"/>
  <c r="I78" i="25"/>
  <c r="G79" i="54"/>
  <c r="H79" i="54" s="1"/>
  <c r="I73" i="25"/>
  <c r="G74" i="54"/>
  <c r="H74" i="54" s="1"/>
  <c r="I198" i="25"/>
  <c r="G199" i="54"/>
  <c r="H199" i="54" s="1"/>
  <c r="I31" i="25"/>
  <c r="G32" i="54"/>
  <c r="H32" i="54" s="1"/>
  <c r="I265" i="25"/>
  <c r="G266" i="54"/>
  <c r="H266" i="54" s="1"/>
  <c r="I133" i="25"/>
  <c r="G134" i="54"/>
  <c r="H134" i="54" s="1"/>
  <c r="I166" i="25"/>
  <c r="G167" i="54"/>
  <c r="H167" i="54" s="1"/>
  <c r="I185" i="25"/>
  <c r="G186" i="54"/>
  <c r="H186" i="54" s="1"/>
  <c r="I152" i="25"/>
  <c r="G153" i="54"/>
  <c r="H153" i="54" s="1"/>
  <c r="I42" i="25"/>
  <c r="G43" i="54"/>
  <c r="H43" i="54" s="1"/>
  <c r="I287" i="25"/>
  <c r="G288" i="54"/>
  <c r="H288" i="54" s="1"/>
  <c r="I256" i="25"/>
  <c r="G257" i="54"/>
  <c r="H257" i="54" s="1"/>
  <c r="I215" i="25"/>
  <c r="G216" i="54"/>
  <c r="H216" i="54" s="1"/>
  <c r="I252" i="25"/>
  <c r="G253" i="54"/>
  <c r="H253" i="54" s="1"/>
  <c r="I52" i="25"/>
  <c r="G53" i="54"/>
  <c r="H53" i="54" s="1"/>
  <c r="I18" i="25"/>
  <c r="G19" i="54"/>
  <c r="H19" i="54" s="1"/>
  <c r="I168" i="25"/>
  <c r="G169" i="54"/>
  <c r="H169" i="54" s="1"/>
  <c r="I56" i="25"/>
  <c r="G57" i="54"/>
  <c r="H57" i="54" s="1"/>
  <c r="I248" i="25"/>
  <c r="G249" i="54"/>
  <c r="H249" i="54" s="1"/>
  <c r="I282" i="25"/>
  <c r="G283" i="54"/>
  <c r="H283" i="54" s="1"/>
  <c r="G274" i="54"/>
  <c r="H274" i="54" s="1"/>
  <c r="I273" i="25"/>
  <c r="I296" i="25"/>
  <c r="G297" i="54"/>
  <c r="H297" i="54" s="1"/>
  <c r="I105" i="25"/>
  <c r="G106" i="54"/>
  <c r="H106" i="54" s="1"/>
  <c r="I38" i="25"/>
  <c r="G39" i="54"/>
  <c r="H39" i="54" s="1"/>
  <c r="G27" i="54"/>
  <c r="H27" i="54" s="1"/>
  <c r="I26" i="25"/>
  <c r="I231" i="25"/>
  <c r="G232" i="54"/>
  <c r="H232" i="54" s="1"/>
  <c r="I130" i="25"/>
  <c r="G131" i="54"/>
  <c r="H131" i="54" s="1"/>
  <c r="E33" i="48"/>
  <c r="I74" i="25"/>
  <c r="G75" i="54"/>
  <c r="H75" i="54" s="1"/>
  <c r="I100" i="25"/>
  <c r="G101" i="54"/>
  <c r="H101" i="54" s="1"/>
  <c r="I81" i="25"/>
  <c r="G82" i="54"/>
  <c r="H82" i="54" s="1"/>
  <c r="G238" i="54"/>
  <c r="H238" i="54" s="1"/>
  <c r="I237" i="25"/>
  <c r="I109" i="25"/>
  <c r="G110" i="54"/>
  <c r="H110" i="54" s="1"/>
  <c r="I210" i="25"/>
  <c r="G211" i="54"/>
  <c r="H211" i="54" s="1"/>
  <c r="I262" i="25"/>
  <c r="G263" i="54"/>
  <c r="H263" i="54" s="1"/>
  <c r="I186" i="25"/>
  <c r="G187" i="54"/>
  <c r="H187" i="54" s="1"/>
  <c r="I40" i="25"/>
  <c r="G41" i="54"/>
  <c r="H41" i="54" s="1"/>
  <c r="G60" i="54"/>
  <c r="H60" i="54" s="1"/>
  <c r="I59" i="25"/>
  <c r="I70" i="25"/>
  <c r="G71" i="54"/>
  <c r="H71" i="54" s="1"/>
  <c r="I72" i="25"/>
  <c r="G73" i="54"/>
  <c r="H73" i="54" s="1"/>
  <c r="I65" i="25"/>
  <c r="G66" i="54"/>
  <c r="H66" i="54" s="1"/>
  <c r="I288" i="25"/>
  <c r="G289" i="54"/>
  <c r="H289" i="54" s="1"/>
  <c r="I255" i="25"/>
  <c r="G256" i="54"/>
  <c r="H256" i="54" s="1"/>
  <c r="I293" i="25"/>
  <c r="G294" i="54"/>
  <c r="H294" i="54" s="1"/>
  <c r="I257" i="25"/>
  <c r="G258" i="54"/>
  <c r="H258" i="54" s="1"/>
  <c r="G301" i="54"/>
  <c r="H301" i="54" s="1"/>
  <c r="I300" i="25"/>
  <c r="I17" i="25"/>
  <c r="G18" i="54"/>
  <c r="H18" i="54" s="1"/>
  <c r="I261" i="25"/>
  <c r="G262" i="54"/>
  <c r="H262" i="54" s="1"/>
  <c r="I121" i="25"/>
  <c r="G122" i="54"/>
  <c r="H122" i="54" s="1"/>
  <c r="I92" i="25"/>
  <c r="G93" i="54"/>
  <c r="H93" i="54" s="1"/>
  <c r="I66" i="25"/>
  <c r="G67" i="54"/>
  <c r="H67" i="54" s="1"/>
  <c r="I106" i="25"/>
  <c r="G107" i="54"/>
  <c r="H107" i="54" s="1"/>
  <c r="I55" i="25"/>
  <c r="G56" i="54"/>
  <c r="H56" i="54" s="1"/>
  <c r="I99" i="25"/>
  <c r="G100" i="54"/>
  <c r="H100" i="54" s="1"/>
  <c r="I292" i="25"/>
  <c r="G293" i="54"/>
  <c r="H293" i="54" s="1"/>
  <c r="I69" i="25"/>
  <c r="G70" i="54"/>
  <c r="H70" i="54" s="1"/>
  <c r="I266" i="25"/>
  <c r="G267" i="54"/>
  <c r="H267" i="54" s="1"/>
  <c r="I302" i="25"/>
  <c r="G303" i="54"/>
  <c r="H303" i="54" s="1"/>
  <c r="I174" i="25"/>
  <c r="G175" i="54"/>
  <c r="H175" i="54" s="1"/>
  <c r="I155" i="25"/>
  <c r="G156" i="54"/>
  <c r="H156" i="54" s="1"/>
  <c r="I50" i="25"/>
  <c r="G51" i="54"/>
  <c r="H51" i="54" s="1"/>
  <c r="I278" i="25"/>
  <c r="G279" i="54"/>
  <c r="H279" i="54" s="1"/>
  <c r="I36" i="25"/>
  <c r="G37" i="54"/>
  <c r="H37" i="54" s="1"/>
  <c r="G11" i="54"/>
  <c r="H11" i="54" s="1"/>
  <c r="I10" i="25"/>
  <c r="I269" i="25"/>
  <c r="G270" i="54"/>
  <c r="H270" i="54" s="1"/>
  <c r="I51" i="25"/>
  <c r="G52" i="54"/>
  <c r="H52" i="54" s="1"/>
  <c r="I223" i="25"/>
  <c r="G224" i="54"/>
  <c r="H224" i="54" s="1"/>
  <c r="I276" i="25"/>
  <c r="G277" i="54"/>
  <c r="H277" i="54" s="1"/>
  <c r="I240" i="25"/>
  <c r="G241" i="54"/>
  <c r="H241" i="54" s="1"/>
  <c r="G302" i="54"/>
  <c r="H302" i="54" s="1"/>
  <c r="I301" i="25"/>
  <c r="I119" i="25"/>
  <c r="G120" i="54"/>
  <c r="H120" i="54" s="1"/>
  <c r="G214" i="54"/>
  <c r="H214" i="54" s="1"/>
  <c r="I213" i="25"/>
  <c r="I159" i="25"/>
  <c r="G160" i="54"/>
  <c r="H160" i="54" s="1"/>
  <c r="I246" i="25"/>
  <c r="G247" i="54"/>
  <c r="H247" i="54" s="1"/>
  <c r="I234" i="25"/>
  <c r="G235" i="54"/>
  <c r="H235" i="54" s="1"/>
  <c r="I129" i="25"/>
  <c r="G130" i="54"/>
  <c r="H130" i="54" s="1"/>
  <c r="G226" i="54"/>
  <c r="H226" i="54" s="1"/>
  <c r="I225" i="25"/>
  <c r="I144" i="25"/>
  <c r="G145" i="54"/>
  <c r="H145" i="54" s="1"/>
  <c r="G132" i="54"/>
  <c r="H132" i="54" s="1"/>
  <c r="I131" i="25"/>
  <c r="I230" i="25"/>
  <c r="G231" i="54"/>
  <c r="H231" i="54" s="1"/>
  <c r="I115" i="25"/>
  <c r="G116" i="54"/>
  <c r="H116" i="54" s="1"/>
  <c r="I193" i="25"/>
  <c r="G194" i="54"/>
  <c r="H194" i="54" s="1"/>
  <c r="I299" i="25"/>
  <c r="G300" i="54"/>
  <c r="H300" i="54" s="1"/>
  <c r="I20" i="25"/>
  <c r="G21" i="54"/>
  <c r="H21" i="54" s="1"/>
  <c r="I236" i="25"/>
  <c r="G237" i="54"/>
  <c r="H237" i="54" s="1"/>
  <c r="I233" i="25"/>
  <c r="G234" i="54"/>
  <c r="H234" i="54" s="1"/>
  <c r="I63" i="25"/>
  <c r="G64" i="54"/>
  <c r="H64" i="54" s="1"/>
  <c r="I29" i="25"/>
  <c r="G30" i="54"/>
  <c r="H30" i="54" s="1"/>
  <c r="I201" i="25"/>
  <c r="G202" i="54"/>
  <c r="H202" i="54" s="1"/>
  <c r="I190" i="25"/>
  <c r="G191" i="54"/>
  <c r="H191" i="54" s="1"/>
  <c r="I145" i="25"/>
  <c r="G146" i="54"/>
  <c r="H146" i="54" s="1"/>
  <c r="I34" i="25"/>
  <c r="G35" i="54"/>
  <c r="H35" i="54" s="1"/>
  <c r="I83" i="25"/>
  <c r="G84" i="54"/>
  <c r="H84" i="54" s="1"/>
  <c r="I286" i="25"/>
  <c r="G287" i="54"/>
  <c r="H287" i="54" s="1"/>
  <c r="I30" i="25"/>
  <c r="G31" i="54"/>
  <c r="H31" i="54" s="1"/>
  <c r="I170" i="25"/>
  <c r="G171" i="54"/>
  <c r="H171" i="54" s="1"/>
  <c r="I61" i="25"/>
  <c r="G62" i="54"/>
  <c r="H62" i="54" s="1"/>
  <c r="G271" i="54"/>
  <c r="H271" i="54" s="1"/>
  <c r="I270" i="25"/>
  <c r="I60" i="25"/>
  <c r="G61" i="54"/>
  <c r="H61" i="54" s="1"/>
  <c r="I134" i="25"/>
  <c r="G135" i="54"/>
  <c r="H135" i="54" s="1"/>
  <c r="I37" i="25"/>
  <c r="G38" i="54"/>
  <c r="H38" i="54" s="1"/>
  <c r="I49" i="25"/>
  <c r="G50" i="54"/>
  <c r="H50" i="54" s="1"/>
  <c r="I194" i="25"/>
  <c r="G195" i="54"/>
  <c r="H195" i="54" s="1"/>
  <c r="I207" i="25"/>
  <c r="G208" i="54"/>
  <c r="H208" i="54" s="1"/>
  <c r="I219" i="25"/>
  <c r="G220" i="54"/>
  <c r="H220" i="54" s="1"/>
  <c r="I253" i="25"/>
  <c r="G254" i="54"/>
  <c r="H254" i="54" s="1"/>
  <c r="I235" i="25"/>
  <c r="G236" i="54"/>
  <c r="H236" i="54" s="1"/>
  <c r="I203" i="25"/>
  <c r="G204" i="54"/>
  <c r="H204" i="54" s="1"/>
  <c r="I14" i="25"/>
  <c r="G15" i="54"/>
  <c r="H15" i="54" s="1"/>
  <c r="I268" i="25"/>
  <c r="G269" i="54"/>
  <c r="H269" i="54" s="1"/>
  <c r="G80" i="54"/>
  <c r="H80" i="54" s="1"/>
  <c r="I79" i="25"/>
  <c r="I264" i="25"/>
  <c r="G265" i="54"/>
  <c r="H265" i="54" s="1"/>
  <c r="I188" i="25"/>
  <c r="G189" i="54"/>
  <c r="H189" i="54" s="1"/>
  <c r="I43" i="25"/>
  <c r="G44" i="54"/>
  <c r="H44" i="54" s="1"/>
  <c r="I146" i="25"/>
  <c r="G147" i="54"/>
  <c r="H147" i="54" s="1"/>
  <c r="I271" i="25"/>
  <c r="G272" i="54"/>
  <c r="H272" i="54" s="1"/>
  <c r="I247" i="25"/>
  <c r="G248" i="54"/>
  <c r="H248" i="54" s="1"/>
  <c r="I232" i="25"/>
  <c r="G233" i="54"/>
  <c r="H233" i="54" s="1"/>
  <c r="I84" i="25"/>
  <c r="G85" i="54"/>
  <c r="H85" i="54" s="1"/>
  <c r="I128" i="25"/>
  <c r="G129" i="54"/>
  <c r="H129" i="54" s="1"/>
  <c r="I107" i="25"/>
  <c r="G108" i="54"/>
  <c r="H108" i="54" s="1"/>
  <c r="G183" i="54"/>
  <c r="H183" i="54" s="1"/>
  <c r="I182" i="25"/>
  <c r="I19" i="25"/>
  <c r="G20" i="54"/>
  <c r="H20" i="54" s="1"/>
  <c r="I62" i="25"/>
  <c r="G63" i="54"/>
  <c r="H63" i="54" s="1"/>
  <c r="I158" i="25"/>
  <c r="G159" i="54"/>
  <c r="H159" i="54" s="1"/>
  <c r="I77" i="25"/>
  <c r="G78" i="54"/>
  <c r="H78" i="54" s="1"/>
  <c r="I41" i="25"/>
  <c r="G42" i="54"/>
  <c r="H42" i="54" s="1"/>
  <c r="I21" i="25"/>
  <c r="G22" i="54"/>
  <c r="H22" i="54" s="1"/>
  <c r="G36" i="54"/>
  <c r="H36" i="54" s="1"/>
  <c r="I35" i="25"/>
  <c r="G296" i="54"/>
  <c r="H296" i="54" s="1"/>
  <c r="I295" i="25"/>
  <c r="I16" i="25"/>
  <c r="G17" i="54"/>
  <c r="H17" i="54" s="1"/>
  <c r="I75" i="25"/>
  <c r="G76" i="54"/>
  <c r="H76" i="54" s="1"/>
  <c r="I227" i="25"/>
  <c r="G228" i="54"/>
  <c r="H228" i="54" s="1"/>
  <c r="I157" i="25"/>
  <c r="G158" i="54"/>
  <c r="H158" i="54" s="1"/>
  <c r="I151" i="25"/>
  <c r="G152" i="54"/>
  <c r="H152" i="54" s="1"/>
  <c r="I103" i="25"/>
  <c r="G104" i="54"/>
  <c r="H104" i="54" s="1"/>
  <c r="I229" i="25"/>
  <c r="G230" i="54"/>
  <c r="H230" i="54" s="1"/>
  <c r="I164" i="25"/>
  <c r="G165" i="54"/>
  <c r="H165" i="54" s="1"/>
  <c r="I27" i="25"/>
  <c r="G28" i="54"/>
  <c r="H28" i="54" s="1"/>
  <c r="I9" i="25"/>
  <c r="G10" i="54"/>
  <c r="H10" i="54" s="1"/>
  <c r="I199" i="25"/>
  <c r="G200" i="54"/>
  <c r="H200" i="54" s="1"/>
  <c r="I161" i="25"/>
  <c r="G162" i="54"/>
  <c r="H162" i="54" s="1"/>
  <c r="G151" i="54"/>
  <c r="H151" i="54" s="1"/>
  <c r="I150" i="25"/>
  <c r="I217" i="25"/>
  <c r="G218" i="54"/>
  <c r="H218" i="54" s="1"/>
  <c r="I132" i="25"/>
  <c r="G133" i="54"/>
  <c r="H133" i="54" s="1"/>
  <c r="G161" i="54"/>
  <c r="H161" i="54" s="1"/>
  <c r="I160" i="25"/>
  <c r="I243" i="25"/>
  <c r="G244" i="54"/>
  <c r="H244" i="54" s="1"/>
  <c r="I108" i="25"/>
  <c r="G109" i="54"/>
  <c r="H109" i="54" s="1"/>
  <c r="I163" i="25"/>
  <c r="G164" i="54"/>
  <c r="H164" i="54" s="1"/>
  <c r="I251" i="25"/>
  <c r="G252" i="54"/>
  <c r="H252" i="54" s="1"/>
  <c r="I289" i="25"/>
  <c r="G290" i="54"/>
  <c r="H290" i="54" s="1"/>
  <c r="I216" i="25"/>
  <c r="G217" i="54"/>
  <c r="H217" i="54" s="1"/>
  <c r="I47" i="25"/>
  <c r="G48" i="54"/>
  <c r="H48" i="54" s="1"/>
  <c r="H65" i="34" l="1"/>
  <c r="I65" i="34" s="1"/>
  <c r="K65" i="34" s="1"/>
  <c r="F58" i="25" s="1"/>
  <c r="G59" i="54" s="1"/>
  <c r="F35" i="48"/>
  <c r="F40" i="48" s="1"/>
  <c r="F47" i="48" s="1"/>
  <c r="F58" i="48" s="1"/>
  <c r="J306" i="13"/>
  <c r="I12" i="34"/>
  <c r="K12" i="34" s="1"/>
  <c r="F5" i="25" l="1"/>
  <c r="G6" i="54" s="1"/>
  <c r="H312" i="34"/>
  <c r="I312" i="34" s="1"/>
  <c r="I58" i="25"/>
  <c r="E64" i="48"/>
  <c r="C64" i="48" s="1"/>
  <c r="H59" i="54"/>
  <c r="E65" i="48" s="1"/>
  <c r="C65" i="48" s="1"/>
  <c r="I5" i="25" l="1"/>
  <c r="I305" i="25" s="1"/>
  <c r="F305" i="25"/>
  <c r="D50" i="40"/>
  <c r="C50" i="40" s="1"/>
  <c r="H11" i="34"/>
  <c r="H6" i="54"/>
  <c r="H306" i="54" s="1"/>
  <c r="G306" i="54"/>
  <c r="K312" i="34"/>
  <c r="I11"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Brochet Antoine</author>
  </authors>
  <commentList>
    <comment ref="C3" authorId="0" shapeId="0" xr:uid="{55CDA886-B582-406A-8FE9-6E2C56110B9C}">
      <text>
        <r>
          <rPr>
            <sz val="9"/>
            <color indexed="81"/>
            <rFont val="Tahoma"/>
            <family val="2"/>
          </rPr>
          <t>Veuillez indiquer le nom de la commune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D4" authorId="0" shapeId="0" xr:uid="{3466735A-A832-4970-A628-0FD0BA8C5F9E}">
      <text>
        <r>
          <rPr>
            <sz val="9"/>
            <color indexed="81"/>
            <rFont val="Tahoma"/>
            <family val="2"/>
          </rPr>
          <t>Aux fins du plafond de l'aide, si une commune affiche une PCS totale inférieure à 0 (rare), la PCS sans prélèvements conjoncturels en pts d'impôt est déduite de la colonne D et la colonne E est mise à zéro.</t>
        </r>
      </text>
    </comment>
    <comment ref="H4" authorId="0" shapeId="0" xr:uid="{667F0BDB-6735-4DE4-A442-93ABA8391CEA}">
      <text>
        <r>
          <rPr>
            <sz val="9"/>
            <color indexed="81"/>
            <rFont val="Tahoma"/>
            <family val="2"/>
          </rPr>
          <t xml:space="preserve">Si l'aide péréquative en faveur d'une commune (total des montants reçus et alloués, sauf montants reçus des dépenses thématiques et les plafonds) dépasse la valeur de 8 de ses points impôt, le </t>
        </r>
        <r>
          <rPr>
            <b/>
            <sz val="9"/>
            <color indexed="81"/>
            <rFont val="Tahoma"/>
            <family val="2"/>
          </rPr>
          <t>plafond de l'aide</t>
        </r>
        <r>
          <rPr>
            <sz val="9"/>
            <color indexed="81"/>
            <rFont val="Tahoma"/>
            <family val="2"/>
          </rPr>
          <t xml:space="preserve"> lui retient un montant égal au dépassement constaté. Les montants ainsi retenus sont utilisés pour réduire les montants nécessaires à l'alimentation du système (voir onglet "vue d'ensemble"). </t>
        </r>
        <r>
          <rPr>
            <u/>
            <sz val="9"/>
            <color indexed="81"/>
            <rFont val="Tahoma"/>
            <family val="2"/>
          </rPr>
          <t>Nota bene</t>
        </r>
        <r>
          <rPr>
            <sz val="9"/>
            <color indexed="81"/>
            <rFont val="Tahoma"/>
            <family val="2"/>
          </rPr>
          <t>: à différence du plafonde l'effort, le plafond de l'aide tient compte des montants payés par les communes au titre du prélèvement sur les impôts conjoncturels en faveur du financement de la PCS.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I4" authorId="0" shapeId="0" xr:uid="{91AA6013-E2E1-4EFC-BDF8-97B63E2221EB}">
      <text>
        <r>
          <rPr>
            <sz val="9"/>
            <color indexed="81"/>
            <rFont val="Tahoma"/>
            <family val="2"/>
          </rPr>
          <t xml:space="preserve">L'effort péréquatif net de l'année précédente (hors montants reçus des dépenses thématiques et avec tous les plafonds) est déduit du taux d'imposition de la commune. Ensuite, le nouveau effort péréquatif net, cette fois tenant compte des dépenses thématiques, est ajouté au taux après déduction. Si le taux ainsi obtenu (taux projeté) dépasse le taux maximal indiqué, </t>
        </r>
        <r>
          <rPr>
            <b/>
            <sz val="9"/>
            <color indexed="81"/>
            <rFont val="Tahoma"/>
            <family val="2"/>
          </rPr>
          <t>le plafond du taux</t>
        </r>
        <r>
          <rPr>
            <sz val="9"/>
            <color indexed="81"/>
            <rFont val="Tahoma"/>
            <family val="2"/>
          </rPr>
          <t xml:space="preserve"> restitue à la commune un montant égal à l'écart constaté. Les montants restitués sont financés par l'ensemble des communes, via l'alimentation du système (voir onglet "Péréquation directe").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G4" authorId="0" shapeId="0" xr:uid="{742AA191-2F26-422D-A99A-8CDC59E21F1D}">
      <text>
        <r>
          <rPr>
            <sz val="9"/>
            <color indexed="81"/>
            <rFont val="Tahoma"/>
            <family val="2"/>
          </rPr>
          <t xml:space="preserve">Dans le cadre de la </t>
        </r>
        <r>
          <rPr>
            <b/>
            <sz val="9"/>
            <color indexed="81"/>
            <rFont val="Tahoma"/>
            <family val="2"/>
          </rPr>
          <t>réforme de l'organisation policière de 2012</t>
        </r>
        <r>
          <rPr>
            <sz val="9"/>
            <color indexed="81"/>
            <rFont val="Tahoma"/>
            <family val="2"/>
          </rPr>
          <t>, le canton a basculé 2 points d'impôt aux communes. La valeur de ces points d'impôt communaux est différente de celle des points d'impôt péréquatifs, car elle est calculée uniquement sur la base des impôts suivant le taux communal (par exemple, l'impôt foncier est exclu).</t>
        </r>
      </text>
    </comment>
    <comment ref="I4" authorId="0" shapeId="0" xr:uid="{49A94A71-7E1D-4006-ACF6-1BE60A3C5587}">
      <text>
        <r>
          <rPr>
            <sz val="9"/>
            <color indexed="81"/>
            <rFont val="Tahoma"/>
            <family val="2"/>
          </rPr>
          <t xml:space="preserve">Dans une </t>
        </r>
        <r>
          <rPr>
            <b/>
            <sz val="9"/>
            <color indexed="81"/>
            <rFont val="Tahoma"/>
            <family val="2"/>
          </rPr>
          <t>première étape</t>
        </r>
        <r>
          <rPr>
            <sz val="9"/>
            <color indexed="81"/>
            <rFont val="Tahoma"/>
            <family val="2"/>
          </rPr>
          <t xml:space="preserve">, la facture policière est répartie entre les communes par tête d'habitant. Les montants ainsi obtenus sont facturés exclusivement aux communes délégatrices (c'est-à-dire aux communes qui ne sont pas affiliées à un corps de police intercommunal). Chaque commune délégatrice ne peut néanmoins se voir facturer plus que l'équivalent de 2 de ses points d'impôt </t>
        </r>
        <r>
          <rPr>
            <u/>
            <sz val="9"/>
            <color indexed="81"/>
            <rFont val="Tahoma"/>
            <family val="2"/>
          </rPr>
          <t>communaux</t>
        </r>
        <r>
          <rPr>
            <sz val="9"/>
            <color indexed="81"/>
            <rFont val="Tahoma"/>
            <family val="2"/>
          </rPr>
          <t xml:space="preserve">. 
</t>
        </r>
      </text>
    </comment>
    <comment ref="K4" authorId="0" shapeId="0" xr:uid="{EDE8ACAD-0276-4407-B1D5-8178A6F66632}">
      <text>
        <r>
          <rPr>
            <sz val="9"/>
            <color indexed="81"/>
            <rFont val="Tahoma"/>
            <family val="2"/>
          </rPr>
          <t xml:space="preserve">Dans une </t>
        </r>
        <r>
          <rPr>
            <b/>
            <sz val="9"/>
            <color indexed="81"/>
            <rFont val="Tahoma"/>
            <family val="2"/>
          </rPr>
          <t>deuxième étape</t>
        </r>
        <r>
          <rPr>
            <sz val="9"/>
            <color indexed="81"/>
            <rFont val="Tahoma"/>
            <family val="2"/>
          </rPr>
          <t>, chaque commune verse un nombre de points d'impôt égal au solde restant de la facture policière divisé par la valeur du point d'impôt</t>
        </r>
        <r>
          <rPr>
            <u/>
            <sz val="9"/>
            <color indexed="81"/>
            <rFont val="Tahoma"/>
            <family val="2"/>
          </rPr>
          <t xml:space="preserve"> péréquatif</t>
        </r>
        <r>
          <rPr>
            <sz val="9"/>
            <color indexed="81"/>
            <rFont val="Tahoma"/>
            <family val="2"/>
          </rPr>
          <t xml:space="preserve"> de l'ensemble des communes.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I4" authorId="0" shapeId="0" xr:uid="{BD2FC531-A035-40DA-BDB5-BA1485ACE662}">
      <text>
        <r>
          <rPr>
            <sz val="9"/>
            <color indexed="81"/>
            <rFont val="Tahoma"/>
            <family val="2"/>
          </rPr>
          <t>Les chiffres en négatif expriment un montant net à recevoir tandis que les chiffres en positif expriment un montant net à verser.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R4" authorId="0" shapeId="0" xr:uid="{FDA799F9-7651-4CD7-97E0-E6DE2160AC48}">
      <text>
        <r>
          <rPr>
            <sz val="9"/>
            <color indexed="81"/>
            <rFont val="Tahoma"/>
            <family val="2"/>
          </rPr>
          <t xml:space="preserve">La </t>
        </r>
        <r>
          <rPr>
            <b/>
            <sz val="9"/>
            <color indexed="81"/>
            <rFont val="Tahoma"/>
            <family val="2"/>
          </rPr>
          <t>valeur du point d'impôt péréquatif</t>
        </r>
        <r>
          <rPr>
            <sz val="9"/>
            <color indexed="81"/>
            <rFont val="Tahoma"/>
            <family val="2"/>
          </rPr>
          <t xml:space="preserve"> est définie par les art. 2 et 5 LPIC. Pour une commune donnée, elle est obtenue en divisant par le taux communal les éléments suivants: la somme des rendements de ses impôts qui dépendent du taux communal, le rendement de son impôt personnel fixe, le rendement de son impôt sur les immeubles des sociétés et le rendement de son impôt foncier (ce dernier normalisé au taux de 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F10" authorId="0" shapeId="0" xr:uid="{270426BD-07C5-44A7-8A53-ABF443EE0A45}">
      <text>
        <r>
          <rPr>
            <sz val="9"/>
            <color indexed="81"/>
            <rFont val="Tahoma"/>
            <family val="2"/>
          </rPr>
          <t>La PCS est financée en</t>
        </r>
        <r>
          <rPr>
            <b/>
            <sz val="9"/>
            <color indexed="81"/>
            <rFont val="Tahoma"/>
            <family val="2"/>
          </rPr>
          <t xml:space="preserve"> trois étapes</t>
        </r>
        <r>
          <rPr>
            <sz val="9"/>
            <color indexed="81"/>
            <rFont val="Tahoma"/>
            <family val="2"/>
          </rPr>
          <t>. La</t>
        </r>
        <r>
          <rPr>
            <b/>
            <sz val="9"/>
            <color indexed="81"/>
            <rFont val="Tahoma"/>
            <family val="2"/>
          </rPr>
          <t xml:space="preserve"> première étape </t>
        </r>
        <r>
          <rPr>
            <sz val="9"/>
            <color indexed="81"/>
            <rFont val="Tahoma"/>
            <family val="2"/>
          </rPr>
          <t>prévoit le versement par toutes les communes de 50% des leurs recettes conjoncturelles et de 30% de l'impôt des frontaliers.</t>
        </r>
      </text>
    </comment>
    <comment ref="G10" authorId="0" shapeId="0" xr:uid="{8288FAF0-46A4-49D5-9BC8-6E8DEB0263E9}">
      <text>
        <r>
          <rPr>
            <sz val="9"/>
            <color indexed="81"/>
            <rFont val="Tahoma"/>
            <family val="2"/>
          </rPr>
          <t xml:space="preserve">La </t>
        </r>
        <r>
          <rPr>
            <b/>
            <sz val="9"/>
            <color indexed="81"/>
            <rFont val="Tahoma"/>
            <family val="2"/>
          </rPr>
          <t>deuxième étape de financement</t>
        </r>
        <r>
          <rPr>
            <sz val="9"/>
            <color indexed="81"/>
            <rFont val="Tahoma"/>
            <family val="2"/>
          </rPr>
          <t xml:space="preserve"> prévoit une contribution de la part des communes avec une valeur du point d'impôt péréquatif par habitant (VPIH) supérieur à la moyenne. Le détail du calcul de cette deuxième contribution est dans l'onglet "Ecrêtage".</t>
        </r>
      </text>
    </comment>
    <comment ref="H10" authorId="0" shapeId="0" xr:uid="{8CB4ED49-AE30-4C5E-AA9F-866EDF37CA6B}">
      <text>
        <r>
          <rPr>
            <sz val="9"/>
            <color indexed="81"/>
            <rFont val="Tahoma"/>
            <family val="2"/>
          </rPr>
          <t xml:space="preserve">Dans la </t>
        </r>
        <r>
          <rPr>
            <b/>
            <sz val="9"/>
            <color indexed="81"/>
            <rFont val="Tahoma"/>
            <family val="2"/>
          </rPr>
          <t>dernière étape de financement</t>
        </r>
        <r>
          <rPr>
            <sz val="9"/>
            <color indexed="81"/>
            <rFont val="Tahoma"/>
            <family val="2"/>
          </rPr>
          <t>, le montant de la PCS qui reste à financer (</t>
        </r>
        <r>
          <rPr>
            <b/>
            <sz val="9"/>
            <color indexed="81"/>
            <rFont val="Tahoma"/>
            <family val="2"/>
          </rPr>
          <t>solde</t>
        </r>
        <r>
          <rPr>
            <sz val="9"/>
            <color indexed="81"/>
            <rFont val="Tahoma"/>
            <family val="2"/>
          </rPr>
          <t>) est divisé par la valeur du point d'impôt péréquatif total des communes. Chaque commune verse au système le nombre de points ainsi détérminé.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M4" authorId="0" shapeId="0" xr:uid="{ED0F811D-0F7C-44EA-B462-F5E01D3443D1}">
      <text>
        <r>
          <rPr>
            <sz val="9"/>
            <color indexed="81"/>
            <rFont val="Tahoma"/>
            <family val="2"/>
          </rPr>
          <t>Pour détérminer le montant de l'écrêtage, la VPIH de la commune est</t>
        </r>
        <r>
          <rPr>
            <b/>
            <sz val="9"/>
            <color indexed="81"/>
            <rFont val="Tahoma"/>
            <family val="2"/>
          </rPr>
          <t xml:space="preserve"> initialement</t>
        </r>
        <r>
          <rPr>
            <sz val="9"/>
            <color indexed="81"/>
            <rFont val="Tahoma"/>
            <family val="2"/>
          </rPr>
          <t xml:space="preserve"> comparée avec cinq seuils exprimés en pourcent de la VPIH moyenne des communes. </t>
        </r>
        <r>
          <rPr>
            <b/>
            <sz val="9"/>
            <color indexed="81"/>
            <rFont val="Tahoma"/>
            <family val="2"/>
          </rPr>
          <t>Ensuite</t>
        </r>
        <r>
          <rPr>
            <sz val="9"/>
            <color indexed="81"/>
            <rFont val="Tahoma"/>
            <family val="2"/>
          </rPr>
          <t xml:space="preserve">, les éventuels  écarts constatés sont multipliés par les pourcentages de prélèvement spécifiques à chaque seuil et additionnés. </t>
        </r>
        <r>
          <rPr>
            <b/>
            <sz val="9"/>
            <color indexed="81"/>
            <rFont val="Tahoma"/>
            <family val="2"/>
          </rPr>
          <t>Enfin</t>
        </r>
        <r>
          <rPr>
            <sz val="9"/>
            <color indexed="81"/>
            <rFont val="Tahoma"/>
            <family val="2"/>
          </rPr>
          <t>, cette somme d'écarts pondérés est multipliée par le taux d'imposition de la commune et sa population pour obtenir son montant à verser.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D4" authorId="0" shapeId="0" xr:uid="{3C24E69B-AE57-49AE-9420-1A4BAD449CBC}">
      <text>
        <r>
          <rPr>
            <sz val="9"/>
            <color indexed="81"/>
            <rFont val="Tahoma"/>
            <family val="2"/>
          </rPr>
          <t>Le fonds de péréquation intercommunal (</t>
        </r>
        <r>
          <rPr>
            <b/>
            <sz val="9"/>
            <color indexed="81"/>
            <rFont val="Tahoma"/>
            <family val="2"/>
          </rPr>
          <t>péréquation directe</t>
        </r>
        <r>
          <rPr>
            <sz val="9"/>
            <color indexed="81"/>
            <rFont val="Tahoma"/>
            <family val="2"/>
          </rPr>
          <t xml:space="preserve">) comprend </t>
        </r>
        <r>
          <rPr>
            <b/>
            <sz val="9"/>
            <color indexed="81"/>
            <rFont val="Tahoma"/>
            <family val="2"/>
          </rPr>
          <t>trois couches de subventionnement</t>
        </r>
        <r>
          <rPr>
            <sz val="9"/>
            <color indexed="81"/>
            <rFont val="Tahoma"/>
            <family val="2"/>
          </rPr>
          <t xml:space="preserve"> (population, solidarité et dépenses thématiques) et </t>
        </r>
        <r>
          <rPr>
            <b/>
            <sz val="9"/>
            <color indexed="81"/>
            <rFont val="Tahoma"/>
            <family val="2"/>
          </rPr>
          <t>trois plafonds</t>
        </r>
        <r>
          <rPr>
            <sz val="9"/>
            <color indexed="81"/>
            <rFont val="Tahoma"/>
            <family val="2"/>
          </rPr>
          <t xml:space="preserve"> (effort, aide et taux). Le détail du calcul des montants versés par chaque couche et par chaque plafond est proposé dans les prochains onglets. Le tableau à gauche résume le total des montants versés par les trois couches et par les trois plafonds, ainsi que le </t>
        </r>
        <r>
          <rPr>
            <b/>
            <sz val="9"/>
            <color indexed="81"/>
            <rFont val="Tahoma"/>
            <family val="2"/>
          </rPr>
          <t>forfait pour la gestion du système</t>
        </r>
        <r>
          <rPr>
            <sz val="9"/>
            <color indexed="81"/>
            <rFont val="Tahoma"/>
            <family val="2"/>
          </rPr>
          <t xml:space="preserve"> (CHF 450'000.-). 
</t>
        </r>
        <r>
          <rPr>
            <b/>
            <sz val="9"/>
            <color indexed="81"/>
            <rFont val="Tahoma"/>
            <family val="2"/>
          </rPr>
          <t>Pour financer la péréquation directe</t>
        </r>
        <r>
          <rPr>
            <sz val="9"/>
            <color indexed="81"/>
            <rFont val="Tahoma"/>
            <family val="2"/>
          </rPr>
          <t>, chaque commune verse un nombre de points d'impôt égal au total à financer divisé par la valeur du point d'impôt de l'ensemble des communes.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K7" authorId="0" shapeId="0" xr:uid="{A248159E-0366-49ED-ABDF-E41AA811D6AA}">
      <text>
        <r>
          <rPr>
            <sz val="9"/>
            <color indexed="81"/>
            <rFont val="Tahoma"/>
            <family val="2"/>
          </rPr>
          <t>La</t>
        </r>
        <r>
          <rPr>
            <b/>
            <sz val="9"/>
            <color indexed="81"/>
            <rFont val="Tahoma"/>
            <family val="2"/>
          </rPr>
          <t xml:space="preserve"> couche population</t>
        </r>
        <r>
          <rPr>
            <sz val="9"/>
            <color indexed="81"/>
            <rFont val="Tahoma"/>
            <family val="2"/>
          </rPr>
          <t xml:space="preserve"> verse à chaque commune 125 francs (indexés) par habitant pour ses premiers 1'000 habitants, 350 francs (indexés) par habitant pour les 2'000 habitants suivants et ainsi de suite jusqu'à 1'050 francs (indexés) pour tous les habitants au-délà des premiers 15'000.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G4" authorId="0" shapeId="0" xr:uid="{54CAD977-3398-46E4-9C38-2E741D99B23F}">
      <text>
        <r>
          <rPr>
            <sz val="9"/>
            <color indexed="81"/>
            <rFont val="Tahoma"/>
            <family val="2"/>
          </rPr>
          <t xml:space="preserve">La </t>
        </r>
        <r>
          <rPr>
            <b/>
            <sz val="9"/>
            <color indexed="81"/>
            <rFont val="Tahoma"/>
            <family val="2"/>
          </rPr>
          <t>couche solidarité</t>
        </r>
        <r>
          <rPr>
            <sz val="9"/>
            <color indexed="81"/>
            <rFont val="Tahoma"/>
            <family val="2"/>
          </rPr>
          <t xml:space="preserve"> attribue aux communes avec une valeur du point d'impôt par habitant (VPIH) inférieure à la moyenne une compensation de base égale à 27% de l'écart entre leur VPIH et cette même moyenne multipliée par sa population et son taux. </t>
        </r>
      </text>
    </comment>
    <comment ref="I4" authorId="0" shapeId="0" xr:uid="{EECF3395-3B44-42A6-96C5-8AAFF7ADEA22}">
      <text>
        <r>
          <rPr>
            <sz val="9"/>
            <color indexed="81"/>
            <rFont val="Tahoma"/>
            <family val="2"/>
          </rPr>
          <t xml:space="preserve">La compensation de base est ensuite </t>
        </r>
        <r>
          <rPr>
            <b/>
            <sz val="9"/>
            <color indexed="81"/>
            <rFont val="Tahoma"/>
            <family val="2"/>
          </rPr>
          <t>pondérée</t>
        </r>
        <r>
          <rPr>
            <sz val="9"/>
            <color indexed="81"/>
            <rFont val="Tahoma"/>
            <family val="2"/>
          </rPr>
          <t xml:space="preserve"> par le rapport entre le taux de la commune et le taux moyen.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E4" authorId="0" shapeId="0" xr:uid="{BAE74BEC-7C7D-40D4-B664-191255A68EA3}">
      <text>
        <r>
          <rPr>
            <sz val="9"/>
            <color indexed="81"/>
            <rFont val="Tahoma"/>
            <family val="2"/>
          </rPr>
          <t xml:space="preserve">Les </t>
        </r>
        <r>
          <rPr>
            <b/>
            <sz val="9"/>
            <color indexed="81"/>
            <rFont val="Tahoma"/>
            <family val="2"/>
          </rPr>
          <t>dépenses effectives en transports</t>
        </r>
        <r>
          <rPr>
            <sz val="9"/>
            <color indexed="81"/>
            <rFont val="Tahoma"/>
            <family val="2"/>
          </rPr>
          <t xml:space="preserve"> déclarées par la commune sont comparées avec l'équivalent de 8 de ses points d'impôt.</t>
        </r>
      </text>
    </comment>
    <comment ref="H4" authorId="0" shapeId="0" xr:uid="{BF62F18C-F207-473C-871E-EBF7229851AD}">
      <text>
        <r>
          <rPr>
            <sz val="9"/>
            <color indexed="81"/>
            <rFont val="Tahoma"/>
            <family val="2"/>
          </rPr>
          <t xml:space="preserve">Les </t>
        </r>
        <r>
          <rPr>
            <b/>
            <sz val="9"/>
            <color indexed="81"/>
            <rFont val="Tahoma"/>
            <family val="2"/>
          </rPr>
          <t>éventuels dépassements sont compensés</t>
        </r>
        <r>
          <rPr>
            <sz val="9"/>
            <color indexed="81"/>
            <rFont val="Tahoma"/>
            <family val="2"/>
          </rPr>
          <t xml:space="preserve"> à hauteur de 75%. Ce taux peut être revu à la baisse si le total des prises en charges (transports + forêts) excède 4,5 points d'impôt de l'ensemble des communes.
</t>
        </r>
      </text>
    </comment>
    <comment ref="L4" authorId="0" shapeId="0" xr:uid="{F683021F-A324-4C56-9374-0E7F671FBDA9}">
      <text>
        <r>
          <rPr>
            <sz val="9"/>
            <color indexed="81"/>
            <rFont val="Tahoma"/>
            <family val="2"/>
          </rPr>
          <t xml:space="preserve">Pour les </t>
        </r>
        <r>
          <rPr>
            <b/>
            <sz val="9"/>
            <color indexed="81"/>
            <rFont val="Tahoma"/>
            <family val="2"/>
          </rPr>
          <t>dépenses effectives en</t>
        </r>
        <r>
          <rPr>
            <b/>
            <sz val="9"/>
            <color indexed="81"/>
            <rFont val="Tahoma"/>
            <family val="2"/>
          </rPr>
          <t xml:space="preserve"> forêts</t>
        </r>
        <r>
          <rPr>
            <sz val="9"/>
            <color indexed="81"/>
            <rFont val="Tahoma"/>
            <family val="2"/>
          </rPr>
          <t xml:space="preserve"> la logique est identique, mais avec un plafond égal à l'équivalent de 1 point d'impôt de la commune.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Cappelletti Fabio</author>
  </authors>
  <commentList>
    <comment ref="I4" authorId="0" shapeId="0" xr:uid="{656BD7C7-68AF-4D04-8DF9-470D7B173C07}">
      <text>
        <r>
          <rPr>
            <sz val="9"/>
            <color indexed="81"/>
            <rFont val="Tahoma"/>
            <family val="2"/>
          </rPr>
          <t>Si l'</t>
        </r>
        <r>
          <rPr>
            <b/>
            <sz val="9"/>
            <color indexed="81"/>
            <rFont val="Tahoma"/>
            <family val="2"/>
          </rPr>
          <t>effort péréquatif net</t>
        </r>
        <r>
          <rPr>
            <sz val="9"/>
            <color indexed="81"/>
            <rFont val="Tahoma"/>
            <family val="2"/>
          </rPr>
          <t xml:space="preserve"> d'une commune (total des montants reçus et versés, sauf prélèvements conjoncturels et plafonds) dépasse la valeur de 48 de ses points d'impôt, le </t>
        </r>
        <r>
          <rPr>
            <b/>
            <sz val="9"/>
            <color indexed="81"/>
            <rFont val="Tahoma"/>
            <family val="2"/>
          </rPr>
          <t xml:space="preserve">plafond de l'effort </t>
        </r>
        <r>
          <rPr>
            <sz val="9"/>
            <color indexed="81"/>
            <rFont val="Tahoma"/>
            <family val="2"/>
          </rPr>
          <t>lui réstitue un montant égal au dépassement constaté. Les montants restitués sont ensuite financés par l'ensemble des communes, via l'alimentation du système (voir onglet "vue d'ensemble").</t>
        </r>
      </text>
    </comment>
  </commentList>
</comments>
</file>

<file path=xl/sharedStrings.xml><?xml version="1.0" encoding="utf-8"?>
<sst xmlns="http://schemas.openxmlformats.org/spreadsheetml/2006/main" count="1054" uniqueCount="601">
  <si>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</si>
  <si>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</si>
  <si>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</si>
  <si>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</si>
  <si>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</si>
  <si>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</si>
  <si>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</si>
  <si>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</si>
  <si>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</si>
  <si>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</si>
  <si>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</si>
  <si>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</si>
  <si>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</si>
  <si>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</si>
  <si>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</si>
  <si>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</si>
  <si>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</si>
  <si>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</si>
  <si>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</si>
  <si>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</si>
  <si>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</si>
  <si>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</si>
  <si>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</si>
  <si>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</si>
  <si>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</si>
  <si>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</si>
  <si>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</si>
  <si>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</si>
  <si>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</si>
  <si>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</si>
  <si>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</si>
  <si>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</si>
  <si>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</si>
  <si>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</si>
  <si>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</si>
  <si>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</si>
  <si>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</si>
  <si>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</si>
  <si>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</si>
  <si>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</si>
  <si>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</si>
  <si>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</si>
  <si>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</si>
  <si>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</si>
  <si>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No OFS</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</si>
  <si>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</si>
  <si>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</si>
  <si>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</si>
  <si>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</si>
  <si>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</si>
  <si>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</si>
  <si>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</si>
  <si>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</si>
  <si>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</si>
  <si>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</si>
  <si>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</si>
  <si>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</si>
  <si>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</si>
  <si>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</si>
  <si>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</si>
  <si>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</si>
  <si>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</si>
  <si>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</si>
  <si>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Nyon</t>
  </si>
  <si>
    <t>Prangins</t>
  </si>
  <si>
    <t>Bougy-Villars</t>
  </si>
  <si>
    <t>Yvorne</t>
  </si>
  <si>
    <t>Aubonne</t>
  </si>
  <si>
    <t>Ballens</t>
  </si>
  <si>
    <t>Berolle</t>
  </si>
  <si>
    <t>Bière</t>
  </si>
  <si>
    <t>Taux communal</t>
  </si>
  <si>
    <t>ISP</t>
  </si>
  <si>
    <t>IPE</t>
  </si>
  <si>
    <t>IET</t>
  </si>
  <si>
    <t>ISO</t>
  </si>
  <si>
    <t>IMM</t>
  </si>
  <si>
    <t>IFO</t>
  </si>
  <si>
    <t>STO</t>
  </si>
  <si>
    <t>IFR</t>
  </si>
  <si>
    <t>ISD</t>
  </si>
  <si>
    <t>DMU</t>
  </si>
  <si>
    <t>IGI</t>
  </si>
  <si>
    <t>TOT</t>
  </si>
  <si>
    <t>Commune</t>
  </si>
  <si>
    <t>Chavannes-sur-Moudon</t>
  </si>
  <si>
    <t>Curtilles</t>
  </si>
  <si>
    <t>Dompierre</t>
  </si>
  <si>
    <t>Hermenches</t>
  </si>
  <si>
    <t>Lovatens</t>
  </si>
  <si>
    <t>Lucens</t>
  </si>
  <si>
    <t>Moudon</t>
  </si>
  <si>
    <t>Ogens</t>
  </si>
  <si>
    <t>Prévonloup</t>
  </si>
  <si>
    <t>Rossenges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</si>
  <si>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</si>
  <si>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</si>
  <si>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</si>
  <si>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</si>
  <si>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</si>
  <si>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</si>
  <si>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</si>
  <si>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</si>
  <si>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</si>
  <si>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</si>
  <si>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</si>
  <si>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</si>
  <si>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</si>
  <si>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</si>
  <si>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</si>
  <si>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</si>
  <si>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</si>
  <si>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</si>
  <si>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Plafonnement du taux</t>
  </si>
  <si>
    <t>Rivaz</t>
  </si>
  <si>
    <t>St-Saphorin (Lavaux)</t>
  </si>
  <si>
    <t>Ormont-Dessous</t>
  </si>
  <si>
    <t>Ormont-Dessus</t>
  </si>
  <si>
    <t>Rennaz</t>
  </si>
  <si>
    <t>Roche</t>
  </si>
  <si>
    <t>Villeneuve</t>
  </si>
  <si>
    <t>Romainmôtier-Envy</t>
  </si>
  <si>
    <t>Sergey</t>
  </si>
  <si>
    <t>Valeyres-sous-Rances</t>
  </si>
  <si>
    <t>Total</t>
  </si>
  <si>
    <t>Ferreyres</t>
  </si>
  <si>
    <t>Gollion</t>
  </si>
  <si>
    <t>Grancy</t>
  </si>
  <si>
    <t>Forel (Lavaux)</t>
  </si>
  <si>
    <t>Lutry</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</si>
  <si>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</si>
  <si>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</si>
  <si>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</si>
  <si>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</si>
  <si>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</si>
  <si>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</si>
  <si>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</si>
  <si>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</si>
  <si>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</si>
  <si>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</si>
  <si>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</si>
  <si>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</si>
  <si>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</si>
  <si>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</si>
  <si>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</si>
  <si>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</si>
  <si>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</si>
  <si>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</si>
  <si>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</si>
  <si>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</si>
  <si>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Penthalaz</t>
  </si>
  <si>
    <t>Penthaz</t>
  </si>
  <si>
    <t>Pompaples</t>
  </si>
  <si>
    <t>La Sarraz</t>
  </si>
  <si>
    <t>Senarclens</t>
  </si>
  <si>
    <t>Sullens</t>
  </si>
  <si>
    <t>Vufflens-la-Ville</t>
  </si>
  <si>
    <t>Assens</t>
  </si>
  <si>
    <t>Bercher</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</si>
  <si>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</si>
  <si>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</si>
  <si>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</si>
  <si>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</si>
  <si>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</si>
  <si>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</si>
  <si>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</si>
  <si>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</si>
  <si>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</si>
  <si>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</si>
  <si>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</si>
  <si>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</si>
  <si>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</si>
  <si>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</si>
  <si>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</si>
  <si>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</si>
  <si>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</si>
  <si>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</si>
  <si>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</si>
  <si>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Villars-sous-Yens</t>
  </si>
  <si>
    <t>Vufflens-le-Château</t>
  </si>
  <si>
    <t>Vullierens</t>
  </si>
  <si>
    <t>Yens</t>
  </si>
  <si>
    <t>Boulens</t>
  </si>
  <si>
    <t>Bussy-sur-Moudon</t>
  </si>
  <si>
    <t>Le Chenit</t>
  </si>
  <si>
    <t>Le Lieu</t>
  </si>
  <si>
    <t>Chardonne</t>
  </si>
  <si>
    <t>Corseaux</t>
  </si>
  <si>
    <t>Boussens</t>
  </si>
  <si>
    <t>La Chaux (Cossonay)</t>
  </si>
  <si>
    <t>Dépassement forêts</t>
  </si>
  <si>
    <t>Romanel-sur-Lausanne</t>
  </si>
  <si>
    <t>La Praz</t>
  </si>
  <si>
    <t>Premier</t>
  </si>
  <si>
    <t>Rances</t>
  </si>
  <si>
    <t>Begnins</t>
  </si>
  <si>
    <t>Bogis-Bossey</t>
  </si>
  <si>
    <t>Borex</t>
  </si>
  <si>
    <t>Chavannes-de-Bogis</t>
  </si>
  <si>
    <t>Chavannes-des-Bois</t>
  </si>
  <si>
    <t>Chéserex</t>
  </si>
  <si>
    <t>Coinsins</t>
  </si>
  <si>
    <t>Commugny</t>
  </si>
  <si>
    <t>Coppet</t>
  </si>
  <si>
    <t>Crassier</t>
  </si>
  <si>
    <t>Duillier</t>
  </si>
  <si>
    <t>Eysins</t>
  </si>
  <si>
    <t>Founex</t>
  </si>
  <si>
    <t>Genolier</t>
  </si>
  <si>
    <t>Gingins</t>
  </si>
  <si>
    <t>Givrins</t>
  </si>
  <si>
    <t>Gland</t>
  </si>
  <si>
    <t>Grens</t>
  </si>
  <si>
    <t>Mies</t>
  </si>
  <si>
    <t>Cuarnens</t>
  </si>
  <si>
    <t>Daillens</t>
  </si>
  <si>
    <t>Dizy</t>
  </si>
  <si>
    <t>Eclépens</t>
  </si>
  <si>
    <t>Pertes débiteurs</t>
  </si>
  <si>
    <t>Imputation forfaitaire</t>
  </si>
  <si>
    <t>Chavannes-près-Renens</t>
  </si>
  <si>
    <t>Chigny</t>
  </si>
  <si>
    <t>Impôt spécial affecté</t>
  </si>
  <si>
    <t>Impôt personnel</t>
  </si>
  <si>
    <t>Aigle</t>
  </si>
  <si>
    <t>Bex</t>
  </si>
  <si>
    <t>Arnex-sur-Orbe</t>
  </si>
  <si>
    <t>Ballaigues</t>
  </si>
  <si>
    <t>Baulmes</t>
  </si>
  <si>
    <t>Bavois</t>
  </si>
  <si>
    <t>Bofflens</t>
  </si>
  <si>
    <t>Bretonnières</t>
  </si>
  <si>
    <t>Chavornay</t>
  </si>
  <si>
    <t>Les Clées</t>
  </si>
  <si>
    <t>Montagny-près-Yverdon</t>
  </si>
  <si>
    <t>Oppens</t>
  </si>
  <si>
    <t>Orges</t>
  </si>
  <si>
    <t>Ursins</t>
  </si>
  <si>
    <t>Vugelles-La Mothe</t>
  </si>
  <si>
    <t>Corcelles-le-Jorat</t>
  </si>
  <si>
    <t>Maracon</t>
  </si>
  <si>
    <t>Montpreveyres</t>
  </si>
  <si>
    <t>Ropraz</t>
  </si>
  <si>
    <t>Servion</t>
  </si>
  <si>
    <t>Mutrux</t>
  </si>
  <si>
    <t>Novalles</t>
  </si>
  <si>
    <t>Onnens</t>
  </si>
  <si>
    <t>Provence</t>
  </si>
  <si>
    <t>en % de la moyenne</t>
  </si>
  <si>
    <t>Seuil 1</t>
  </si>
  <si>
    <t>Seuil 2</t>
  </si>
  <si>
    <t>Total écrêtage</t>
  </si>
  <si>
    <t>Savigny</t>
  </si>
  <si>
    <t>Chexbres</t>
  </si>
  <si>
    <t>Villars-Epeney</t>
  </si>
  <si>
    <t>Puidoux</t>
  </si>
  <si>
    <t>Dépassement transports</t>
  </si>
  <si>
    <t>Population</t>
  </si>
  <si>
    <t>Bas</t>
  </si>
  <si>
    <t>Seuils de population</t>
  </si>
  <si>
    <t>Haut</t>
  </si>
  <si>
    <t>Montants</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</si>
  <si>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</si>
  <si>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</si>
  <si>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</si>
  <si>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</si>
  <si>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</si>
  <si>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</si>
  <si>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</si>
  <si>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</si>
  <si>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</si>
  <si>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</si>
  <si>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</si>
  <si>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</si>
  <si>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</si>
  <si>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</si>
  <si>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</si>
  <si>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</si>
  <si>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Transports publics</t>
  </si>
  <si>
    <t>Transports scolaires</t>
  </si>
  <si>
    <t>Croy</t>
  </si>
  <si>
    <t>Juriens</t>
  </si>
  <si>
    <t>Lignerolle</t>
  </si>
  <si>
    <t>Montcherand</t>
  </si>
  <si>
    <t>Orbe</t>
  </si>
  <si>
    <t>Vallorbe</t>
  </si>
  <si>
    <t>Vaulion</t>
  </si>
  <si>
    <t>Vuiteboeuf</t>
  </si>
  <si>
    <t>Impôts suivant le taux</t>
  </si>
  <si>
    <t>Féchy</t>
  </si>
  <si>
    <t>Gimel</t>
  </si>
  <si>
    <t>Saint-Livres</t>
  </si>
  <si>
    <t>Saint-Oyens</t>
  </si>
  <si>
    <t>Saubraz</t>
  </si>
  <si>
    <t>Avenches</t>
  </si>
  <si>
    <t>Cudrefin</t>
  </si>
  <si>
    <t>Faoug</t>
  </si>
  <si>
    <t>Bettens</t>
  </si>
  <si>
    <t>Bournens</t>
  </si>
  <si>
    <t>Différence à compenser</t>
  </si>
  <si>
    <t xml:space="preserve">Taux actuel </t>
  </si>
  <si>
    <t xml:space="preserve">Taux </t>
  </si>
  <si>
    <t>Longirod</t>
  </si>
  <si>
    <t>Marchissy</t>
  </si>
  <si>
    <t>Mollens</t>
  </si>
  <si>
    <t>Saint-George</t>
  </si>
  <si>
    <t>Chavannes-le-Veyron</t>
  </si>
  <si>
    <t>Chevilly</t>
  </si>
  <si>
    <t>Cossonay</t>
  </si>
  <si>
    <t>./. Conjoncturelles</t>
  </si>
  <si>
    <t>./. Ecrêtage</t>
  </si>
  <si>
    <t>Seuil max (pts)</t>
  </si>
  <si>
    <t>Impôt à la source</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</si>
  <si>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</si>
  <si>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</si>
  <si>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</si>
  <si>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</si>
  <si>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</si>
  <si>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</si>
  <si>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</si>
  <si>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</si>
  <si>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</si>
  <si>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</si>
  <si>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</si>
  <si>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</si>
  <si>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</si>
  <si>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</si>
  <si>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</si>
  <si>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</si>
  <si>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</si>
  <si>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</si>
  <si>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</si>
  <si>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</si>
  <si>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</si>
  <si>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Total part communale</t>
  </si>
  <si>
    <t>Points</t>
  </si>
  <si>
    <t>Seuil 3</t>
  </si>
  <si>
    <t>Impôt récupéré après défalcation</t>
  </si>
  <si>
    <t>PPR</t>
  </si>
  <si>
    <t>PPF</t>
  </si>
  <si>
    <t>PMB</t>
  </si>
  <si>
    <t>PMC</t>
  </si>
  <si>
    <t>Bourg-en-Lavaux</t>
  </si>
  <si>
    <t>Tévenon</t>
  </si>
  <si>
    <t>Vully-les-Lacs</t>
  </si>
  <si>
    <t>Goumoëns</t>
  </si>
  <si>
    <t>Montilliez</t>
  </si>
  <si>
    <t>Jorat-Menthue</t>
  </si>
  <si>
    <t>Valbroye</t>
  </si>
  <si>
    <t>Oron</t>
  </si>
  <si>
    <t>Prélèvements conjoncturels</t>
  </si>
  <si>
    <t>Bussigny</t>
  </si>
  <si>
    <t>Arzier-Le Muids</t>
  </si>
  <si>
    <t>Montanaire</t>
  </si>
  <si>
    <t>Indice IPC au 1er janvier 2010</t>
  </si>
  <si>
    <t>Montant à affecter ajusté à l'IPC</t>
  </si>
  <si>
    <t>Population selon FAO</t>
  </si>
  <si>
    <t>Péréquation directe - Couche Population</t>
  </si>
  <si>
    <t>Péréquation directe - Couche Solidarité</t>
  </si>
  <si>
    <t>CHF</t>
  </si>
  <si>
    <t>Pts</t>
  </si>
  <si>
    <t>pour une capacité dépassant</t>
  </si>
  <si>
    <t>Montant à affecter par habitant</t>
  </si>
  <si>
    <t>Prise en charge maximale</t>
  </si>
  <si>
    <t>Impôts théoriques</t>
  </si>
  <si>
    <t>Ecrêtage</t>
  </si>
  <si>
    <t xml:space="preserve">J) Liste des communes A--&gt;Z </t>
  </si>
  <si>
    <t>Aide</t>
  </si>
  <si>
    <t>Taux</t>
  </si>
  <si>
    <t>Montant à charge de la commune</t>
  </si>
  <si>
    <t>Total à charge des communes</t>
  </si>
  <si>
    <t>Taux IFO</t>
  </si>
  <si>
    <t>P é r é q u a t i o n   d i r e c t e</t>
  </si>
  <si>
    <t>Treytorrens (Payerne)</t>
  </si>
  <si>
    <t>Jorat-Mézières</t>
  </si>
  <si>
    <t>Effort</t>
  </si>
  <si>
    <t>S y n t h è s e   e n   C H F</t>
  </si>
  <si>
    <t>Taux maximum plafonné. Art. 6 DLPIC</t>
  </si>
  <si>
    <t>Seuil 4</t>
  </si>
  <si>
    <t>Seuil 5</t>
  </si>
  <si>
    <t>Point impôt</t>
  </si>
  <si>
    <t>Total de la participation à la cohésion sociale</t>
  </si>
  <si>
    <t xml:space="preserve">Charges de fonctionnement </t>
  </si>
  <si>
    <t xml:space="preserve">Investissements </t>
  </si>
  <si>
    <t>Investissements</t>
  </si>
  <si>
    <t>Transports</t>
  </si>
  <si>
    <t>Forêts</t>
  </si>
  <si>
    <t>Totaux</t>
  </si>
  <si>
    <t>Acomptes*</t>
  </si>
  <si>
    <t>(+ à payer / - à recevoir)</t>
  </si>
  <si>
    <t>Communes</t>
  </si>
  <si>
    <t>Péréquation horizontale</t>
  </si>
  <si>
    <t>Acomptes</t>
  </si>
  <si>
    <t>Décompte</t>
  </si>
  <si>
    <t>Participation à la cohésion sociale</t>
  </si>
  <si>
    <t>Communes 
LDecTer</t>
  </si>
  <si>
    <t>Hautemorges</t>
  </si>
  <si>
    <t>Table des matières</t>
  </si>
  <si>
    <t>Cette couche alloue des montants à toutes les communes en fonction de leur population. Son but est de tenir compte du fait que certaines charges d’une commune tendent à augmenter avec l’augmentation de sa taille.</t>
  </si>
  <si>
    <t>Les dépenses thématique allouent des montants aux communes qui doivent faire face à des dépenses jugées excessives dans les domaines des transports (routes, transports publics et transports scolaires) et des forêts.</t>
  </si>
  <si>
    <t>Données saisies</t>
  </si>
  <si>
    <t>Plafond de l'effort</t>
  </si>
  <si>
    <t>Plafond de l'aide</t>
  </si>
  <si>
    <t>Plafond du taux</t>
  </si>
  <si>
    <t>Décompte vs acomptes</t>
  </si>
  <si>
    <t>← Précédent</t>
  </si>
  <si>
    <t>Suivant →</t>
  </si>
  <si>
    <t>Paramétrage du système</t>
  </si>
  <si>
    <t>Péréquation Directe - Dépenses Thématiques</t>
  </si>
  <si>
    <t>Période de calcul</t>
  </si>
  <si>
    <t>Facture policière</t>
  </si>
  <si>
    <t>Valeur du point d'impôt péréquatif (VPI)</t>
  </si>
  <si>
    <t>Paramètrage de la feuille de calcul et références aux bases légales.</t>
  </si>
  <si>
    <t>Valeur du point d'impôt péréquatif</t>
  </si>
  <si>
    <t>Participation à charge des communes</t>
  </si>
  <si>
    <t>P a r t i c i p a t i o n   à   l a    c o h é s i o n    s o c i a l e</t>
  </si>
  <si>
    <t>T o t a l   p é r é q u a t i o n    e t    f a c t u r e s    c a n t o n a l e s</t>
  </si>
  <si>
    <t>Impôt à la
 source</t>
  </si>
  <si>
    <t>Compensation RFFA</t>
  </si>
  <si>
    <t>Impôt spécial
 affecté</t>
  </si>
  <si>
    <t>Impôt foncier
normalisé</t>
  </si>
  <si>
    <t>Impôt des frontaliers</t>
  </si>
  <si>
    <t>Montant de la PCS à répartir</t>
  </si>
  <si>
    <t>À répartir en points d'impôt</t>
  </si>
  <si>
    <t>Calcul de la capacité fiscale relative</t>
  </si>
  <si>
    <t>% du taux moyen</t>
  </si>
  <si>
    <t>Participation à la cohésion sociale (PCS)</t>
  </si>
  <si>
    <t>Prélèvement sur les impôts conjoncturels</t>
  </si>
  <si>
    <t>Synthèse</t>
  </si>
  <si>
    <t>Plafond
forêts</t>
  </si>
  <si>
    <t>Total
forêts</t>
  </si>
  <si>
    <t>Total
transports</t>
  </si>
  <si>
    <t>Plafonds</t>
  </si>
  <si>
    <t>Plafond en points</t>
  </si>
  <si>
    <t>Alimentation péréquation directe</t>
  </si>
  <si>
    <t>Effort péréquatif net</t>
  </si>
  <si>
    <t>Taux après déduction de l'ancien effort</t>
  </si>
  <si>
    <t>Restitution en CHF</t>
  </si>
  <si>
    <t>Retenue
en CHF</t>
  </si>
  <si>
    <t>Total routes et infrastructures</t>
  </si>
  <si>
    <t>Avec police communale</t>
  </si>
  <si>
    <t>Communes avec police</t>
  </si>
  <si>
    <t>Cette couche alloue des montants aux communes avec une valeur du point d’impôt péréquatif par habitant inférieure à la moyenne. Elle cible de manière directe les disparités de capacité financière entre les communes.</t>
  </si>
  <si>
    <t xml:space="preserve"> Extraction synthétique des montants à recevoir ou à payer pour une commune au choix.</t>
  </si>
  <si>
    <t>Calcul de la valeur du point d'impôt péréquatif selon les dispositions légales en vigueur.</t>
  </si>
  <si>
    <t>Acomptes/décompte et année</t>
  </si>
  <si>
    <t>Impôt sur le revenu</t>
  </si>
  <si>
    <t>Impôt sur la fortune</t>
  </si>
  <si>
    <t>Impôt sur le bénéfice</t>
  </si>
  <si>
    <t>Impôt sur le capital</t>
  </si>
  <si>
    <t>Impôt sur les immeubles des sociétés</t>
  </si>
  <si>
    <t>Prélèvement sur les impôts conjoncturels (art. 3 LPIC)</t>
  </si>
  <si>
    <t>Droits de mutation, gains immobiliers, successions et donations</t>
  </si>
  <si>
    <t>Pourcentage prélevé</t>
  </si>
  <si>
    <t>Ecrêtage (art. 4 LPIC)</t>
  </si>
  <si>
    <t>Couche population (art. 8 LPIC et art. 2 DLPIC)</t>
  </si>
  <si>
    <t>Seuil de population (habitants)</t>
  </si>
  <si>
    <t>Couche solidarité (art. 8 LPIC et art. 3 DLPIC)</t>
  </si>
  <si>
    <t>Taux de compensation pour les communes à faible capacité financière</t>
  </si>
  <si>
    <t>Gestion du fond (art. 8 DLPIC)</t>
  </si>
  <si>
    <t>Montants affectés aux plafonnements et gestion du fond</t>
  </si>
  <si>
    <t>Dépenses thématiques (art. 8 LPIC et art. 4 DLPIC)</t>
  </si>
  <si>
    <t>Entretien des forêts</t>
  </si>
  <si>
    <t>Transports publics, transports routiers et transports scolaires</t>
  </si>
  <si>
    <t>Total des dépassements</t>
  </si>
  <si>
    <t>Compensation théorique</t>
  </si>
  <si>
    <t>Plafond global (art. 4 al. 2)</t>
  </si>
  <si>
    <t>Aide péréquatif maximal en points d'impôt (art. 5 DLPIC)</t>
  </si>
  <si>
    <t>Effort péréquatif maximal en points d'impôt (art. 9d DLPIC)</t>
  </si>
  <si>
    <t>Nouveau article prévu par l'EMPD Budget de l'Etat de 2022 (maintien de la pratique 2020-2021).</t>
  </si>
  <si>
    <t>Paramètres des plafonds</t>
  </si>
  <si>
    <t>Total plafonds</t>
  </si>
  <si>
    <t>Financement</t>
  </si>
  <si>
    <t>Indexation du taux maximum</t>
  </si>
  <si>
    <t>Taux plafonné de l'année précédente</t>
  </si>
  <si>
    <t>Valeur du point (année précédente)</t>
  </si>
  <si>
    <t>PCS (année précédente)</t>
  </si>
  <si>
    <t>Montant de la facture 2013</t>
  </si>
  <si>
    <t>Augmentation forfaitaire annuelle</t>
  </si>
  <si>
    <t>Année de la facture policière</t>
  </si>
  <si>
    <t>Budget/comptes et année pour la PCS</t>
  </si>
  <si>
    <t>Date de la population</t>
  </si>
  <si>
    <t>Année des données de référence (rendements, taux, DT, etc.)</t>
  </si>
  <si>
    <t>Table des
matières</t>
  </si>
  <si>
    <t>Solde en points d'impôt</t>
  </si>
  <si>
    <t>Valeur du point par habitant</t>
  </si>
  <si>
    <t>Compensation de base</t>
  </si>
  <si>
    <t>Total à financer (alimentation)</t>
  </si>
  <si>
    <t>Différence = 0</t>
  </si>
  <si>
    <t>Données concernant toutes les communes saisies pour être utilisées dans les calculs du système de péréquation.</t>
  </si>
  <si>
    <t>Déduction complémentaire au montant de la PCS selon art. 17b al. 3 LOF</t>
  </si>
  <si>
    <t>à ajouter</t>
  </si>
  <si>
    <t>à déduire</t>
  </si>
  <si>
    <t>Effort  péréquatif net avec plafonds</t>
  </si>
  <si>
    <t>Effort péréquatif net sans dép. thém. et avec plafonds</t>
  </si>
  <si>
    <t>Répartition par habitant de la facture policière</t>
  </si>
  <si>
    <t>Valeur du
point d'impôt péréquatif</t>
  </si>
  <si>
    <t>Valeur du point d'impôt péréquatif par habitant</t>
  </si>
  <si>
    <t>Financement du solde en points</t>
  </si>
  <si>
    <t>Alimentation de la péréquation directe</t>
  </si>
  <si>
    <t>Compensation</t>
  </si>
  <si>
    <t>Compensation pondérée</t>
  </si>
  <si>
    <t>Compensation population</t>
  </si>
  <si>
    <t>Compensation solidarité</t>
  </si>
  <si>
    <t>Compensation dépenses thématiques</t>
  </si>
  <si>
    <t>Montants à financer</t>
  </si>
  <si>
    <t>Couches péréquatives</t>
  </si>
  <si>
    <t>Compensation plafonds</t>
  </si>
  <si>
    <t>Effet net de la péréquation directe</t>
  </si>
  <si>
    <t>Compensation transports</t>
  </si>
  <si>
    <t>Compensation forêts</t>
  </si>
  <si>
    <t>Total des compensations</t>
  </si>
  <si>
    <t>Total du financement</t>
  </si>
  <si>
    <t>Forfait pour la gestion du système</t>
  </si>
  <si>
    <t>Taux projeté</t>
  </si>
  <si>
    <t>Impôts sur le revenu et la fortune</t>
  </si>
  <si>
    <t>Impôts sur le bénéfice et le capital, y compris compensation RFFA</t>
  </si>
  <si>
    <t>Prise en charge</t>
  </si>
  <si>
    <t>Répartition solde après prélèvements conjoncturels et écrêtage</t>
  </si>
  <si>
    <t>Facturation aux communes délégatrices</t>
  </si>
  <si>
    <t>F a c t u r e   p o l i c i è r e</t>
  </si>
  <si>
    <t>Répartition du solde de la facture</t>
  </si>
  <si>
    <t>Total de la facture policière</t>
  </si>
  <si>
    <t>Recherche par commune</t>
  </si>
  <si>
    <t>Total net de la péréquation directe</t>
  </si>
  <si>
    <t>D-A</t>
  </si>
  <si>
    <t>Facture
policière</t>
  </si>
  <si>
    <t>Solde</t>
  </si>
  <si>
    <t>Droits de mutation, gains immobiliers et successions</t>
  </si>
  <si>
    <t>Modifications de taxations antérieures</t>
  </si>
  <si>
    <t>Impôt sur la dépense</t>
  </si>
  <si>
    <t>PPR + PPF</t>
  </si>
  <si>
    <t>PMB + PMC</t>
  </si>
  <si>
    <t>PCS sans prélèvements conjoncturels</t>
  </si>
  <si>
    <t>Effort net sans dépenses thématiques et avec prélévements conjoncturels</t>
  </si>
  <si>
    <r>
      <t xml:space="preserve">Financement reçu pour les nouvelles tâches
</t>
    </r>
    <r>
      <rPr>
        <i/>
        <sz val="9"/>
        <color theme="0"/>
        <rFont val="Calibri"/>
        <family val="2"/>
        <scheme val="minor"/>
      </rPr>
      <t>(équivalent de 2 points d'impôt communaux)</t>
    </r>
  </si>
  <si>
    <r>
      <t xml:space="preserve">Facturation aux communes délégatrices 
</t>
    </r>
    <r>
      <rPr>
        <i/>
        <sz val="9"/>
        <color theme="0"/>
        <rFont val="Calibri"/>
        <family val="2"/>
        <scheme val="minor"/>
      </rPr>
      <t>(au maximum l'équivalent de 2 points d'impôt communaux)</t>
    </r>
  </si>
  <si>
    <t>Routes et infrastructures</t>
  </si>
  <si>
    <r>
      <t xml:space="preserve">
</t>
    </r>
    <r>
      <rPr>
        <sz val="8"/>
        <rFont val="Calibri"/>
        <family val="2"/>
        <scheme val="minor"/>
      </rPr>
      <t>*montants selon le fichier des acomptes initiaux adoptés par la COPAR. Ne tient pas compte des arrangements survenus en cours d'année. Les factures, respectivement les remboursements, seront gérés par les services concernés, à savoir :
- pour la péréquation indirecte, par le Département de la santé et de l'action sociale (DSAS) ;
- pour la péréquation directe, par la Direction générale des affaires institutionnelles et des communes (DGAIC);
- pour la facture policière, par la police cantonale (PolCant).</t>
    </r>
  </si>
  <si>
    <t>PCS - Détail écrêtage</t>
  </si>
  <si>
    <t>Détail écrêtage</t>
  </si>
  <si>
    <t>La participation à la cohésion sociale (PCS) est une facture cantonale faisant participer les communes au financement des dépenses engagées par le canton en faveur des couches les plus fragiles de la population. Elle est financée en trois étapes (prélèvements conjoncturels, écrêtage et répartition du solde en fonction de la valeur du point d'impôt).</t>
  </si>
  <si>
    <t>La méthode de calcul de l'écrêtage étant particulièrement élaborée, elle fait l'objet d'un onglet de calcul à part.</t>
  </si>
  <si>
    <t>Le fonds de péréquation intercommunal comprend trois couches de subventionnement et trois plafonds. Les montants versés sont financés par les communes proportionnellement à la valeur des leurs points d'impôt péréquatifs.</t>
  </si>
  <si>
    <t>Dépenses thématiques (DT)</t>
  </si>
  <si>
    <t>Solidarité</t>
  </si>
  <si>
    <t>Répartition entre les communes du coût des missions générales de police (MGP) accomplies par la police cantonale.</t>
  </si>
  <si>
    <t>Synthèse des transferts générés par chaque composante du système de péréquation.</t>
  </si>
  <si>
    <t>Compensation 
dépenses thématiques</t>
  </si>
  <si>
    <t>Fonds de péréquation intercommunal
(ou péréquation directe)</t>
  </si>
  <si>
    <t>Paramètres</t>
  </si>
  <si>
    <t>Différences entre le décompte et les acomptes déjà versés (pertinent uniquement dans le fichier avec le décompte).</t>
  </si>
  <si>
    <t>Plafonds (effort, aide et taux)</t>
  </si>
  <si>
    <t>Montant nécessaire pour financer le total des plafonnements</t>
  </si>
  <si>
    <t>Crans</t>
  </si>
  <si>
    <t>Régimes repris intégralement par le Canton dès 2022 selon art. 17b al. 2 let a LOF</t>
  </si>
  <si>
    <t>Montant brut de la PCS avant convention et déduction complémentaire</t>
  </si>
  <si>
    <t>Coût des agences d'assurances sociales reprise par l'Etat (hors PCS)</t>
  </si>
  <si>
    <t>Montant net de la PCS à la charge des communes communiqué par DSAS
Montant tenant compte de  :</t>
  </si>
  <si>
    <r>
      <rPr>
        <b/>
        <sz val="8"/>
        <rFont val="Calibri"/>
        <family val="2"/>
        <scheme val="minor"/>
      </rPr>
      <t xml:space="preserve">Suivi des modifications législatives depuis 2017
</t>
    </r>
    <r>
      <rPr>
        <sz val="8"/>
        <rFont val="Calibri"/>
        <family val="2"/>
        <scheme val="minor"/>
      </rPr>
      <t xml:space="preserve">
</t>
    </r>
    <r>
      <rPr>
        <b/>
        <sz val="8"/>
        <rFont val="Calibri"/>
        <family val="2"/>
        <scheme val="minor"/>
      </rPr>
      <t>2017</t>
    </r>
    <r>
      <rPr>
        <sz val="8"/>
        <rFont val="Calibri"/>
        <family val="2"/>
        <scheme val="minor"/>
      </rPr>
      <t xml:space="preserve">: point d'impôt écrêté à 65% et plafond de l'aide augmenté de 5 à 6,5 points.
</t>
    </r>
    <r>
      <rPr>
        <b/>
        <sz val="8"/>
        <rFont val="Calibri"/>
        <family val="2"/>
        <scheme val="minor"/>
      </rPr>
      <t>2018</t>
    </r>
    <r>
      <rPr>
        <sz val="8"/>
        <rFont val="Calibri"/>
        <family val="2"/>
        <scheme val="minor"/>
      </rPr>
      <t xml:space="preserve">: point d'impôt écrêté à 50% et plafond de l'effort provisoirement fixé à 45 points (2018-2019)
</t>
    </r>
    <r>
      <rPr>
        <b/>
        <sz val="8"/>
        <rFont val="Calibri"/>
        <family val="2"/>
        <scheme val="minor"/>
      </rPr>
      <t>Dès 2019</t>
    </r>
    <r>
      <rPr>
        <sz val="8"/>
        <rFont val="Calibri"/>
        <family val="2"/>
        <scheme val="minor"/>
      </rPr>
      <t xml:space="preserve">: plafond de l'aide augmenté à 8 points, abandon du point d'impôt écrêté, nouveau palier d'écrêtage entre 100% et 120%, diminution de 6 points pour les autres paliers d'écrêtage, augmentation à CHF 125.- de la première tranche de la couche population, augmentation de 4 à 4,5 points du plafond global pour les dépenses thématiques.
</t>
    </r>
    <r>
      <rPr>
        <b/>
        <sz val="8"/>
        <rFont val="Calibri"/>
        <family val="2"/>
        <scheme val="minor"/>
      </rPr>
      <t>Dès 2020</t>
    </r>
    <r>
      <rPr>
        <sz val="8"/>
        <rFont val="Calibri"/>
        <family val="2"/>
        <scheme val="minor"/>
      </rPr>
      <t xml:space="preserve">: Compensation RFFA répartie en fonction du rendement des impôts PM. Exclusion du montant du prélèvement sur les impôts conjoncturels du calcul de l'effort péréquatif. Plafond de l'effort provisoirement fixé à 48 points (2020-2021).
</t>
    </r>
    <r>
      <rPr>
        <b/>
        <sz val="8"/>
        <rFont val="Calibri"/>
        <family val="2"/>
        <scheme val="minor"/>
      </rPr>
      <t>2021</t>
    </r>
    <r>
      <rPr>
        <sz val="8"/>
        <rFont val="Calibri"/>
        <family val="2"/>
        <scheme val="minor"/>
      </rPr>
      <t xml:space="preserve">: déduction forfaitaire de CHF 25 millions au montant de la PCS (art. 19a LOF)
</t>
    </r>
    <r>
      <rPr>
        <b/>
        <sz val="8"/>
        <rFont val="Calibri"/>
        <family val="2"/>
        <scheme val="minor"/>
      </rPr>
      <t>Dès 2022</t>
    </r>
    <r>
      <rPr>
        <sz val="8"/>
        <rFont val="Calibri"/>
        <family val="2"/>
        <scheme val="minor"/>
      </rPr>
      <t>: reconduction du plafond de l'effort provisoire à 48 points (2022-2023), reprise par l'Etat de certaines dépenses sociales incluses jusqu'ici dans la PCS et application de la déduction forfaitaire complémentaire à la PCS prévue par l'art. 19a LOF.</t>
    </r>
  </si>
  <si>
    <t>Montant
prélevé</t>
  </si>
  <si>
    <t>Décompte 2022</t>
  </si>
  <si>
    <t>Comptes 2022</t>
  </si>
  <si>
    <t>Solde à déduire de la PCS selon convention (CHF 60 mios pour 2023)</t>
  </si>
  <si>
    <t>Blonay-Saint-Légier</t>
  </si>
  <si>
    <t>Contrôle total
rééquilibrage</t>
  </si>
  <si>
    <t>Sous-total (avant dépenses thématiques)</t>
  </si>
  <si>
    <t>Compensation (-) des dépenses thématiques à déterminer</t>
  </si>
  <si>
    <t>Résumé par commune</t>
  </si>
  <si>
    <t xml:space="preserve">  I m p ô t s   c o m m u n a u x</t>
  </si>
  <si>
    <t>Remarques/corrections</t>
  </si>
  <si>
    <t>Impôt sur le revenu PP</t>
  </si>
  <si>
    <t>Impôt sur la fortune PP</t>
  </si>
  <si>
    <t>Impôt personnel fixe</t>
  </si>
  <si>
    <t>Impôt sur le bénéfice PM</t>
  </si>
  <si>
    <t>Impôt sur le capital PM</t>
  </si>
  <si>
    <t>Impôt sur la dépense (anc. Spécial étranger)</t>
  </si>
  <si>
    <t>Impôt complémentaire sur immeubles PM</t>
  </si>
  <si>
    <t>Impôt foncier (non normalisé)</t>
  </si>
  <si>
    <t>Sous-total impôts</t>
  </si>
  <si>
    <r>
      <t>4411</t>
    </r>
    <r>
      <rPr>
        <sz val="10"/>
        <color indexed="9"/>
        <rFont val="Calibri"/>
        <family val="2"/>
        <scheme val="minor"/>
      </rPr>
      <t xml:space="preserve"> (a)</t>
    </r>
  </si>
  <si>
    <t>Impôt sur les frontaliers</t>
  </si>
  <si>
    <t>Impôt sur les successions et donations</t>
  </si>
  <si>
    <t>Impôt sur les gains immobiliers</t>
  </si>
  <si>
    <t>Participation et remboursement du canton</t>
  </si>
  <si>
    <t>Total des impôts</t>
  </si>
  <si>
    <t>3301/319</t>
  </si>
  <si>
    <t>Pertes sur débiteurs (défalcations/remises)</t>
  </si>
  <si>
    <t xml:space="preserve">  A u t r e s   i n f o r m a t i o n s</t>
  </si>
  <si>
    <t>La Syndique/Le Syndic</t>
  </si>
  <si>
    <t>La Secrétaire Municipale/Le Secrétaire Municipal</t>
  </si>
  <si>
    <t>Signatures</t>
  </si>
  <si>
    <t>Prénoms/noms</t>
  </si>
  <si>
    <t>Nous confirmons l'exactitude et la validité de ces montants. Ils correspondent aux chiffres que nous (commune) vous avons communiqué précédemment. Nous confirmons également l'exactitude des informations supplémentaires relatives aux taux d'imposition ainsi qu'à la population. Ces données seront utilisées pour le calcul du décompte final de la péréquation 2022.</t>
  </si>
  <si>
    <t>Taux d'imposition 2022</t>
  </si>
  <si>
    <t>Taux impôt foncier 2022 en 0/00</t>
  </si>
  <si>
    <t>Population au 31.12.2022 selon FAO</t>
  </si>
  <si>
    <t>Rendement impôts communaux pour le décompte péréquatif 2022</t>
  </si>
  <si>
    <t>Déjà corrigé droits de mutations de la commune de Sainte-Croix</t>
  </si>
  <si>
    <t>Total net</t>
  </si>
  <si>
    <t>Données -&gt; Analyse de scenario -&gt; Valeur cible. Définir C50, cibler 0, modifier B50.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</si>
</sst>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 _C_H_F_-;\-* #,##0.00\ _C_H_F_-;_-* &quot;-&quot;??\ _C_H_F_-;_-@_-"/>
    <numFmt numFmtId="165" formatCode="_ * #,##0.00_ ;_ * \-#,##0.00_ ;_ * &quot;-&quot;??_ ;_ @_ "/>
    <numFmt numFmtId="166" formatCode="#\ ###\ ###\ ##0"/>
    <numFmt numFmtId="167" formatCode="#,##0.0"/>
    <numFmt numFmtId="168" formatCode="0.0%"/>
    <numFmt numFmtId="169" formatCode="#\ ###\ ##0"/>
    <numFmt numFmtId="170" formatCode="0.000"/>
    <numFmt numFmtId="171" formatCode="#,##0.000"/>
    <numFmt numFmtId="172" formatCode="#,##0;\-#,##0;"/>
    <numFmt numFmtId="173" formatCode="#,##0.000000"/>
    <numFmt numFmtId="174" formatCode="0.0000"/>
    <numFmt numFmtId="175" formatCode="_-* #,##0_-;\-* #,##0_-;_-* &quot;-&quot;??_-;_-@_-"/>
    <numFmt numFmtId="176" formatCode="_ * #,##0_ ;_ * \-#,##0_ ;_ * &quot;-&quot;??_ ;_ @_ "/>
    <numFmt numFmtId="177" formatCode="_-* #,##0.0_-;\-* #,##0.0_-;_-* &quot;-&quot;??_-;_-@_-"/>
    <numFmt numFmtId="178" formatCode="_ * #,##0.000_ ;_ * \-#,##0.000_ ;_ * &quot;-&quot;??_ ;_ @_ "/>
    <numFmt numFmtId="179" formatCode="0_ ;\-0\ "/>
    <numFmt numFmtId="180" formatCode="#,##0_ ;\-#,##0\ "/>
    <numFmt numFmtId="181" formatCode="#,##0.00_ ;\-#,##0.00\ "/>
    <numFmt numFmtId="182" formatCode="_-* #,##0.000_-;\-* #,##0.000_-;_-* &quot;-&quot;??_-;_-@_-"/>
    <numFmt numFmtId="183" formatCode="0.0"/>
    <numFmt numFmtId="184" formatCode="_-* #,##0.00000_-;\-* #,##0.00000_-;_-* &quot;-&quot;??_-;_-@_-"/>
    <numFmt numFmtId="185" formatCode="[$-F800]dddd\,\ mmmm\ dd\,\ yyyy"/>
    <numFmt numFmtId="186" formatCode="[$-100C]d\ mmm\ yy;@"/>
  </numFmts>
  <fonts count="91"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0"/>
      <name val="Calibri"/>
      <family val="2"/>
      <scheme val="minor"/>
    </font>
    <font>
      <sz val="20"/>
      <color theme="0"/>
      <name val="Calibri"/>
      <family val="2"/>
      <scheme val="minor"/>
    </font>
    <font>
      <sz val="10"/>
      <name val="Arial"/>
      <family val="2"/>
    </font>
    <font>
      <sz val="10"/>
      <name val="Calibri"/>
      <family val="2"/>
      <scheme val="minor"/>
    </font>
    <font>
      <sz val="12"/>
      <color theme="0"/>
      <name val="Trebuchet MS"/>
      <family val="2"/>
    </font>
    <font>
      <b/>
      <sz val="10"/>
      <name val="Calibri"/>
      <family val="2"/>
      <scheme val="minor"/>
    </font>
    <font>
      <sz val="14"/>
      <name val="Trebuchet MS"/>
      <family val="2"/>
    </font>
    <font>
      <sz val="11"/>
      <color theme="0"/>
      <name val="Calibri"/>
      <family val="2"/>
    </font>
    <font>
      <sz val="11"/>
      <name val="Calibri"/>
      <family val="2"/>
    </font>
    <font>
      <sz val="8"/>
      <name val="Helvetica"/>
    </font>
    <font>
      <sz val="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9"/>
      <name val="Calibri"/>
      <family val="2"/>
      <scheme val="minor"/>
    </font>
    <font>
      <b/>
      <sz val="9"/>
      <color theme="1"/>
      <name val="Calibri"/>
      <family val="2"/>
      <scheme val="minor"/>
    </font>
    <font>
      <b/>
      <sz val="9"/>
      <color indexed="81"/>
      <name val="Tahoma"/>
      <family val="2"/>
    </font>
    <font>
      <sz val="8"/>
      <name val="Calibri"/>
      <family val="2"/>
      <scheme val="minor"/>
    </font>
    <font>
      <sz val="9"/>
      <name val="Calibri"/>
      <family val="2"/>
      <scheme val="minor"/>
    </font>
    <font>
      <u/>
      <sz val="10"/>
      <color theme="10"/>
      <name val="Verdana"/>
      <family val="2"/>
    </font>
    <font>
      <b/>
      <sz val="10"/>
      <name val="Verdana"/>
      <family val="2"/>
    </font>
    <font>
      <b/>
      <sz val="16"/>
      <name val="Verdana"/>
      <family val="2"/>
    </font>
    <font>
      <b/>
      <sz val="20"/>
      <name val="Calibri"/>
      <family val="2"/>
      <scheme val="minor"/>
    </font>
    <font>
      <sz val="11"/>
      <color rgb="FF0070C0"/>
      <name val="Calibri"/>
      <family val="2"/>
      <scheme val="minor"/>
    </font>
    <font>
      <sz val="12"/>
      <name val="Calibri"/>
      <family val="2"/>
      <scheme val="minor"/>
    </font>
    <font>
      <sz val="9"/>
      <color indexed="81"/>
      <name val="Tahoma"/>
      <family val="2"/>
    </font>
    <font>
      <i/>
      <sz val="9"/>
      <name val="Calibri"/>
      <family val="2"/>
      <scheme val="minor"/>
    </font>
    <font>
      <u/>
      <sz val="9"/>
      <color indexed="81"/>
      <name val="Tahoma"/>
      <family val="2"/>
    </font>
    <font>
      <i/>
      <sz val="9"/>
      <color theme="0"/>
      <name val="Calibri"/>
      <family val="2"/>
      <scheme val="minor"/>
    </font>
    <font>
      <b/>
      <sz val="8"/>
      <name val="Calibri"/>
      <family val="2"/>
      <scheme val="minor"/>
    </font>
    <font>
      <u/>
      <sz val="8"/>
      <color theme="10"/>
      <name val="Verdana"/>
      <family val="2"/>
    </font>
    <font>
      <sz val="11"/>
      <color rgb="FFFF0000"/>
      <name val="Calibri"/>
      <family val="2"/>
      <scheme val="minor"/>
    </font>
    <font>
      <b/>
      <sz val="11"/>
      <color theme="0"/>
      <name val="Calibri"/>
      <family val="2"/>
      <scheme val="minor"/>
    </font>
    <font>
      <sz val="24"/>
      <name val="Calibri"/>
      <family val="2"/>
      <scheme val="minor"/>
    </font>
    <font>
      <b/>
      <sz val="18"/>
      <name val="Calibri"/>
      <family val="2"/>
      <scheme val="minor"/>
    </font>
    <font>
      <sz val="18"/>
      <name val="Calibri"/>
      <family val="2"/>
      <scheme val="minor"/>
    </font>
    <font>
      <sz val="10"/>
      <color indexed="8"/>
      <name val="Calibri"/>
      <family val="2"/>
      <scheme val="minor"/>
    </font>
    <font>
      <b/>
      <sz val="10"/>
      <color indexed="8"/>
      <name val="Calibri"/>
      <family val="2"/>
      <scheme val="minor"/>
    </font>
    <font>
      <sz val="10"/>
      <color theme="0"/>
      <name val="Calibri"/>
      <family val="2"/>
      <scheme val="minor"/>
    </font>
    <font>
      <sz val="10"/>
      <color indexed="9"/>
      <name val="Calibri"/>
      <family val="2"/>
      <scheme val="minor"/>
    </font>
    <font>
      <i/>
      <sz val="8"/>
      <name val="Calibri"/>
      <family val="2"/>
      <scheme val="minor"/>
    </font>
    <font>
      <sz val="11"/>
      <color rgb="FFFF0000"/>
      <name val="Calibri"/>
      <family val="2"/>
    </font>
    <font>
      <sz val="9"/>
      <color theme="1"/>
      <name val="Calibri"/>
      <family val="2"/>
      <scheme val="minor"/>
    </font>
  </fonts>
  <fills count="4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theme="6"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rgb="FF0070C0"/>
        <bgColor indexed="64"/>
      </patternFill>
    </fill>
    <fill>
      <patternFill patternType="solid">
        <fgColor rgb="FFC00000"/>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0" tint="-0.34998626667073579"/>
        <bgColor indexed="64"/>
      </patternFill>
    </fill>
  </fills>
  <borders count="35">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indexed="8"/>
      </top>
      <bottom/>
      <diagonal/>
    </border>
    <border>
      <left style="hair">
        <color indexed="8"/>
      </left>
      <right style="hair">
        <color indexed="8"/>
      </right>
      <top style="hair">
        <color indexed="8"/>
      </top>
      <bottom style="hair">
        <color indexed="8"/>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left>
      <right style="thin">
        <color theme="0"/>
      </right>
      <top/>
      <bottom style="thin">
        <color indexed="64"/>
      </bottom>
      <diagonal/>
    </border>
    <border>
      <left/>
      <right style="thin">
        <color theme="0"/>
      </right>
      <top/>
      <bottom style="thin">
        <color indexed="64"/>
      </bottom>
      <diagonal/>
    </border>
    <border>
      <left style="thin">
        <color rgb="FFC00000"/>
      </left>
      <right style="thin">
        <color rgb="FFC00000"/>
      </right>
      <top style="thin">
        <color rgb="FFC00000"/>
      </top>
      <bottom/>
      <diagonal/>
    </border>
    <border>
      <left/>
      <right/>
      <top/>
      <bottom style="hair">
        <color indexed="64"/>
      </bottom>
      <diagonal/>
    </border>
  </borders>
  <cellStyleXfs count="670">
    <xf numFmtId="0" fontId="0" fillId="0" borderId="0"/>
    <xf numFmtId="0" fontId="22" fillId="0" borderId="1"/>
    <xf numFmtId="0" fontId="23" fillId="0" borderId="0"/>
    <xf numFmtId="0" fontId="22" fillId="0" borderId="2">
      <alignment vertical="top"/>
    </xf>
    <xf numFmtId="43" fontId="17"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0" fontId="24" fillId="0" borderId="0"/>
    <xf numFmtId="0" fontId="21" fillId="0" borderId="0"/>
    <xf numFmtId="0" fontId="19" fillId="0" borderId="0"/>
    <xf numFmtId="0" fontId="25" fillId="0" borderId="0"/>
    <xf numFmtId="0" fontId="18" fillId="0" borderId="0"/>
    <xf numFmtId="9" fontId="17" fillId="0" borderId="0" applyFont="0" applyFill="0" applyBorder="0" applyAlignment="0" applyProtection="0"/>
    <xf numFmtId="9" fontId="19" fillId="0" borderId="0" applyFont="0" applyFill="0" applyBorder="0" applyAlignment="0" applyProtection="0"/>
    <xf numFmtId="165" fontId="35" fillId="0" borderId="0" applyFont="0" applyFill="0" applyBorder="0" applyAlignment="0" applyProtection="0"/>
    <xf numFmtId="0" fontId="35" fillId="0" borderId="0"/>
    <xf numFmtId="165" fontId="15" fillId="0" borderId="0" applyFont="0" applyFill="0" applyBorder="0" applyAlignment="0" applyProtection="0"/>
    <xf numFmtId="0" fontId="15" fillId="0" borderId="0"/>
    <xf numFmtId="0" fontId="17"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9" fillId="0" borderId="0" applyFont="0" applyFill="0" applyBorder="0" applyAlignment="0" applyProtection="0"/>
    <xf numFmtId="0" fontId="14" fillId="0" borderId="0"/>
    <xf numFmtId="0" fontId="14" fillId="0" borderId="0"/>
    <xf numFmtId="0" fontId="14" fillId="0" borderId="0"/>
    <xf numFmtId="0" fontId="14" fillId="0" borderId="0"/>
    <xf numFmtId="0" fontId="19"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19" fillId="0" borderId="0"/>
    <xf numFmtId="0" fontId="19"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9" fillId="0" borderId="0"/>
    <xf numFmtId="165" fontId="9"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0" fontId="7" fillId="0" borderId="0"/>
    <xf numFmtId="9" fontId="7"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19"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42" fillId="0" borderId="5" applyBorder="0">
      <alignment horizontal="center" textRotation="90"/>
    </xf>
    <xf numFmtId="0" fontId="43" fillId="0" borderId="0"/>
    <xf numFmtId="0" fontId="3" fillId="0" borderId="0"/>
    <xf numFmtId="9"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165" fontId="3" fillId="0" borderId="0" applyFont="0" applyFill="0" applyBorder="0" applyAlignment="0" applyProtection="0"/>
    <xf numFmtId="0" fontId="3" fillId="0" borderId="0"/>
    <xf numFmtId="9" fontId="17"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17"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19" fillId="0" borderId="0"/>
    <xf numFmtId="0" fontId="44" fillId="0" borderId="0">
      <alignment vertical="top"/>
    </xf>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2" borderId="0" applyNumberFormat="0" applyBorder="0" applyAlignment="0" applyProtection="0"/>
    <xf numFmtId="0" fontId="45" fillId="15" borderId="0" applyNumberFormat="0" applyBorder="0" applyAlignment="0" applyProtection="0"/>
    <xf numFmtId="0" fontId="45" fillId="18" borderId="0" applyNumberFormat="0" applyBorder="0" applyAlignment="0" applyProtection="0"/>
    <xf numFmtId="0" fontId="46" fillId="19"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6" borderId="0" applyNumberFormat="0" applyBorder="0" applyAlignment="0" applyProtection="0"/>
    <xf numFmtId="0" fontId="47" fillId="0" borderId="0" applyNumberFormat="0" applyFill="0" applyBorder="0" applyAlignment="0" applyProtection="0"/>
    <xf numFmtId="0" fontId="48" fillId="27" borderId="18" applyNumberFormat="0" applyAlignment="0" applyProtection="0"/>
    <xf numFmtId="0" fontId="49" fillId="0" borderId="19" applyNumberFormat="0" applyFill="0" applyAlignment="0" applyProtection="0"/>
    <xf numFmtId="0" fontId="50" fillId="14" borderId="18" applyNumberFormat="0" applyAlignment="0" applyProtection="0"/>
    <xf numFmtId="0" fontId="51" fillId="10" borderId="0" applyNumberFormat="0" applyBorder="0" applyAlignment="0" applyProtection="0"/>
    <xf numFmtId="165" fontId="21" fillId="0" borderId="0" applyFont="0" applyFill="0" applyBorder="0" applyAlignment="0" applyProtection="0">
      <alignment vertical="top"/>
    </xf>
    <xf numFmtId="0" fontId="52" fillId="28" borderId="0" applyNumberFormat="0" applyBorder="0" applyAlignment="0" applyProtection="0"/>
    <xf numFmtId="0" fontId="24" fillId="0" borderId="0"/>
    <xf numFmtId="0" fontId="53" fillId="11" borderId="0" applyNumberFormat="0" applyBorder="0" applyAlignment="0" applyProtection="0"/>
    <xf numFmtId="0" fontId="54" fillId="27" borderId="20"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21" applyNumberFormat="0" applyFill="0" applyAlignment="0" applyProtection="0"/>
    <xf numFmtId="0" fontId="58" fillId="0" borderId="22" applyNumberFormat="0" applyFill="0" applyAlignment="0" applyProtection="0"/>
    <xf numFmtId="0" fontId="59" fillId="0" borderId="23" applyNumberFormat="0" applyFill="0" applyAlignment="0" applyProtection="0"/>
    <xf numFmtId="0" fontId="59" fillId="0" borderId="0" applyNumberFormat="0" applyFill="0" applyBorder="0" applyAlignment="0" applyProtection="0"/>
    <xf numFmtId="0" fontId="60" fillId="0" borderId="24" applyNumberFormat="0" applyFill="0" applyAlignment="0" applyProtection="0"/>
    <xf numFmtId="0" fontId="61" fillId="29" borderId="25" applyNumberFormat="0" applyAlignment="0" applyProtection="0"/>
    <xf numFmtId="0" fontId="3" fillId="0" borderId="0"/>
    <xf numFmtId="165" fontId="3" fillId="0" borderId="0" applyFont="0" applyFill="0" applyBorder="0" applyAlignment="0" applyProtection="0"/>
    <xf numFmtId="0" fontId="22" fillId="0" borderId="26"/>
    <xf numFmtId="0" fontId="22" fillId="0" borderId="27">
      <alignment vertical="top"/>
    </xf>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67" fillId="0" borderId="0" applyNumberFormat="0" applyFill="0" applyBorder="0" applyAlignment="0" applyProtection="0"/>
    <xf numFmtId="0" fontId="21" fillId="0" borderId="0">
      <alignment vertical="top"/>
    </xf>
  </cellStyleXfs>
  <cellXfs count="796">
    <xf numFmtId="0" fontId="0" fillId="0" borderId="0" xfId="0"/>
    <xf numFmtId="175" fontId="27" fillId="0" borderId="0" xfId="4" applyNumberFormat="1" applyFont="1" applyFill="1" applyBorder="1"/>
    <xf numFmtId="0" fontId="27" fillId="3" borderId="0" xfId="0" applyNumberFormat="1" applyFont="1" applyFill="1" applyAlignment="1">
      <alignment horizontal="left"/>
    </xf>
    <xf numFmtId="0" fontId="27" fillId="3" borderId="0" xfId="0" applyNumberFormat="1" applyFont="1" applyFill="1" applyAlignment="1">
      <alignment horizontal="center"/>
    </xf>
    <xf numFmtId="175" fontId="27" fillId="3" borderId="0" xfId="4" applyNumberFormat="1" applyFont="1" applyFill="1" applyAlignment="1">
      <alignment horizontal="center"/>
    </xf>
    <xf numFmtId="175" fontId="27" fillId="3" borderId="0" xfId="4" applyNumberFormat="1" applyFont="1" applyFill="1"/>
    <xf numFmtId="0" fontId="27" fillId="3" borderId="14" xfId="0" applyNumberFormat="1" applyFont="1" applyFill="1" applyBorder="1" applyAlignment="1">
      <alignment horizontal="center"/>
    </xf>
    <xf numFmtId="0" fontId="27" fillId="3" borderId="5" xfId="0" applyNumberFormat="1" applyFont="1" applyFill="1" applyBorder="1" applyAlignment="1">
      <alignment horizontal="center"/>
    </xf>
    <xf numFmtId="175" fontId="27" fillId="3" borderId="5" xfId="4" applyNumberFormat="1" applyFont="1" applyFill="1" applyBorder="1"/>
    <xf numFmtId="175" fontId="27" fillId="3" borderId="14" xfId="4" applyNumberFormat="1" applyFont="1" applyFill="1" applyBorder="1"/>
    <xf numFmtId="3" fontId="27" fillId="3" borderId="0" xfId="0" applyNumberFormat="1" applyFont="1" applyFill="1"/>
    <xf numFmtId="0" fontId="27" fillId="3" borderId="0" xfId="0" applyFont="1" applyFill="1"/>
    <xf numFmtId="175" fontId="27" fillId="3" borderId="0" xfId="4" applyNumberFormat="1" applyFont="1" applyFill="1" applyBorder="1"/>
    <xf numFmtId="43" fontId="27" fillId="3" borderId="0" xfId="4" applyFont="1" applyFill="1"/>
    <xf numFmtId="0" fontId="27" fillId="3" borderId="0" xfId="0" applyFont="1" applyFill="1" applyAlignment="1">
      <alignment vertical="top" wrapText="1"/>
    </xf>
    <xf numFmtId="43" fontId="27" fillId="3" borderId="0" xfId="0" applyNumberFormat="1" applyFont="1" applyFill="1"/>
    <xf numFmtId="175" fontId="27" fillId="3" borderId="3" xfId="4" applyNumberFormat="1" applyFont="1" applyFill="1" applyBorder="1"/>
    <xf numFmtId="43" fontId="27" fillId="3" borderId="14" xfId="4" applyFont="1" applyFill="1" applyBorder="1"/>
    <xf numFmtId="0" fontId="27" fillId="3" borderId="0" xfId="0" applyFont="1" applyFill="1" applyAlignment="1">
      <alignment horizontal="center"/>
    </xf>
    <xf numFmtId="166" fontId="27" fillId="3" borderId="17" xfId="0" applyNumberFormat="1" applyFont="1" applyFill="1" applyBorder="1" applyAlignment="1">
      <alignment horizontal="center"/>
    </xf>
    <xf numFmtId="0" fontId="29" fillId="3" borderId="0" xfId="0" applyNumberFormat="1" applyFont="1" applyFill="1" applyAlignment="1">
      <alignment horizontal="left"/>
    </xf>
    <xf numFmtId="0" fontId="29" fillId="3" borderId="0" xfId="0" applyNumberFormat="1" applyFont="1" applyFill="1" applyAlignment="1">
      <alignment horizontal="center"/>
    </xf>
    <xf numFmtId="0" fontId="28" fillId="3" borderId="0" xfId="0" applyFont="1" applyFill="1"/>
    <xf numFmtId="4" fontId="27" fillId="3" borderId="0" xfId="0" applyNumberFormat="1" applyFont="1" applyFill="1"/>
    <xf numFmtId="166" fontId="27" fillId="3" borderId="0" xfId="0" applyNumberFormat="1" applyFont="1" applyFill="1" applyAlignment="1">
      <alignment horizontal="left"/>
    </xf>
    <xf numFmtId="0" fontId="27" fillId="3" borderId="14" xfId="0" applyFont="1" applyFill="1" applyBorder="1"/>
    <xf numFmtId="175" fontId="27" fillId="3" borderId="11" xfId="4" applyNumberFormat="1" applyFont="1" applyFill="1" applyBorder="1"/>
    <xf numFmtId="3" fontId="27" fillId="3" borderId="5" xfId="0" applyNumberFormat="1" applyFont="1" applyFill="1" applyBorder="1"/>
    <xf numFmtId="43" fontId="27" fillId="3" borderId="5" xfId="4" applyFont="1" applyFill="1" applyBorder="1"/>
    <xf numFmtId="175" fontId="27" fillId="3" borderId="0" xfId="0" applyNumberFormat="1" applyFont="1" applyFill="1"/>
    <xf numFmtId="175" fontId="27" fillId="4" borderId="14" xfId="4" applyNumberFormat="1" applyFont="1" applyFill="1" applyBorder="1"/>
    <xf numFmtId="175" fontId="27" fillId="3" borderId="9" xfId="4" applyNumberFormat="1" applyFont="1" applyFill="1" applyBorder="1"/>
    <xf numFmtId="3" fontId="27" fillId="3" borderId="0" xfId="11" applyNumberFormat="1" applyFont="1" applyFill="1" applyAlignment="1">
      <alignment vertical="center"/>
    </xf>
    <xf numFmtId="0" fontId="27" fillId="3" borderId="0" xfId="11" applyFont="1" applyFill="1" applyAlignment="1">
      <alignment vertical="center"/>
    </xf>
    <xf numFmtId="175" fontId="27" fillId="3" borderId="0" xfId="4" applyNumberFormat="1" applyFont="1" applyFill="1" applyAlignment="1">
      <alignment vertical="center"/>
    </xf>
    <xf numFmtId="0" fontId="27" fillId="3" borderId="0" xfId="0" applyFont="1" applyFill="1" applyBorder="1"/>
    <xf numFmtId="0" fontId="27" fillId="3" borderId="4" xfId="0" applyFont="1" applyFill="1" applyBorder="1" applyAlignment="1">
      <alignment horizontal="center"/>
    </xf>
    <xf numFmtId="0" fontId="27" fillId="3" borderId="0" xfId="0" quotePrefix="1" applyFont="1" applyFill="1"/>
    <xf numFmtId="0" fontId="27" fillId="3" borderId="5" xfId="0" applyFont="1" applyFill="1" applyBorder="1" applyAlignment="1">
      <alignment horizontal="center"/>
    </xf>
    <xf numFmtId="0" fontId="27" fillId="3" borderId="3" xfId="0" applyFont="1" applyFill="1" applyBorder="1" applyAlignment="1">
      <alignment horizontal="center"/>
    </xf>
    <xf numFmtId="0" fontId="28" fillId="3" borderId="0" xfId="11" applyFont="1" applyFill="1"/>
    <xf numFmtId="175" fontId="27" fillId="3" borderId="4" xfId="4" applyNumberFormat="1" applyFont="1" applyFill="1" applyBorder="1"/>
    <xf numFmtId="175" fontId="27" fillId="4" borderId="5" xfId="4" applyNumberFormat="1" applyFont="1" applyFill="1" applyBorder="1"/>
    <xf numFmtId="0" fontId="27" fillId="3" borderId="0" xfId="11" applyFont="1" applyFill="1" applyBorder="1" applyAlignment="1">
      <alignment vertical="center"/>
    </xf>
    <xf numFmtId="10" fontId="27" fillId="3" borderId="0" xfId="12" applyNumberFormat="1" applyFont="1" applyFill="1" applyAlignment="1">
      <alignment vertical="center"/>
    </xf>
    <xf numFmtId="10" fontId="27" fillId="3" borderId="0" xfId="12" applyNumberFormat="1" applyFont="1" applyFill="1"/>
    <xf numFmtId="4" fontId="27" fillId="3" borderId="14" xfId="0" applyNumberFormat="1" applyFont="1" applyFill="1" applyBorder="1"/>
    <xf numFmtId="10" fontId="27" fillId="3" borderId="14" xfId="12" applyNumberFormat="1" applyFont="1" applyFill="1" applyBorder="1"/>
    <xf numFmtId="0" fontId="26" fillId="5" borderId="14" xfId="0" applyFont="1" applyFill="1" applyBorder="1" applyAlignment="1">
      <alignment horizontal="center" vertical="center" wrapText="1"/>
    </xf>
    <xf numFmtId="169" fontId="27" fillId="3" borderId="0" xfId="11" applyNumberFormat="1" applyFont="1" applyFill="1" applyAlignment="1">
      <alignment vertical="center"/>
    </xf>
    <xf numFmtId="175" fontId="27" fillId="3" borderId="15" xfId="4" applyNumberFormat="1" applyFont="1" applyFill="1" applyBorder="1"/>
    <xf numFmtId="175" fontId="27" fillId="3" borderId="16" xfId="4" applyNumberFormat="1" applyFont="1" applyFill="1" applyBorder="1"/>
    <xf numFmtId="170" fontId="27" fillId="3" borderId="0" xfId="0" applyNumberFormat="1" applyFont="1" applyFill="1"/>
    <xf numFmtId="0" fontId="27" fillId="3" borderId="0" xfId="0" applyFont="1" applyFill="1" applyAlignment="1">
      <alignment vertical="top"/>
    </xf>
    <xf numFmtId="3" fontId="27" fillId="3" borderId="0" xfId="0" applyNumberFormat="1" applyFont="1" applyFill="1" applyAlignment="1">
      <alignment vertical="top"/>
    </xf>
    <xf numFmtId="3" fontId="27" fillId="3" borderId="0" xfId="0" applyNumberFormat="1" applyFont="1" applyFill="1" applyBorder="1" applyAlignment="1">
      <alignment vertical="top" wrapText="1"/>
    </xf>
    <xf numFmtId="0" fontId="27" fillId="3" borderId="14" xfId="0" applyFont="1" applyFill="1" applyBorder="1" applyAlignment="1">
      <alignment horizontal="center"/>
    </xf>
    <xf numFmtId="173" fontId="27" fillId="3" borderId="0" xfId="0" applyNumberFormat="1" applyFont="1" applyFill="1" applyAlignment="1">
      <alignment vertical="top"/>
    </xf>
    <xf numFmtId="175" fontId="27" fillId="3" borderId="12" xfId="4" applyNumberFormat="1" applyFont="1" applyFill="1" applyBorder="1"/>
    <xf numFmtId="43" fontId="27" fillId="3" borderId="4" xfId="4" applyFont="1" applyFill="1" applyBorder="1"/>
    <xf numFmtId="169" fontId="27" fillId="3" borderId="0" xfId="0" applyNumberFormat="1" applyFont="1" applyFill="1"/>
    <xf numFmtId="3" fontId="27" fillId="3" borderId="14" xfId="12" applyNumberFormat="1" applyFont="1" applyFill="1" applyBorder="1"/>
    <xf numFmtId="43" fontId="27" fillId="3" borderId="14" xfId="4" applyNumberFormat="1" applyFont="1" applyFill="1" applyBorder="1"/>
    <xf numFmtId="175" fontId="27" fillId="7" borderId="14" xfId="4" applyNumberFormat="1" applyFont="1" applyFill="1" applyBorder="1"/>
    <xf numFmtId="175" fontId="27" fillId="4" borderId="4" xfId="4" applyNumberFormat="1" applyFont="1" applyFill="1" applyBorder="1"/>
    <xf numFmtId="175" fontId="27" fillId="4" borderId="3" xfId="4" applyNumberFormat="1" applyFont="1" applyFill="1" applyBorder="1"/>
    <xf numFmtId="3" fontId="26" fillId="5" borderId="4" xfId="0" applyNumberFormat="1" applyFont="1" applyFill="1" applyBorder="1"/>
    <xf numFmtId="0" fontId="26" fillId="5" borderId="0" xfId="0" applyFont="1" applyFill="1"/>
    <xf numFmtId="0" fontId="27" fillId="3" borderId="8" xfId="0" applyFont="1" applyFill="1" applyBorder="1" applyAlignment="1">
      <alignment horizontal="center"/>
    </xf>
    <xf numFmtId="0" fontId="26" fillId="5" borderId="3" xfId="0" applyFont="1" applyFill="1" applyBorder="1" applyAlignment="1">
      <alignment horizontal="center"/>
    </xf>
    <xf numFmtId="175" fontId="27" fillId="3" borderId="13" xfId="4" applyNumberFormat="1" applyFont="1" applyFill="1" applyBorder="1"/>
    <xf numFmtId="2" fontId="27" fillId="3" borderId="0" xfId="0" applyNumberFormat="1" applyFont="1" applyFill="1"/>
    <xf numFmtId="175" fontId="27" fillId="4" borderId="11" xfId="4" applyNumberFormat="1" applyFont="1" applyFill="1" applyBorder="1"/>
    <xf numFmtId="171" fontId="27" fillId="3" borderId="0" xfId="0" applyNumberFormat="1" applyFont="1" applyFill="1"/>
    <xf numFmtId="166" fontId="27" fillId="3" borderId="14" xfId="0" applyNumberFormat="1" applyFont="1" applyFill="1" applyBorder="1" applyAlignment="1">
      <alignment horizontal="center"/>
    </xf>
    <xf numFmtId="175" fontId="27" fillId="3" borderId="7" xfId="4" applyNumberFormat="1" applyFont="1" applyFill="1" applyBorder="1"/>
    <xf numFmtId="0" fontId="26" fillId="5" borderId="17" xfId="0" applyFont="1" applyFill="1" applyBorder="1"/>
    <xf numFmtId="0" fontId="26" fillId="5" borderId="6" xfId="0" applyFont="1" applyFill="1" applyBorder="1"/>
    <xf numFmtId="0" fontId="26" fillId="5" borderId="14" xfId="0" applyFont="1" applyFill="1" applyBorder="1" applyAlignment="1">
      <alignment horizontal="center"/>
    </xf>
    <xf numFmtId="43" fontId="27" fillId="3" borderId="0" xfId="4" applyFont="1" applyFill="1" applyBorder="1" applyAlignment="1">
      <alignment vertical="center"/>
    </xf>
    <xf numFmtId="43" fontId="27" fillId="3" borderId="0" xfId="4" applyFont="1" applyFill="1" applyAlignment="1">
      <alignment vertical="center"/>
    </xf>
    <xf numFmtId="172" fontId="27" fillId="3" borderId="0" xfId="0" applyNumberFormat="1" applyFont="1" applyFill="1"/>
    <xf numFmtId="167" fontId="27" fillId="3" borderId="12" xfId="0" applyNumberFormat="1" applyFont="1" applyFill="1" applyBorder="1"/>
    <xf numFmtId="167" fontId="27" fillId="3" borderId="11" xfId="0" applyNumberFormat="1" applyFont="1" applyFill="1" applyBorder="1"/>
    <xf numFmtId="0" fontId="31" fillId="3" borderId="0" xfId="0" applyFont="1" applyFill="1"/>
    <xf numFmtId="0" fontId="32" fillId="3" borderId="5" xfId="0" applyFont="1" applyFill="1" applyBorder="1" applyAlignment="1">
      <alignment horizontal="center"/>
    </xf>
    <xf numFmtId="0" fontId="32" fillId="3" borderId="0" xfId="0" applyFont="1" applyFill="1"/>
    <xf numFmtId="0" fontId="27" fillId="7" borderId="0" xfId="0" applyFont="1" applyFill="1"/>
    <xf numFmtId="0" fontId="27" fillId="7" borderId="0" xfId="0" applyFont="1" applyFill="1" applyBorder="1"/>
    <xf numFmtId="0" fontId="28" fillId="7" borderId="0" xfId="0" applyFont="1" applyFill="1"/>
    <xf numFmtId="174" fontId="27" fillId="7" borderId="0" xfId="0" applyNumberFormat="1" applyFont="1" applyFill="1" applyBorder="1"/>
    <xf numFmtId="3" fontId="27" fillId="7" borderId="0" xfId="0" applyNumberFormat="1" applyFont="1" applyFill="1"/>
    <xf numFmtId="2" fontId="27" fillId="7" borderId="0" xfId="0" applyNumberFormat="1" applyFont="1" applyFill="1"/>
    <xf numFmtId="9" fontId="27" fillId="7" borderId="0" xfId="0" applyNumberFormat="1" applyFont="1" applyFill="1" applyBorder="1" applyAlignment="1">
      <alignment horizontal="center" vertical="top" wrapText="1"/>
    </xf>
    <xf numFmtId="2" fontId="27" fillId="7" borderId="0" xfId="0" applyNumberFormat="1" applyFont="1" applyFill="1" applyBorder="1" applyAlignment="1">
      <alignment horizontal="center"/>
    </xf>
    <xf numFmtId="10" fontId="27" fillId="7" borderId="14" xfId="0" applyNumberFormat="1" applyFont="1" applyFill="1" applyBorder="1" applyAlignment="1">
      <alignment horizontal="center" vertical="top" wrapText="1"/>
    </xf>
    <xf numFmtId="170" fontId="27" fillId="7" borderId="0" xfId="0" applyNumberFormat="1" applyFont="1" applyFill="1" applyBorder="1"/>
    <xf numFmtId="3" fontId="27" fillId="7" borderId="0" xfId="0" applyNumberFormat="1" applyFont="1" applyFill="1" applyBorder="1"/>
    <xf numFmtId="43" fontId="27" fillId="7" borderId="0" xfId="4" applyFont="1" applyFill="1" applyBorder="1"/>
    <xf numFmtId="0" fontId="27" fillId="7" borderId="14" xfId="0" applyFont="1" applyFill="1" applyBorder="1"/>
    <xf numFmtId="43" fontId="27" fillId="7" borderId="14" xfId="4" applyFont="1" applyFill="1" applyBorder="1"/>
    <xf numFmtId="0" fontId="27" fillId="7" borderId="0" xfId="0" applyFont="1" applyFill="1" applyAlignment="1">
      <alignment vertical="top"/>
    </xf>
    <xf numFmtId="0" fontId="29" fillId="7" borderId="0" xfId="0" applyFont="1" applyFill="1"/>
    <xf numFmtId="9" fontId="27" fillId="6" borderId="14" xfId="0" applyNumberFormat="1" applyFont="1" applyFill="1" applyBorder="1" applyAlignment="1">
      <alignment horizontal="center" vertical="top" wrapText="1"/>
    </xf>
    <xf numFmtId="10" fontId="27" fillId="6" borderId="14" xfId="0" applyNumberFormat="1" applyFont="1" applyFill="1" applyBorder="1" applyAlignment="1">
      <alignment horizontal="center"/>
    </xf>
    <xf numFmtId="0" fontId="27" fillId="7" borderId="0" xfId="0" applyFont="1" applyFill="1" applyBorder="1" applyAlignment="1"/>
    <xf numFmtId="0" fontId="27" fillId="7" borderId="0" xfId="0" applyFont="1" applyFill="1" applyBorder="1" applyAlignment="1">
      <alignment horizontal="left" vertical="top"/>
    </xf>
    <xf numFmtId="0" fontId="27" fillId="7" borderId="0" xfId="0" applyFont="1" applyFill="1" applyBorder="1" applyAlignment="1">
      <alignment horizontal="left"/>
    </xf>
    <xf numFmtId="3" fontId="27" fillId="7" borderId="14" xfId="0" applyNumberFormat="1" applyFont="1" applyFill="1" applyBorder="1" applyAlignment="1">
      <alignment horizontal="center"/>
    </xf>
    <xf numFmtId="9" fontId="27" fillId="6" borderId="14" xfId="0" applyNumberFormat="1" applyFont="1" applyFill="1" applyBorder="1" applyAlignment="1">
      <alignment horizontal="center"/>
    </xf>
    <xf numFmtId="0" fontId="27" fillId="6" borderId="14" xfId="0" applyFont="1" applyFill="1" applyBorder="1" applyAlignment="1">
      <alignment horizontal="center" vertical="top" wrapText="1"/>
    </xf>
    <xf numFmtId="0" fontId="27" fillId="7" borderId="4" xfId="0" applyFont="1" applyFill="1" applyBorder="1" applyAlignment="1">
      <alignment horizontal="center" vertical="center" wrapText="1"/>
    </xf>
    <xf numFmtId="176" fontId="27" fillId="7" borderId="14" xfId="4" applyNumberFormat="1" applyFont="1" applyFill="1" applyBorder="1"/>
    <xf numFmtId="0" fontId="29" fillId="7" borderId="0" xfId="0" applyFont="1" applyFill="1" applyBorder="1"/>
    <xf numFmtId="4" fontId="27" fillId="3" borderId="0" xfId="0" applyNumberFormat="1" applyFont="1" applyFill="1" applyBorder="1"/>
    <xf numFmtId="175" fontId="27" fillId="7" borderId="0" xfId="4" applyNumberFormat="1" applyFont="1" applyFill="1"/>
    <xf numFmtId="0" fontId="33" fillId="7" borderId="0" xfId="0" applyFont="1" applyFill="1"/>
    <xf numFmtId="175" fontId="33" fillId="7" borderId="0" xfId="4" applyNumberFormat="1" applyFont="1" applyFill="1"/>
    <xf numFmtId="175" fontId="26" fillId="5" borderId="0" xfId="4" applyNumberFormat="1" applyFont="1" applyFill="1"/>
    <xf numFmtId="0" fontId="33" fillId="7" borderId="0" xfId="0" applyFont="1" applyFill="1" applyAlignment="1">
      <alignment horizontal="right"/>
    </xf>
    <xf numFmtId="169" fontId="30" fillId="3" borderId="0" xfId="11" applyNumberFormat="1" applyFont="1" applyFill="1" applyBorder="1" applyAlignment="1">
      <alignment vertical="center"/>
    </xf>
    <xf numFmtId="176" fontId="27" fillId="3" borderId="0" xfId="14" applyNumberFormat="1" applyFont="1" applyFill="1" applyBorder="1" applyAlignment="1">
      <alignment vertical="center"/>
    </xf>
    <xf numFmtId="0" fontId="28" fillId="3" borderId="0" xfId="11" applyFont="1" applyFill="1" applyBorder="1"/>
    <xf numFmtId="176" fontId="28" fillId="3" borderId="0" xfId="14" applyNumberFormat="1" applyFont="1" applyFill="1" applyBorder="1"/>
    <xf numFmtId="0" fontId="27" fillId="3" borderId="0" xfId="15" applyFont="1" applyFill="1"/>
    <xf numFmtId="0" fontId="27" fillId="3" borderId="0" xfId="15" applyFont="1" applyFill="1" applyBorder="1"/>
    <xf numFmtId="176" fontId="27" fillId="3" borderId="0" xfId="14" applyNumberFormat="1" applyFont="1" applyFill="1" applyBorder="1"/>
    <xf numFmtId="165" fontId="27" fillId="3" borderId="5" xfId="14" applyFont="1" applyFill="1" applyBorder="1"/>
    <xf numFmtId="176" fontId="16" fillId="3" borderId="0" xfId="14" applyNumberFormat="1" applyFont="1" applyFill="1" applyBorder="1" applyAlignment="1">
      <alignment horizontal="left"/>
    </xf>
    <xf numFmtId="3" fontId="16" fillId="3" borderId="0" xfId="15" applyNumberFormat="1" applyFont="1" applyFill="1" applyBorder="1" applyAlignment="1">
      <alignment horizontal="right"/>
    </xf>
    <xf numFmtId="176" fontId="27" fillId="3" borderId="0" xfId="15" applyNumberFormat="1" applyFont="1" applyFill="1" applyBorder="1"/>
    <xf numFmtId="3" fontId="27" fillId="3" borderId="0" xfId="15" applyNumberFormat="1" applyFont="1" applyFill="1"/>
    <xf numFmtId="0" fontId="26" fillId="3" borderId="0" xfId="15" applyFont="1" applyFill="1" applyBorder="1" applyAlignment="1">
      <alignment vertical="center"/>
    </xf>
    <xf numFmtId="176" fontId="26" fillId="3" borderId="0" xfId="14" applyNumberFormat="1" applyFont="1" applyFill="1" applyBorder="1" applyAlignment="1">
      <alignment horizontal="center" vertical="center" wrapText="1"/>
    </xf>
    <xf numFmtId="176" fontId="26" fillId="3" borderId="0" xfId="14" applyNumberFormat="1" applyFont="1" applyFill="1" applyBorder="1" applyAlignment="1">
      <alignment vertical="center"/>
    </xf>
    <xf numFmtId="0" fontId="26" fillId="3" borderId="0" xfId="15" applyFont="1" applyFill="1" applyAlignment="1">
      <alignment vertical="center"/>
    </xf>
    <xf numFmtId="175" fontId="27" fillId="3" borderId="14" xfId="4" applyNumberFormat="1" applyFont="1" applyFill="1" applyBorder="1" applyAlignment="1">
      <alignment horizontal="center"/>
    </xf>
    <xf numFmtId="175" fontId="27" fillId="6" borderId="14" xfId="4" applyNumberFormat="1" applyFont="1" applyFill="1" applyBorder="1"/>
    <xf numFmtId="0" fontId="37" fillId="5" borderId="0" xfId="0" applyFont="1" applyFill="1"/>
    <xf numFmtId="175" fontId="27" fillId="3" borderId="0" xfId="15" applyNumberFormat="1" applyFont="1" applyFill="1"/>
    <xf numFmtId="175" fontId="27" fillId="3" borderId="3" xfId="4" applyNumberFormat="1" applyFont="1" applyFill="1" applyBorder="1" applyAlignment="1">
      <alignment horizontal="center"/>
    </xf>
    <xf numFmtId="175" fontId="27" fillId="7" borderId="0" xfId="4" applyNumberFormat="1" applyFont="1" applyFill="1" applyBorder="1"/>
    <xf numFmtId="43" fontId="27" fillId="6" borderId="14" xfId="4" applyFont="1" applyFill="1" applyBorder="1" applyAlignment="1">
      <alignment horizontal="center"/>
    </xf>
    <xf numFmtId="0" fontId="36" fillId="3" borderId="0" xfId="0" applyFont="1" applyFill="1"/>
    <xf numFmtId="175" fontId="36" fillId="3" borderId="0" xfId="4" applyNumberFormat="1" applyFont="1" applyFill="1"/>
    <xf numFmtId="0" fontId="36" fillId="7" borderId="0" xfId="0" applyFont="1" applyFill="1"/>
    <xf numFmtId="175" fontId="36" fillId="2" borderId="0" xfId="4" applyNumberFormat="1" applyFont="1" applyFill="1"/>
    <xf numFmtId="43" fontId="36" fillId="3" borderId="0" xfId="4" applyFont="1" applyFill="1"/>
    <xf numFmtId="175" fontId="36" fillId="3" borderId="16" xfId="4" applyNumberFormat="1" applyFont="1" applyFill="1" applyBorder="1"/>
    <xf numFmtId="175" fontId="38" fillId="3" borderId="0" xfId="4" applyNumberFormat="1" applyFont="1" applyFill="1"/>
    <xf numFmtId="0" fontId="38" fillId="3" borderId="0" xfId="0" applyFont="1" applyFill="1"/>
    <xf numFmtId="0" fontId="36" fillId="3" borderId="0" xfId="0" applyFont="1" applyFill="1" applyAlignment="1">
      <alignment horizontal="right"/>
    </xf>
    <xf numFmtId="0" fontId="36" fillId="3" borderId="0" xfId="0" applyFont="1" applyFill="1" applyAlignment="1">
      <alignment horizontal="left"/>
    </xf>
    <xf numFmtId="0" fontId="27" fillId="0" borderId="0" xfId="0" applyFont="1" applyFill="1"/>
    <xf numFmtId="10" fontId="27" fillId="7" borderId="3" xfId="12" applyNumberFormat="1" applyFont="1" applyFill="1" applyBorder="1"/>
    <xf numFmtId="2" fontId="27" fillId="7" borderId="14" xfId="0" applyNumberFormat="1" applyFont="1" applyFill="1" applyBorder="1" applyAlignment="1"/>
    <xf numFmtId="2" fontId="27" fillId="7" borderId="14" xfId="4" applyNumberFormat="1" applyFont="1" applyFill="1" applyBorder="1"/>
    <xf numFmtId="10" fontId="27" fillId="6" borderId="17" xfId="0" applyNumberFormat="1" applyFont="1" applyFill="1" applyBorder="1" applyAlignment="1">
      <alignment horizontal="center"/>
    </xf>
    <xf numFmtId="3" fontId="27" fillId="3" borderId="14" xfId="0" applyNumberFormat="1" applyFont="1" applyFill="1" applyBorder="1"/>
    <xf numFmtId="43" fontId="26" fillId="5" borderId="14" xfId="4" applyNumberFormat="1" applyFont="1" applyFill="1" applyBorder="1"/>
    <xf numFmtId="10" fontId="27" fillId="3" borderId="0" xfId="0" applyNumberFormat="1" applyFont="1" applyFill="1" applyBorder="1"/>
    <xf numFmtId="43" fontId="27" fillId="6" borderId="14" xfId="4" applyNumberFormat="1" applyFont="1" applyFill="1" applyBorder="1"/>
    <xf numFmtId="43" fontId="27" fillId="3" borderId="0" xfId="4" applyNumberFormat="1" applyFont="1" applyFill="1"/>
    <xf numFmtId="0" fontId="27" fillId="3" borderId="0" xfId="0" applyFont="1" applyFill="1" applyAlignment="1">
      <alignment vertical="center"/>
    </xf>
    <xf numFmtId="175" fontId="27" fillId="3" borderId="0" xfId="4" applyNumberFormat="1" applyFont="1" applyFill="1" applyBorder="1" applyAlignment="1">
      <alignment horizontal="center"/>
    </xf>
    <xf numFmtId="175" fontId="27" fillId="3" borderId="0" xfId="4" applyNumberFormat="1" applyFont="1" applyFill="1" applyBorder="1" applyAlignment="1">
      <alignment vertical="center"/>
    </xf>
    <xf numFmtId="9" fontId="27" fillId="6" borderId="14" xfId="12" applyFont="1" applyFill="1" applyBorder="1"/>
    <xf numFmtId="0" fontId="27" fillId="3" borderId="0" xfId="0" applyFont="1" applyFill="1" applyBorder="1" applyAlignment="1">
      <alignment horizontal="left"/>
    </xf>
    <xf numFmtId="3" fontId="27" fillId="3" borderId="0" xfId="0" applyNumberFormat="1" applyFont="1" applyFill="1" applyBorder="1"/>
    <xf numFmtId="0" fontId="27" fillId="3" borderId="9" xfId="0" applyFont="1" applyFill="1" applyBorder="1" applyAlignment="1">
      <alignment horizontal="center"/>
    </xf>
    <xf numFmtId="3" fontId="27" fillId="3" borderId="4" xfId="0" applyNumberFormat="1" applyFont="1" applyFill="1" applyBorder="1"/>
    <xf numFmtId="166" fontId="27" fillId="3" borderId="6" xfId="0" applyNumberFormat="1" applyFont="1" applyFill="1" applyBorder="1" applyAlignment="1">
      <alignment horizontal="center"/>
    </xf>
    <xf numFmtId="175" fontId="27" fillId="3" borderId="6" xfId="4" applyNumberFormat="1" applyFont="1" applyFill="1" applyBorder="1"/>
    <xf numFmtId="0" fontId="27" fillId="3" borderId="4" xfId="15" applyFont="1" applyFill="1" applyBorder="1" applyAlignment="1">
      <alignment horizontal="center"/>
    </xf>
    <xf numFmtId="0" fontId="27" fillId="3" borderId="5" xfId="15" applyFont="1" applyFill="1" applyBorder="1" applyAlignment="1">
      <alignment horizontal="center"/>
    </xf>
    <xf numFmtId="0" fontId="27" fillId="3" borderId="3" xfId="15" applyFont="1" applyFill="1" applyBorder="1" applyAlignment="1">
      <alignment horizontal="center"/>
    </xf>
    <xf numFmtId="3" fontId="32" fillId="3" borderId="0" xfId="12" applyNumberFormat="1" applyFont="1" applyFill="1" applyBorder="1"/>
    <xf numFmtId="0" fontId="27" fillId="7" borderId="0" xfId="0" applyFont="1" applyFill="1" applyBorder="1" applyAlignment="1">
      <alignment horizontal="right"/>
    </xf>
    <xf numFmtId="3" fontId="32" fillId="3" borderId="0" xfId="0" applyNumberFormat="1" applyFont="1" applyFill="1"/>
    <xf numFmtId="43" fontId="27" fillId="6" borderId="17" xfId="4" applyFont="1" applyFill="1" applyBorder="1"/>
    <xf numFmtId="175" fontId="36" fillId="3" borderId="0" xfId="4" applyNumberFormat="1" applyFont="1" applyFill="1" applyAlignment="1">
      <alignment horizontal="right"/>
    </xf>
    <xf numFmtId="43" fontId="27" fillId="3" borderId="0" xfId="4" applyFont="1" applyFill="1" applyAlignment="1">
      <alignment horizontal="center"/>
    </xf>
    <xf numFmtId="175" fontId="36" fillId="7" borderId="0" xfId="0" applyNumberFormat="1" applyFont="1" applyFill="1"/>
    <xf numFmtId="175" fontId="38" fillId="3" borderId="0" xfId="4" applyNumberFormat="1" applyFont="1" applyFill="1" applyAlignment="1">
      <alignment horizontal="center"/>
    </xf>
    <xf numFmtId="0" fontId="27" fillId="3" borderId="9" xfId="0" applyFont="1" applyFill="1" applyBorder="1" applyAlignment="1">
      <alignment horizontal="left"/>
    </xf>
    <xf numFmtId="0" fontId="27" fillId="3" borderId="8" xfId="0" applyFont="1" applyFill="1" applyBorder="1" applyAlignment="1">
      <alignment horizontal="left"/>
    </xf>
    <xf numFmtId="171" fontId="27" fillId="7" borderId="0" xfId="0" applyNumberFormat="1" applyFont="1" applyFill="1"/>
    <xf numFmtId="0" fontId="27" fillId="7" borderId="0" xfId="0" quotePrefix="1" applyFont="1" applyFill="1" applyBorder="1" applyAlignment="1"/>
    <xf numFmtId="10" fontId="27" fillId="3" borderId="9" xfId="12" applyNumberFormat="1" applyFont="1" applyFill="1" applyBorder="1"/>
    <xf numFmtId="43" fontId="27" fillId="3" borderId="0" xfId="4" applyFont="1" applyFill="1"/>
    <xf numFmtId="0" fontId="27" fillId="3" borderId="3" xfId="0" applyFont="1" applyFill="1" applyBorder="1"/>
    <xf numFmtId="43" fontId="27" fillId="3" borderId="5" xfId="4" applyNumberFormat="1" applyFont="1" applyFill="1" applyBorder="1"/>
    <xf numFmtId="43" fontId="27" fillId="3" borderId="4" xfId="4" applyNumberFormat="1" applyFont="1" applyFill="1" applyBorder="1"/>
    <xf numFmtId="43" fontId="27" fillId="3" borderId="3" xfId="4" applyNumberFormat="1" applyFont="1" applyFill="1" applyBorder="1"/>
    <xf numFmtId="178" fontId="27" fillId="7" borderId="0" xfId="0" quotePrefix="1" applyNumberFormat="1" applyFont="1" applyFill="1" applyAlignment="1">
      <alignment horizontal="right"/>
    </xf>
    <xf numFmtId="164" fontId="27" fillId="7" borderId="0" xfId="0" applyNumberFormat="1" applyFont="1" applyFill="1"/>
    <xf numFmtId="2" fontId="26" fillId="5" borderId="14" xfId="0" applyNumberFormat="1" applyFont="1" applyFill="1" applyBorder="1" applyAlignment="1">
      <alignment horizontal="center" vertical="top" wrapText="1"/>
    </xf>
    <xf numFmtId="0" fontId="27" fillId="7" borderId="0" xfId="0" applyFont="1" applyFill="1" applyBorder="1" applyAlignment="1">
      <alignment horizontal="left"/>
    </xf>
    <xf numFmtId="175" fontId="27" fillId="3" borderId="11" xfId="4" applyNumberFormat="1" applyFont="1" applyFill="1" applyBorder="1"/>
    <xf numFmtId="175" fontId="27" fillId="3" borderId="12" xfId="4" applyNumberFormat="1" applyFont="1" applyFill="1" applyBorder="1"/>
    <xf numFmtId="175" fontId="27" fillId="3" borderId="13" xfId="4" applyNumberFormat="1" applyFont="1" applyFill="1" applyBorder="1"/>
    <xf numFmtId="164" fontId="27" fillId="3" borderId="0" xfId="0" applyNumberFormat="1" applyFont="1" applyFill="1"/>
    <xf numFmtId="0" fontId="27" fillId="3" borderId="0" xfId="0" applyFont="1" applyFill="1"/>
    <xf numFmtId="4" fontId="27" fillId="3" borderId="0" xfId="0" applyNumberFormat="1" applyFont="1" applyFill="1"/>
    <xf numFmtId="169" fontId="27" fillId="3" borderId="0" xfId="11" applyNumberFormat="1" applyFont="1" applyFill="1" applyAlignment="1">
      <alignment vertical="center"/>
    </xf>
    <xf numFmtId="0" fontId="27" fillId="7" borderId="0" xfId="0" applyFont="1" applyFill="1"/>
    <xf numFmtId="0" fontId="27" fillId="7" borderId="0" xfId="0" applyFont="1" applyFill="1" applyBorder="1"/>
    <xf numFmtId="10" fontId="27" fillId="6" borderId="14" xfId="0" applyNumberFormat="1" applyFont="1" applyFill="1" applyBorder="1" applyAlignment="1">
      <alignment horizontal="center"/>
    </xf>
    <xf numFmtId="177" fontId="27" fillId="3" borderId="0" xfId="4" applyNumberFormat="1" applyFont="1" applyFill="1" applyBorder="1"/>
    <xf numFmtId="175" fontId="27" fillId="3" borderId="0" xfId="4" applyNumberFormat="1" applyFont="1" applyFill="1" applyBorder="1"/>
    <xf numFmtId="175" fontId="27" fillId="3" borderId="3" xfId="4" applyNumberFormat="1" applyFont="1" applyFill="1" applyBorder="1"/>
    <xf numFmtId="175" fontId="27" fillId="3" borderId="0" xfId="0" applyNumberFormat="1" applyFont="1" applyFill="1"/>
    <xf numFmtId="175" fontId="27" fillId="7" borderId="0" xfId="0" applyNumberFormat="1" applyFont="1" applyFill="1"/>
    <xf numFmtId="175" fontId="36" fillId="7" borderId="0" xfId="0" applyNumberFormat="1" applyFont="1" applyFill="1"/>
    <xf numFmtId="43" fontId="36" fillId="7" borderId="0" xfId="4" applyFont="1" applyFill="1"/>
    <xf numFmtId="43" fontId="27" fillId="3" borderId="0" xfId="15" applyNumberFormat="1" applyFont="1" applyFill="1"/>
    <xf numFmtId="176" fontId="6" fillId="3" borderId="0" xfId="14" applyNumberFormat="1" applyFont="1" applyFill="1" applyBorder="1" applyAlignment="1">
      <alignment horizontal="left"/>
    </xf>
    <xf numFmtId="164" fontId="16" fillId="3" borderId="0" xfId="14" applyNumberFormat="1" applyFont="1" applyFill="1" applyBorder="1" applyAlignment="1">
      <alignment horizontal="left"/>
    </xf>
    <xf numFmtId="175" fontId="27" fillId="3" borderId="0" xfId="4" applyNumberFormat="1" applyFont="1" applyFill="1" applyBorder="1" applyAlignment="1">
      <alignment horizontal="center"/>
    </xf>
    <xf numFmtId="175" fontId="27" fillId="3" borderId="4" xfId="4" applyNumberFormat="1" applyFont="1" applyFill="1" applyBorder="1" applyAlignment="1">
      <alignment horizontal="center"/>
    </xf>
    <xf numFmtId="175" fontId="27" fillId="3" borderId="5" xfId="4" applyNumberFormat="1" applyFont="1" applyFill="1" applyBorder="1" applyAlignment="1">
      <alignment horizontal="center"/>
    </xf>
    <xf numFmtId="175" fontId="27" fillId="3" borderId="0" xfId="4" applyNumberFormat="1" applyFont="1" applyFill="1" applyBorder="1"/>
    <xf numFmtId="43" fontId="27" fillId="3" borderId="0" xfId="4" applyFont="1" applyFill="1"/>
    <xf numFmtId="43" fontId="27" fillId="3" borderId="5" xfId="4" applyFont="1" applyFill="1" applyBorder="1"/>
    <xf numFmtId="43" fontId="27" fillId="3" borderId="0" xfId="4" applyFont="1" applyFill="1" applyBorder="1"/>
    <xf numFmtId="43" fontId="27" fillId="3" borderId="9" xfId="4" applyFont="1" applyFill="1" applyBorder="1"/>
    <xf numFmtId="43" fontId="27" fillId="3" borderId="8" xfId="4" applyFont="1" applyFill="1" applyBorder="1"/>
    <xf numFmtId="0" fontId="30" fillId="7" borderId="0" xfId="0" applyFont="1" applyFill="1" applyAlignment="1">
      <alignment vertical="center" wrapText="1"/>
    </xf>
    <xf numFmtId="9" fontId="26" fillId="5" borderId="14" xfId="0" applyNumberFormat="1" applyFont="1" applyFill="1" applyBorder="1" applyAlignment="1">
      <alignment horizontal="center"/>
    </xf>
    <xf numFmtId="0" fontId="27" fillId="30" borderId="0" xfId="0" applyFont="1" applyFill="1" applyBorder="1" applyAlignment="1">
      <alignment horizontal="left"/>
    </xf>
    <xf numFmtId="175" fontId="36" fillId="3" borderId="0" xfId="4" applyNumberFormat="1" applyFont="1" applyFill="1" applyAlignment="1">
      <alignment horizontal="center"/>
    </xf>
    <xf numFmtId="0" fontId="38" fillId="3" borderId="0" xfId="0" applyFont="1" applyFill="1" applyAlignment="1">
      <alignment wrapText="1"/>
    </xf>
    <xf numFmtId="0" fontId="36" fillId="3" borderId="0" xfId="0" applyFont="1" applyFill="1" applyAlignment="1">
      <alignment wrapText="1"/>
    </xf>
    <xf numFmtId="175" fontId="36" fillId="3" borderId="0" xfId="4" applyNumberFormat="1" applyFont="1" applyFill="1" applyAlignment="1">
      <alignment wrapText="1"/>
    </xf>
    <xf numFmtId="0" fontId="38" fillId="2" borderId="28" xfId="0" applyFont="1" applyFill="1" applyBorder="1" applyAlignment="1">
      <alignment horizontal="center" vertical="center" wrapText="1"/>
    </xf>
    <xf numFmtId="0" fontId="36" fillId="2" borderId="28" xfId="0" applyFont="1" applyFill="1" applyBorder="1" applyAlignment="1">
      <alignment horizontal="center" vertical="center" wrapText="1"/>
    </xf>
    <xf numFmtId="175" fontId="36" fillId="2" borderId="29" xfId="4" applyNumberFormat="1" applyFont="1" applyFill="1" applyBorder="1" applyAlignment="1">
      <alignment horizontal="center" vertical="center" wrapText="1"/>
    </xf>
    <xf numFmtId="0" fontId="36" fillId="2" borderId="30" xfId="0" applyFont="1" applyFill="1" applyBorder="1"/>
    <xf numFmtId="0" fontId="65" fillId="3" borderId="0" xfId="0" applyFont="1" applyFill="1" applyAlignment="1">
      <alignment horizontal="right"/>
    </xf>
    <xf numFmtId="175" fontId="29" fillId="3" borderId="0" xfId="4" applyNumberFormat="1" applyFont="1" applyFill="1" applyAlignment="1">
      <alignment vertical="center"/>
    </xf>
    <xf numFmtId="175" fontId="32" fillId="3" borderId="0" xfId="4" applyNumberFormat="1" applyFont="1" applyFill="1"/>
    <xf numFmtId="175" fontId="32" fillId="3" borderId="5" xfId="4" applyNumberFormat="1" applyFont="1" applyFill="1" applyBorder="1"/>
    <xf numFmtId="175" fontId="32" fillId="3" borderId="14" xfId="4" applyNumberFormat="1" applyFont="1" applyFill="1" applyBorder="1"/>
    <xf numFmtId="175" fontId="32" fillId="3" borderId="0" xfId="4" applyNumberFormat="1" applyFont="1" applyFill="1" applyBorder="1"/>
    <xf numFmtId="175" fontId="0" fillId="3" borderId="0" xfId="4" applyNumberFormat="1" applyFont="1" applyFill="1"/>
    <xf numFmtId="0" fontId="0" fillId="3" borderId="0" xfId="0" applyFill="1"/>
    <xf numFmtId="3" fontId="27" fillId="3" borderId="0" xfId="15" applyNumberFormat="1" applyFont="1" applyFill="1" applyBorder="1"/>
    <xf numFmtId="176" fontId="63" fillId="3" borderId="0" xfId="4" applyNumberFormat="1" applyFont="1" applyFill="1"/>
    <xf numFmtId="0" fontId="16" fillId="3" borderId="0" xfId="15" applyNumberFormat="1" applyFont="1" applyFill="1" applyBorder="1" applyAlignment="1">
      <alignment horizontal="right"/>
    </xf>
    <xf numFmtId="0" fontId="17" fillId="3" borderId="0" xfId="260" applyFill="1"/>
    <xf numFmtId="0" fontId="17" fillId="3" borderId="0" xfId="260" applyFill="1" applyAlignment="1">
      <alignment vertical="center"/>
    </xf>
    <xf numFmtId="0" fontId="17" fillId="3" borderId="0" xfId="260" applyFill="1" applyAlignment="1">
      <alignment horizontal="center" vertical="center"/>
    </xf>
    <xf numFmtId="0" fontId="70" fillId="7" borderId="0" xfId="0" applyFont="1" applyFill="1"/>
    <xf numFmtId="0" fontId="70" fillId="3" borderId="0" xfId="0" applyNumberFormat="1" applyFont="1" applyFill="1" applyAlignment="1">
      <alignment horizontal="left"/>
    </xf>
    <xf numFmtId="1" fontId="70" fillId="3" borderId="0" xfId="11" applyNumberFormat="1" applyFont="1" applyFill="1" applyAlignment="1">
      <alignment horizontal="left" vertical="center"/>
    </xf>
    <xf numFmtId="3" fontId="33" fillId="3" borderId="0" xfId="11" applyNumberFormat="1" applyFont="1" applyFill="1" applyAlignment="1">
      <alignment vertical="center"/>
    </xf>
    <xf numFmtId="0" fontId="33" fillId="3" borderId="0" xfId="0" applyFont="1" applyFill="1"/>
    <xf numFmtId="43" fontId="33" fillId="3" borderId="0" xfId="4" applyFont="1" applyFill="1"/>
    <xf numFmtId="169" fontId="33" fillId="3" borderId="0" xfId="11" applyNumberFormat="1" applyFont="1" applyFill="1" applyAlignment="1">
      <alignment vertical="center"/>
    </xf>
    <xf numFmtId="3" fontId="70" fillId="3" borderId="0" xfId="11" applyNumberFormat="1" applyFont="1" applyFill="1" applyAlignment="1">
      <alignment vertical="center"/>
    </xf>
    <xf numFmtId="169" fontId="70" fillId="3" borderId="0" xfId="0" applyNumberFormat="1" applyFont="1" applyFill="1"/>
    <xf numFmtId="0" fontId="70" fillId="3" borderId="0" xfId="0" applyFont="1" applyFill="1"/>
    <xf numFmtId="175" fontId="70" fillId="3" borderId="0" xfId="4" applyNumberFormat="1" applyFont="1" applyFill="1"/>
    <xf numFmtId="169" fontId="70" fillId="3" borderId="0" xfId="11" applyNumberFormat="1" applyFont="1" applyFill="1" applyAlignment="1">
      <alignment vertical="center"/>
    </xf>
    <xf numFmtId="175" fontId="70" fillId="3" borderId="0" xfId="4" applyNumberFormat="1" applyFont="1" applyFill="1" applyAlignment="1">
      <alignment vertical="center"/>
    </xf>
    <xf numFmtId="175" fontId="70" fillId="3" borderId="0" xfId="4" applyNumberFormat="1" applyFont="1" applyFill="1" applyBorder="1" applyAlignment="1">
      <alignment vertical="center"/>
    </xf>
    <xf numFmtId="43" fontId="70" fillId="3" borderId="0" xfId="4" applyFont="1" applyFill="1" applyAlignment="1">
      <alignment vertical="center"/>
    </xf>
    <xf numFmtId="0" fontId="70" fillId="3" borderId="0" xfId="11" applyFont="1" applyFill="1" applyAlignment="1">
      <alignment vertical="center"/>
    </xf>
    <xf numFmtId="177" fontId="70" fillId="3" borderId="0" xfId="11" applyNumberFormat="1" applyFont="1" applyFill="1" applyAlignment="1">
      <alignment vertical="center"/>
    </xf>
    <xf numFmtId="43" fontId="70" fillId="3" borderId="0" xfId="4" applyFont="1" applyFill="1" applyBorder="1" applyAlignment="1">
      <alignment vertical="center"/>
    </xf>
    <xf numFmtId="0" fontId="70" fillId="3" borderId="0" xfId="11" applyFont="1" applyFill="1" applyBorder="1" applyAlignment="1">
      <alignment vertical="center"/>
    </xf>
    <xf numFmtId="1" fontId="70" fillId="3" borderId="0" xfId="11" applyNumberFormat="1" applyFont="1" applyFill="1" applyAlignment="1">
      <alignment vertical="center"/>
    </xf>
    <xf numFmtId="0" fontId="70" fillId="3" borderId="0" xfId="0" applyFont="1" applyFill="1" applyAlignment="1">
      <alignment vertical="center"/>
    </xf>
    <xf numFmtId="0" fontId="41" fillId="7" borderId="0" xfId="0" applyFont="1" applyFill="1" applyAlignment="1">
      <alignment horizontal="center" vertical="center"/>
    </xf>
    <xf numFmtId="43" fontId="27" fillId="3" borderId="0" xfId="4" applyFont="1" applyFill="1" applyBorder="1" applyAlignment="1">
      <alignment horizontal="center" vertical="center"/>
    </xf>
    <xf numFmtId="0" fontId="67" fillId="7" borderId="0" xfId="668" applyFill="1" applyAlignment="1">
      <alignment horizontal="center" vertical="center" wrapText="1"/>
    </xf>
    <xf numFmtId="0" fontId="67" fillId="7" borderId="0" xfId="668" applyFill="1" applyAlignment="1">
      <alignment vertical="center"/>
    </xf>
    <xf numFmtId="43" fontId="67" fillId="3" borderId="0" xfId="668" applyNumberFormat="1" applyFill="1" applyBorder="1" applyAlignment="1">
      <alignment horizontal="center" vertical="center"/>
    </xf>
    <xf numFmtId="43" fontId="67" fillId="3" borderId="0" xfId="668" applyNumberFormat="1" applyFill="1" applyAlignment="1">
      <alignment horizontal="center" vertical="center" wrapText="1"/>
    </xf>
    <xf numFmtId="43" fontId="67" fillId="3" borderId="0" xfId="668" applyNumberFormat="1" applyFill="1" applyBorder="1" applyAlignment="1">
      <alignment horizontal="left" vertical="center"/>
    </xf>
    <xf numFmtId="175" fontId="26" fillId="5" borderId="4" xfId="4" applyNumberFormat="1" applyFont="1" applyFill="1" applyBorder="1" applyAlignment="1">
      <alignment horizontal="center" vertical="center" wrapText="1"/>
    </xf>
    <xf numFmtId="43" fontId="67" fillId="3" borderId="0" xfId="668" applyNumberFormat="1" applyFill="1" applyAlignment="1">
      <alignment horizontal="center" vertical="center" wrapText="1"/>
    </xf>
    <xf numFmtId="0" fontId="26" fillId="5" borderId="14" xfId="0" applyFont="1" applyFill="1" applyBorder="1" applyAlignment="1">
      <alignment horizontal="center" vertical="center" wrapText="1"/>
    </xf>
    <xf numFmtId="43" fontId="67" fillId="3" borderId="0" xfId="668" applyNumberFormat="1" applyFill="1" applyAlignment="1">
      <alignment horizontal="left" vertical="center"/>
    </xf>
    <xf numFmtId="43" fontId="67" fillId="3" borderId="0" xfId="668" applyNumberFormat="1" applyFill="1" applyBorder="1" applyAlignment="1">
      <alignment horizontal="center" vertical="center" wrapText="1"/>
    </xf>
    <xf numFmtId="0" fontId="27" fillId="3" borderId="0" xfId="0" applyFont="1" applyFill="1" applyAlignment="1">
      <alignment vertical="center"/>
    </xf>
    <xf numFmtId="0" fontId="26" fillId="5" borderId="4" xfId="0" applyFont="1" applyFill="1" applyBorder="1" applyAlignment="1">
      <alignment horizontal="center" vertical="center" wrapText="1"/>
    </xf>
    <xf numFmtId="43" fontId="67" fillId="3" borderId="0" xfId="668" applyNumberFormat="1" applyFill="1" applyAlignment="1">
      <alignment horizontal="center" vertical="center" wrapText="1"/>
    </xf>
    <xf numFmtId="0" fontId="67" fillId="7" borderId="0" xfId="668" applyFill="1" applyAlignment="1">
      <alignment horizontal="center" vertical="center"/>
    </xf>
    <xf numFmtId="175" fontId="27" fillId="36" borderId="5" xfId="4" applyNumberFormat="1" applyFont="1" applyFill="1" applyBorder="1"/>
    <xf numFmtId="175" fontId="27" fillId="36" borderId="14" xfId="4" applyNumberFormat="1" applyFont="1" applyFill="1" applyBorder="1"/>
    <xf numFmtId="175" fontId="26" fillId="39" borderId="14" xfId="4" applyNumberFormat="1" applyFont="1" applyFill="1" applyBorder="1" applyAlignment="1">
      <alignment horizontal="center" vertical="center" wrapText="1"/>
    </xf>
    <xf numFmtId="9" fontId="26" fillId="39" borderId="5" xfId="12" applyFont="1" applyFill="1" applyBorder="1" applyAlignment="1">
      <alignment horizontal="center"/>
    </xf>
    <xf numFmtId="9" fontId="26" fillId="39" borderId="14" xfId="12" applyFont="1" applyFill="1" applyBorder="1" applyAlignment="1">
      <alignment horizontal="center"/>
    </xf>
    <xf numFmtId="175" fontId="27" fillId="35" borderId="5" xfId="4" applyNumberFormat="1" applyFont="1" applyFill="1" applyBorder="1"/>
    <xf numFmtId="9" fontId="26" fillId="39" borderId="14" xfId="12" applyNumberFormat="1" applyFont="1" applyFill="1" applyBorder="1" applyAlignment="1">
      <alignment horizontal="center" vertical="center" wrapText="1"/>
    </xf>
    <xf numFmtId="0" fontId="26" fillId="39" borderId="14" xfId="0" applyFont="1" applyFill="1" applyBorder="1" applyAlignment="1">
      <alignment horizontal="center" vertical="center" wrapText="1"/>
    </xf>
    <xf numFmtId="9" fontId="26" fillId="39" borderId="14" xfId="12" applyNumberFormat="1" applyFont="1" applyFill="1" applyBorder="1" applyAlignment="1">
      <alignment horizontal="center" vertical="center"/>
    </xf>
    <xf numFmtId="43" fontId="26" fillId="39" borderId="14" xfId="4" applyFont="1" applyFill="1" applyBorder="1" applyAlignment="1">
      <alignment vertical="center" wrapText="1"/>
    </xf>
    <xf numFmtId="175" fontId="27" fillId="35" borderId="11" xfId="4" applyNumberFormat="1" applyFont="1" applyFill="1" applyBorder="1"/>
    <xf numFmtId="175" fontId="27" fillId="35" borderId="14" xfId="4" applyNumberFormat="1" applyFont="1" applyFill="1" applyBorder="1"/>
    <xf numFmtId="0" fontId="26" fillId="39" borderId="4" xfId="0" applyFont="1" applyFill="1" applyBorder="1" applyAlignment="1">
      <alignment horizontal="center" vertical="center" wrapText="1"/>
    </xf>
    <xf numFmtId="175" fontId="27" fillId="3" borderId="8" xfId="4" applyNumberFormat="1" applyFont="1" applyFill="1" applyBorder="1"/>
    <xf numFmtId="0" fontId="26" fillId="39" borderId="12" xfId="0" applyFont="1" applyFill="1" applyBorder="1" applyAlignment="1">
      <alignment horizontal="center" vertical="center" wrapText="1"/>
    </xf>
    <xf numFmtId="175" fontId="27" fillId="36" borderId="4" xfId="4" applyNumberFormat="1" applyFont="1" applyFill="1" applyBorder="1"/>
    <xf numFmtId="175" fontId="27" fillId="36" borderId="3" xfId="4" applyNumberFormat="1" applyFont="1" applyFill="1" applyBorder="1"/>
    <xf numFmtId="180" fontId="26" fillId="5" borderId="14" xfId="4" applyNumberFormat="1" applyFont="1" applyFill="1" applyBorder="1" applyAlignment="1">
      <alignment horizontal="center" vertical="center" wrapText="1"/>
    </xf>
    <xf numFmtId="10" fontId="26" fillId="5" borderId="14" xfId="12" applyNumberFormat="1" applyFont="1" applyFill="1" applyBorder="1" applyAlignment="1">
      <alignment horizontal="center" vertical="center"/>
    </xf>
    <xf numFmtId="175" fontId="27" fillId="0" borderId="11" xfId="4" applyNumberFormat="1" applyFont="1" applyFill="1" applyBorder="1"/>
    <xf numFmtId="10" fontId="26" fillId="5" borderId="4" xfId="12" applyNumberFormat="1" applyFont="1" applyFill="1" applyBorder="1" applyAlignment="1">
      <alignment horizontal="center" vertical="center"/>
    </xf>
    <xf numFmtId="175" fontId="26" fillId="3" borderId="0" xfId="4" applyNumberFormat="1" applyFont="1" applyFill="1" applyBorder="1" applyAlignment="1">
      <alignment horizontal="center" vertical="center" wrapText="1"/>
    </xf>
    <xf numFmtId="10" fontId="26" fillId="3" borderId="0" xfId="12" applyNumberFormat="1" applyFont="1" applyFill="1" applyBorder="1" applyAlignment="1">
      <alignment horizontal="center" vertical="center"/>
    </xf>
    <xf numFmtId="0" fontId="26" fillId="40" borderId="4" xfId="15" applyFont="1" applyFill="1" applyBorder="1" applyAlignment="1">
      <alignment horizontal="center" vertical="center" wrapText="1"/>
    </xf>
    <xf numFmtId="43" fontId="26" fillId="40" borderId="14" xfId="4" quotePrefix="1" applyFont="1" applyFill="1" applyBorder="1" applyAlignment="1">
      <alignment horizontal="center" vertical="center" wrapText="1"/>
    </xf>
    <xf numFmtId="175" fontId="27" fillId="41" borderId="4" xfId="4" applyNumberFormat="1" applyFont="1" applyFill="1" applyBorder="1"/>
    <xf numFmtId="175" fontId="27" fillId="41" borderId="5" xfId="4" applyNumberFormat="1" applyFont="1" applyFill="1" applyBorder="1"/>
    <xf numFmtId="175" fontId="27" fillId="41" borderId="3" xfId="4" applyNumberFormat="1" applyFont="1" applyFill="1" applyBorder="1"/>
    <xf numFmtId="0" fontId="27" fillId="36" borderId="17" xfId="0" applyFont="1" applyFill="1" applyBorder="1"/>
    <xf numFmtId="0" fontId="27" fillId="36" borderId="7" xfId="0" applyFont="1" applyFill="1" applyBorder="1"/>
    <xf numFmtId="43" fontId="27" fillId="36" borderId="14" xfId="4" applyNumberFormat="1" applyFont="1" applyFill="1" applyBorder="1"/>
    <xf numFmtId="3" fontId="27" fillId="3" borderId="8" xfId="12" applyNumberFormat="1" applyFont="1" applyFill="1" applyBorder="1"/>
    <xf numFmtId="3" fontId="27" fillId="3" borderId="9" xfId="12" applyNumberFormat="1" applyFont="1" applyFill="1" applyBorder="1"/>
    <xf numFmtId="3" fontId="27" fillId="36" borderId="17" xfId="12" applyNumberFormat="1" applyFont="1" applyFill="1" applyBorder="1"/>
    <xf numFmtId="0" fontId="26" fillId="37" borderId="12" xfId="0" applyFont="1" applyFill="1" applyBorder="1" applyAlignment="1">
      <alignment horizontal="center" vertical="center" wrapText="1"/>
    </xf>
    <xf numFmtId="0" fontId="27" fillId="3" borderId="8" xfId="15" applyFont="1" applyFill="1" applyBorder="1"/>
    <xf numFmtId="0" fontId="27" fillId="3" borderId="9" xfId="15" applyFont="1" applyFill="1" applyBorder="1"/>
    <xf numFmtId="3" fontId="16" fillId="3" borderId="11" xfId="15" applyNumberFormat="1" applyFont="1" applyFill="1" applyBorder="1" applyAlignment="1">
      <alignment horizontal="right"/>
    </xf>
    <xf numFmtId="1" fontId="72" fillId="3" borderId="0" xfId="11" applyNumberFormat="1" applyFont="1" applyFill="1" applyAlignment="1">
      <alignment horizontal="left" vertical="center"/>
    </xf>
    <xf numFmtId="0" fontId="72" fillId="3" borderId="0" xfId="0" applyFont="1" applyFill="1" applyAlignment="1">
      <alignment horizontal="left" vertical="center"/>
    </xf>
    <xf numFmtId="0" fontId="72" fillId="3" borderId="0" xfId="0" applyNumberFormat="1" applyFont="1" applyFill="1" applyAlignment="1">
      <alignment horizontal="left"/>
    </xf>
    <xf numFmtId="0" fontId="27" fillId="3" borderId="0" xfId="0" applyNumberFormat="1" applyFont="1" applyFill="1" applyAlignment="1">
      <alignment horizontal="center" vertical="center"/>
    </xf>
    <xf numFmtId="0" fontId="26" fillId="5" borderId="4" xfId="0" applyFont="1" applyFill="1" applyBorder="1" applyAlignment="1">
      <alignment horizontal="center" vertical="center" wrapText="1"/>
    </xf>
    <xf numFmtId="0" fontId="27" fillId="7" borderId="0" xfId="0" applyFont="1" applyFill="1" applyBorder="1" applyAlignment="1">
      <alignment vertical="center" wrapText="1"/>
    </xf>
    <xf numFmtId="0" fontId="27" fillId="7" borderId="0" xfId="0" applyFont="1" applyFill="1" applyBorder="1" applyAlignment="1">
      <alignment vertical="center"/>
    </xf>
    <xf numFmtId="0" fontId="27" fillId="7" borderId="0" xfId="0" applyFont="1" applyFill="1" applyAlignment="1">
      <alignment vertical="center"/>
    </xf>
    <xf numFmtId="14" fontId="26" fillId="40" borderId="3" xfId="15" applyNumberFormat="1" applyFont="1" applyFill="1" applyBorder="1" applyAlignment="1">
      <alignment horizontal="center" vertical="center" wrapText="1"/>
    </xf>
    <xf numFmtId="0" fontId="66" fillId="7" borderId="0" xfId="0" applyFont="1" applyFill="1" applyAlignment="1">
      <alignment horizontal="right"/>
    </xf>
    <xf numFmtId="171" fontId="27" fillId="7" borderId="0" xfId="0" applyNumberFormat="1" applyFont="1" applyFill="1" applyBorder="1"/>
    <xf numFmtId="168" fontId="27" fillId="6" borderId="14" xfId="12" applyNumberFormat="1" applyFont="1" applyFill="1" applyBorder="1"/>
    <xf numFmtId="164" fontId="27" fillId="7" borderId="0" xfId="0" applyNumberFormat="1" applyFont="1" applyFill="1" applyBorder="1"/>
    <xf numFmtId="0" fontId="66" fillId="3" borderId="0" xfId="0" applyNumberFormat="1" applyFont="1" applyFill="1" applyBorder="1" applyAlignment="1">
      <alignment wrapText="1"/>
    </xf>
    <xf numFmtId="43" fontId="27" fillId="36" borderId="5" xfId="4" applyNumberFormat="1" applyFont="1" applyFill="1" applyBorder="1"/>
    <xf numFmtId="49" fontId="66" fillId="3" borderId="0" xfId="4" applyNumberFormat="1" applyFont="1" applyFill="1" applyBorder="1" applyAlignment="1">
      <alignment vertical="center" wrapText="1"/>
    </xf>
    <xf numFmtId="0" fontId="28" fillId="3" borderId="0" xfId="11" applyFont="1" applyFill="1" applyAlignment="1"/>
    <xf numFmtId="0" fontId="33" fillId="3" borderId="0" xfId="0" applyFont="1" applyFill="1" applyBorder="1"/>
    <xf numFmtId="0" fontId="27" fillId="3" borderId="0" xfId="11" applyFont="1" applyFill="1" applyBorder="1" applyAlignment="1">
      <alignment horizontal="right" vertical="center"/>
    </xf>
    <xf numFmtId="0" fontId="27" fillId="3" borderId="0" xfId="0" applyFont="1" applyFill="1" applyAlignment="1">
      <alignment horizontal="right"/>
    </xf>
    <xf numFmtId="3" fontId="27" fillId="3" borderId="0" xfId="0" applyNumberFormat="1" applyFont="1" applyFill="1" applyBorder="1" applyAlignment="1">
      <alignment horizontal="right"/>
    </xf>
    <xf numFmtId="3" fontId="27" fillId="3" borderId="7" xfId="0" applyNumberFormat="1" applyFont="1" applyFill="1" applyBorder="1" applyAlignment="1">
      <alignment horizontal="right"/>
    </xf>
    <xf numFmtId="0" fontId="70" fillId="3" borderId="0" xfId="0" applyFont="1" applyFill="1" applyAlignment="1"/>
    <xf numFmtId="10" fontId="27" fillId="3" borderId="7" xfId="0" applyNumberFormat="1" applyFont="1" applyFill="1" applyBorder="1"/>
    <xf numFmtId="175" fontId="27" fillId="36" borderId="4" xfId="4" quotePrefix="1" applyNumberFormat="1" applyFont="1" applyFill="1" applyBorder="1"/>
    <xf numFmtId="175" fontId="27" fillId="36" borderId="5" xfId="4" quotePrefix="1" applyNumberFormat="1" applyFont="1" applyFill="1" applyBorder="1"/>
    <xf numFmtId="0" fontId="66" fillId="7" borderId="0" xfId="0" applyFont="1" applyFill="1" applyBorder="1" applyAlignment="1">
      <alignment vertical="center" wrapText="1"/>
    </xf>
    <xf numFmtId="0" fontId="66" fillId="3" borderId="0" xfId="0" applyFont="1" applyFill="1" applyBorder="1" applyAlignment="1">
      <alignment vertical="center" wrapText="1"/>
    </xf>
    <xf numFmtId="0" fontId="66" fillId="3" borderId="0" xfId="11" applyFont="1" applyFill="1" applyBorder="1" applyAlignment="1">
      <alignment vertical="center" wrapText="1"/>
    </xf>
    <xf numFmtId="0" fontId="66" fillId="3" borderId="0" xfId="0" applyFont="1" applyFill="1" applyBorder="1" applyAlignment="1"/>
    <xf numFmtId="175" fontId="27" fillId="36" borderId="11" xfId="4" applyNumberFormat="1" applyFont="1" applyFill="1" applyBorder="1"/>
    <xf numFmtId="2" fontId="26" fillId="5" borderId="4" xfId="0" applyNumberFormat="1" applyFont="1" applyFill="1" applyBorder="1" applyAlignment="1">
      <alignment horizontal="center" vertical="top" wrapText="1"/>
    </xf>
    <xf numFmtId="175" fontId="27" fillId="33" borderId="14" xfId="4" applyNumberFormat="1" applyFont="1" applyFill="1" applyBorder="1"/>
    <xf numFmtId="0" fontId="74" fillId="7" borderId="0" xfId="0" applyFont="1" applyFill="1"/>
    <xf numFmtId="0" fontId="74" fillId="7" borderId="0" xfId="0" applyFont="1" applyFill="1" applyAlignment="1">
      <alignment horizontal="center" vertical="center"/>
    </xf>
    <xf numFmtId="0" fontId="32" fillId="3" borderId="4" xfId="0" applyFont="1" applyFill="1" applyBorder="1" applyAlignment="1">
      <alignment horizontal="left"/>
    </xf>
    <xf numFmtId="0" fontId="32" fillId="3" borderId="8" xfId="0" applyFont="1" applyFill="1" applyBorder="1" applyAlignment="1">
      <alignment horizontal="center"/>
    </xf>
    <xf numFmtId="0" fontId="32" fillId="3" borderId="9" xfId="0" applyFont="1" applyFill="1" applyBorder="1" applyAlignment="1">
      <alignment horizontal="center"/>
    </xf>
    <xf numFmtId="0" fontId="32" fillId="3" borderId="10" xfId="0" applyFont="1" applyFill="1" applyBorder="1" applyAlignment="1">
      <alignment horizontal="center"/>
    </xf>
    <xf numFmtId="43" fontId="32" fillId="3" borderId="0" xfId="4" applyFont="1" applyFill="1" applyBorder="1"/>
    <xf numFmtId="166" fontId="27" fillId="3" borderId="10" xfId="0" applyNumberFormat="1" applyFont="1" applyFill="1" applyBorder="1" applyAlignment="1">
      <alignment horizontal="center"/>
    </xf>
    <xf numFmtId="0" fontId="32" fillId="3" borderId="5" xfId="0" applyFont="1" applyFill="1" applyBorder="1" applyAlignment="1">
      <alignment horizontal="left"/>
    </xf>
    <xf numFmtId="0" fontId="32" fillId="3" borderId="3" xfId="0" applyFont="1" applyFill="1" applyBorder="1" applyAlignment="1">
      <alignment horizontal="left"/>
    </xf>
    <xf numFmtId="180" fontId="32" fillId="3" borderId="4" xfId="4" applyNumberFormat="1" applyFont="1" applyFill="1" applyBorder="1"/>
    <xf numFmtId="180" fontId="32" fillId="3" borderId="5" xfId="4" applyNumberFormat="1" applyFont="1" applyFill="1" applyBorder="1"/>
    <xf numFmtId="180" fontId="32" fillId="3" borderId="3" xfId="4" applyNumberFormat="1" applyFont="1" applyFill="1" applyBorder="1"/>
    <xf numFmtId="43" fontId="67" fillId="3" borderId="0" xfId="668" applyNumberFormat="1" applyFill="1" applyAlignment="1">
      <alignment horizontal="left" vertical="center"/>
    </xf>
    <xf numFmtId="43" fontId="67" fillId="3" borderId="0" xfId="668" applyNumberFormat="1" applyFill="1" applyBorder="1" applyAlignment="1">
      <alignment horizontal="right" vertical="center"/>
    </xf>
    <xf numFmtId="175" fontId="27" fillId="41" borderId="3" xfId="4" applyNumberFormat="1" applyFont="1" applyFill="1" applyBorder="1" applyAlignment="1">
      <alignment horizontal="center"/>
    </xf>
    <xf numFmtId="43" fontId="32" fillId="5" borderId="14" xfId="4" applyFont="1" applyFill="1" applyBorder="1"/>
    <xf numFmtId="172" fontId="27" fillId="5" borderId="14" xfId="12" applyNumberFormat="1" applyFont="1" applyFill="1" applyBorder="1"/>
    <xf numFmtId="43" fontId="27" fillId="3" borderId="12" xfId="4" applyFont="1" applyFill="1" applyBorder="1"/>
    <xf numFmtId="43" fontId="27" fillId="3" borderId="11" xfId="4" applyFont="1" applyFill="1" applyBorder="1"/>
    <xf numFmtId="43" fontId="27" fillId="3" borderId="7" xfId="4" applyFont="1" applyFill="1" applyBorder="1"/>
    <xf numFmtId="43" fontId="74" fillId="7" borderId="0" xfId="4" applyFont="1" applyFill="1"/>
    <xf numFmtId="175" fontId="27" fillId="36" borderId="3" xfId="4" quotePrefix="1" applyNumberFormat="1" applyFont="1" applyFill="1" applyBorder="1"/>
    <xf numFmtId="43" fontId="27" fillId="3" borderId="0" xfId="4" applyNumberFormat="1" applyFont="1" applyFill="1" applyBorder="1"/>
    <xf numFmtId="3" fontId="27" fillId="3" borderId="17" xfId="12" applyNumberFormat="1" applyFont="1" applyFill="1" applyBorder="1"/>
    <xf numFmtId="177" fontId="27" fillId="3" borderId="7" xfId="4" applyNumberFormat="1" applyFont="1" applyFill="1" applyBorder="1"/>
    <xf numFmtId="43" fontId="27" fillId="36" borderId="4" xfId="4" applyNumberFormat="1" applyFont="1" applyFill="1" applyBorder="1"/>
    <xf numFmtId="0" fontId="74" fillId="7" borderId="0" xfId="0" applyFont="1" applyFill="1" applyBorder="1" applyAlignment="1">
      <alignment horizontal="left" indent="8"/>
    </xf>
    <xf numFmtId="0" fontId="68" fillId="3" borderId="0" xfId="260" applyFont="1" applyFill="1" applyAlignment="1">
      <alignment horizontal="left" vertical="center" indent="1"/>
    </xf>
    <xf numFmtId="0" fontId="67" fillId="7" borderId="8" xfId="668" applyFill="1" applyBorder="1" applyAlignment="1">
      <alignment horizontal="left" vertical="center" indent="1"/>
    </xf>
    <xf numFmtId="0" fontId="67" fillId="7" borderId="9" xfId="668" applyFill="1" applyBorder="1" applyAlignment="1">
      <alignment horizontal="left" vertical="center" indent="1"/>
    </xf>
    <xf numFmtId="0" fontId="67" fillId="7" borderId="10" xfId="668" applyFill="1" applyBorder="1" applyAlignment="1">
      <alignment horizontal="left" vertical="center" indent="1"/>
    </xf>
    <xf numFmtId="0" fontId="67" fillId="35" borderId="10" xfId="668" applyFill="1" applyBorder="1" applyAlignment="1">
      <alignment horizontal="left" vertical="center" indent="1"/>
    </xf>
    <xf numFmtId="0" fontId="67" fillId="32" borderId="17" xfId="668" applyFill="1" applyBorder="1" applyAlignment="1">
      <alignment horizontal="left" vertical="center" indent="1"/>
    </xf>
    <xf numFmtId="175" fontId="36" fillId="31" borderId="32" xfId="4" applyNumberFormat="1" applyFont="1" applyFill="1" applyBorder="1" applyAlignment="1">
      <alignment horizontal="right"/>
    </xf>
    <xf numFmtId="175" fontId="36" fillId="31" borderId="16" xfId="4" applyNumberFormat="1" applyFont="1" applyFill="1" applyBorder="1" applyAlignment="1">
      <alignment horizontal="right"/>
    </xf>
    <xf numFmtId="175" fontId="36" fillId="31" borderId="31" xfId="0" applyNumberFormat="1" applyFont="1" applyFill="1" applyBorder="1" applyAlignment="1">
      <alignment horizontal="right"/>
    </xf>
    <xf numFmtId="175" fontId="36" fillId="31" borderId="30" xfId="0" applyNumberFormat="1" applyFont="1" applyFill="1" applyBorder="1" applyAlignment="1">
      <alignment horizontal="right"/>
    </xf>
    <xf numFmtId="175" fontId="36" fillId="31" borderId="30" xfId="4" applyNumberFormat="1" applyFont="1" applyFill="1" applyBorder="1" applyAlignment="1">
      <alignment horizontal="right"/>
    </xf>
    <xf numFmtId="175" fontId="36" fillId="31" borderId="0" xfId="4" applyNumberFormat="1" applyFont="1" applyFill="1" applyAlignment="1">
      <alignment horizontal="right"/>
    </xf>
    <xf numFmtId="175" fontId="27" fillId="3" borderId="14" xfId="4" applyNumberFormat="1" applyFont="1" applyFill="1" applyBorder="1" applyProtection="1"/>
    <xf numFmtId="43" fontId="27" fillId="3" borderId="14" xfId="4" applyNumberFormat="1" applyFont="1" applyFill="1" applyBorder="1" applyProtection="1"/>
    <xf numFmtId="3" fontId="26" fillId="38" borderId="4" xfId="0" applyNumberFormat="1" applyFont="1" applyFill="1" applyBorder="1" applyAlignment="1">
      <alignment horizontal="center" vertical="center" wrapText="1"/>
    </xf>
    <xf numFmtId="175" fontId="26" fillId="38" borderId="4" xfId="4" applyNumberFormat="1" applyFont="1" applyFill="1" applyBorder="1" applyAlignment="1">
      <alignment horizontal="center" vertical="center" wrapText="1"/>
    </xf>
    <xf numFmtId="43" fontId="26" fillId="38" borderId="4" xfId="4" applyFont="1" applyFill="1" applyBorder="1" applyAlignment="1">
      <alignment horizontal="center" vertical="center" wrapText="1"/>
    </xf>
    <xf numFmtId="3" fontId="26" fillId="38" borderId="14" xfId="0" applyNumberFormat="1" applyFont="1" applyFill="1" applyBorder="1" applyAlignment="1">
      <alignment horizontal="center"/>
    </xf>
    <xf numFmtId="166" fontId="26" fillId="38" borderId="14" xfId="0" applyNumberFormat="1" applyFont="1" applyFill="1" applyBorder="1" applyAlignment="1">
      <alignment horizontal="center"/>
    </xf>
    <xf numFmtId="175" fontId="26" fillId="38" borderId="14" xfId="4" applyNumberFormat="1" applyFont="1" applyFill="1" applyBorder="1" applyAlignment="1">
      <alignment horizontal="center"/>
    </xf>
    <xf numFmtId="0" fontId="26" fillId="38" borderId="14" xfId="0" applyNumberFormat="1" applyFont="1" applyFill="1" applyBorder="1" applyAlignment="1">
      <alignment horizontal="center"/>
    </xf>
    <xf numFmtId="0" fontId="26" fillId="8" borderId="4" xfId="0" applyFont="1" applyFill="1" applyBorder="1" applyAlignment="1">
      <alignment horizontal="center" vertical="center" wrapText="1"/>
    </xf>
    <xf numFmtId="0" fontId="26" fillId="8" borderId="14" xfId="0" applyFont="1" applyFill="1" applyBorder="1" applyAlignment="1">
      <alignment horizontal="center" vertical="center" wrapText="1"/>
    </xf>
    <xf numFmtId="175" fontId="27" fillId="42" borderId="5" xfId="4" applyNumberFormat="1" applyFont="1" applyFill="1" applyBorder="1"/>
    <xf numFmtId="175" fontId="27" fillId="42" borderId="14" xfId="4" applyNumberFormat="1" applyFont="1" applyFill="1" applyBorder="1"/>
    <xf numFmtId="0" fontId="69" fillId="3" borderId="0" xfId="260" applyFont="1" applyFill="1" applyAlignment="1">
      <alignment horizontal="left" vertical="center" indent="1"/>
    </xf>
    <xf numFmtId="175" fontId="27" fillId="3" borderId="6" xfId="4" applyNumberFormat="1" applyFont="1" applyFill="1" applyBorder="1" applyAlignment="1">
      <alignment vertical="center"/>
    </xf>
    <xf numFmtId="43" fontId="27" fillId="3" borderId="14" xfId="4" applyNumberFormat="1" applyFont="1" applyFill="1" applyBorder="1" applyAlignment="1">
      <alignment vertical="center"/>
    </xf>
    <xf numFmtId="175" fontId="27" fillId="3" borderId="7" xfId="4" applyNumberFormat="1" applyFont="1" applyFill="1" applyBorder="1" applyAlignment="1">
      <alignment vertical="center"/>
    </xf>
    <xf numFmtId="0" fontId="28" fillId="3" borderId="0" xfId="11" applyFont="1" applyFill="1" applyAlignment="1">
      <alignment vertical="center"/>
    </xf>
    <xf numFmtId="175" fontId="27" fillId="3" borderId="8" xfId="4" applyNumberFormat="1" applyFont="1" applyFill="1" applyBorder="1" applyAlignment="1">
      <alignment vertical="center"/>
    </xf>
    <xf numFmtId="43" fontId="27" fillId="3" borderId="4" xfId="4" applyNumberFormat="1" applyFont="1" applyFill="1" applyBorder="1" applyAlignment="1">
      <alignment vertical="center"/>
    </xf>
    <xf numFmtId="175" fontId="27" fillId="3" borderId="0" xfId="0" applyNumberFormat="1" applyFont="1" applyFill="1" applyAlignment="1">
      <alignment vertical="center"/>
    </xf>
    <xf numFmtId="175" fontId="27" fillId="3" borderId="9" xfId="4" applyNumberFormat="1" applyFont="1" applyFill="1" applyBorder="1" applyAlignment="1">
      <alignment vertical="center"/>
    </xf>
    <xf numFmtId="43" fontId="27" fillId="3" borderId="5" xfId="4" applyNumberFormat="1" applyFont="1" applyFill="1" applyBorder="1" applyAlignment="1">
      <alignment vertical="center"/>
    </xf>
    <xf numFmtId="181" fontId="26" fillId="39" borderId="14" xfId="4" applyNumberFormat="1" applyFont="1" applyFill="1" applyBorder="1" applyAlignment="1">
      <alignment horizontal="center" vertical="center"/>
    </xf>
    <xf numFmtId="0" fontId="27" fillId="36" borderId="14" xfId="0" applyFont="1" applyFill="1" applyBorder="1" applyAlignment="1">
      <alignment horizontal="center" vertical="center" wrapText="1"/>
    </xf>
    <xf numFmtId="175" fontId="32" fillId="33" borderId="14" xfId="0" applyNumberFormat="1" applyFont="1" applyFill="1" applyBorder="1"/>
    <xf numFmtId="175" fontId="27" fillId="33" borderId="7" xfId="0" applyNumberFormat="1" applyFont="1" applyFill="1" applyBorder="1"/>
    <xf numFmtId="175" fontId="27" fillId="5" borderId="3" xfId="0" applyNumberFormat="1" applyFont="1" applyFill="1" applyBorder="1"/>
    <xf numFmtId="175" fontId="27" fillId="42" borderId="4" xfId="4" applyNumberFormat="1" applyFont="1" applyFill="1" applyBorder="1"/>
    <xf numFmtId="175" fontId="27" fillId="42" borderId="3" xfId="4" applyNumberFormat="1" applyFont="1" applyFill="1" applyBorder="1"/>
    <xf numFmtId="175" fontId="26" fillId="5" borderId="14" xfId="4" applyNumberFormat="1" applyFont="1" applyFill="1" applyBorder="1" applyAlignment="1">
      <alignment horizontal="center" vertical="center" wrapText="1"/>
    </xf>
    <xf numFmtId="175" fontId="26" fillId="40" borderId="14" xfId="4" applyNumberFormat="1" applyFont="1" applyFill="1" applyBorder="1" applyAlignment="1">
      <alignment horizontal="center" vertical="center" wrapText="1"/>
    </xf>
    <xf numFmtId="0" fontId="67" fillId="43" borderId="8" xfId="668" applyFill="1" applyBorder="1" applyAlignment="1">
      <alignment horizontal="left" vertical="center" indent="1"/>
    </xf>
    <xf numFmtId="0" fontId="67" fillId="43" borderId="9" xfId="668" applyFill="1" applyBorder="1" applyAlignment="1">
      <alignment horizontal="left" vertical="center" indent="1"/>
    </xf>
    <xf numFmtId="175" fontId="27" fillId="42" borderId="5" xfId="4" applyNumberFormat="1" applyFont="1" applyFill="1" applyBorder="1" applyProtection="1"/>
    <xf numFmtId="175" fontId="27" fillId="42" borderId="14" xfId="4" applyNumberFormat="1" applyFont="1" applyFill="1" applyBorder="1" applyProtection="1"/>
    <xf numFmtId="0" fontId="26" fillId="5" borderId="4" xfId="0" applyFont="1" applyFill="1" applyBorder="1" applyAlignment="1">
      <alignment horizontal="center" vertical="center" wrapText="1"/>
    </xf>
    <xf numFmtId="0" fontId="26" fillId="5" borderId="14" xfId="0" applyFont="1" applyFill="1" applyBorder="1" applyAlignment="1">
      <alignment horizontal="center" vertical="center" wrapText="1"/>
    </xf>
    <xf numFmtId="43" fontId="26" fillId="5" borderId="4" xfId="4" applyFont="1" applyFill="1" applyBorder="1" applyAlignment="1">
      <alignment horizontal="center" vertical="center" wrapText="1"/>
    </xf>
    <xf numFmtId="43" fontId="67" fillId="3" borderId="0" xfId="668" applyNumberFormat="1" applyFill="1" applyAlignment="1">
      <alignment horizontal="left" vertical="center"/>
    </xf>
    <xf numFmtId="175" fontId="27" fillId="44" borderId="5" xfId="4" applyNumberFormat="1" applyFont="1" applyFill="1" applyBorder="1"/>
    <xf numFmtId="175" fontId="27" fillId="44" borderId="0" xfId="4" applyNumberFormat="1" applyFont="1" applyFill="1" applyBorder="1"/>
    <xf numFmtId="0" fontId="67" fillId="34" borderId="17" xfId="668" applyFill="1" applyBorder="1" applyAlignment="1">
      <alignment horizontal="left" vertical="center" wrapText="1" indent="1"/>
    </xf>
    <xf numFmtId="177" fontId="27" fillId="3" borderId="5" xfId="4" applyNumberFormat="1" applyFont="1" applyFill="1" applyBorder="1"/>
    <xf numFmtId="177" fontId="27" fillId="44" borderId="4" xfId="4" applyNumberFormat="1" applyFont="1" applyFill="1" applyBorder="1"/>
    <xf numFmtId="177" fontId="27" fillId="44" borderId="5" xfId="4" applyNumberFormat="1" applyFont="1" applyFill="1" applyBorder="1"/>
    <xf numFmtId="177" fontId="27" fillId="44" borderId="3" xfId="4" applyNumberFormat="1" applyFont="1" applyFill="1" applyBorder="1"/>
    <xf numFmtId="43" fontId="27" fillId="3" borderId="12" xfId="4" applyNumberFormat="1" applyFont="1" applyFill="1" applyBorder="1"/>
    <xf numFmtId="43" fontId="27" fillId="3" borderId="11" xfId="4" applyNumberFormat="1" applyFont="1" applyFill="1" applyBorder="1"/>
    <xf numFmtId="0" fontId="27" fillId="36" borderId="4" xfId="0" applyFont="1" applyFill="1" applyBorder="1" applyAlignment="1">
      <alignment horizontal="center" vertical="center" wrapText="1"/>
    </xf>
    <xf numFmtId="175" fontId="27" fillId="35" borderId="12" xfId="4" applyNumberFormat="1" applyFont="1" applyFill="1" applyBorder="1"/>
    <xf numFmtId="175" fontId="27" fillId="35" borderId="13" xfId="4" applyNumberFormat="1" applyFont="1" applyFill="1" applyBorder="1"/>
    <xf numFmtId="0" fontId="67" fillId="5" borderId="17" xfId="668" applyFill="1" applyBorder="1" applyAlignment="1">
      <alignment horizontal="left" vertical="center" wrapText="1" indent="1"/>
    </xf>
    <xf numFmtId="177" fontId="26" fillId="5" borderId="4" xfId="0" applyNumberFormat="1" applyFont="1" applyFill="1" applyBorder="1" applyAlignment="1">
      <alignment horizontal="center" vertical="center" wrapText="1"/>
    </xf>
    <xf numFmtId="179" fontId="26" fillId="5" borderId="4" xfId="4" applyNumberFormat="1" applyFont="1" applyFill="1" applyBorder="1" applyAlignment="1">
      <alignment horizontal="center" vertical="center" wrapText="1"/>
    </xf>
    <xf numFmtId="175" fontId="27" fillId="4" borderId="4" xfId="0" applyNumberFormat="1" applyFont="1" applyFill="1" applyBorder="1"/>
    <xf numFmtId="175" fontId="27" fillId="4" borderId="5" xfId="0" applyNumberFormat="1" applyFont="1" applyFill="1" applyBorder="1"/>
    <xf numFmtId="175" fontId="27" fillId="4" borderId="3" xfId="0" applyNumberFormat="1" applyFont="1" applyFill="1" applyBorder="1"/>
    <xf numFmtId="175" fontId="27" fillId="4" borderId="14" xfId="0" applyNumberFormat="1" applyFont="1" applyFill="1" applyBorder="1"/>
    <xf numFmtId="0" fontId="66" fillId="7" borderId="0" xfId="0" applyFont="1" applyFill="1" applyAlignment="1">
      <alignment horizontal="center"/>
    </xf>
    <xf numFmtId="183" fontId="26" fillId="5" borderId="14" xfId="0" applyNumberFormat="1" applyFont="1" applyFill="1" applyBorder="1" applyAlignment="1">
      <alignment horizontal="center" vertical="top" wrapText="1"/>
    </xf>
    <xf numFmtId="16" fontId="78" fillId="36" borderId="17" xfId="668" applyNumberFormat="1" applyFont="1" applyFill="1" applyBorder="1" applyAlignment="1">
      <alignment horizontal="center" vertical="center"/>
    </xf>
    <xf numFmtId="0" fontId="78" fillId="36" borderId="6" xfId="668" applyFont="1" applyFill="1" applyBorder="1" applyAlignment="1">
      <alignment horizontal="center" vertical="center"/>
    </xf>
    <xf numFmtId="0" fontId="78" fillId="36" borderId="7" xfId="668" applyFont="1" applyFill="1" applyBorder="1" applyAlignment="1">
      <alignment horizontal="center" vertical="center"/>
    </xf>
    <xf numFmtId="43" fontId="1" fillId="31" borderId="4" xfId="4" applyFont="1" applyFill="1" applyBorder="1"/>
    <xf numFmtId="43" fontId="1" fillId="31" borderId="5" xfId="4" applyFont="1" applyFill="1" applyBorder="1"/>
    <xf numFmtId="182" fontId="27" fillId="7" borderId="14" xfId="4" applyNumberFormat="1" applyFont="1" applyFill="1" applyBorder="1"/>
    <xf numFmtId="177" fontId="27" fillId="6" borderId="14" xfId="4" applyNumberFormat="1" applyFont="1" applyFill="1" applyBorder="1" applyAlignment="1">
      <alignment horizontal="center" vertical="center" wrapText="1"/>
    </xf>
    <xf numFmtId="43" fontId="27" fillId="36" borderId="5" xfId="4" applyFont="1" applyFill="1" applyBorder="1"/>
    <xf numFmtId="184" fontId="27" fillId="3" borderId="0" xfId="4" applyNumberFormat="1" applyFont="1" applyFill="1"/>
    <xf numFmtId="175" fontId="27" fillId="44" borderId="14" xfId="4" applyNumberFormat="1" applyFont="1" applyFill="1" applyBorder="1"/>
    <xf numFmtId="175" fontId="27" fillId="44" borderId="6" xfId="4" applyNumberFormat="1" applyFont="1" applyFill="1" applyBorder="1"/>
    <xf numFmtId="0" fontId="27" fillId="3" borderId="4" xfId="0" applyFont="1" applyFill="1" applyBorder="1" applyAlignment="1">
      <alignment horizontal="left"/>
    </xf>
    <xf numFmtId="0" fontId="27" fillId="3" borderId="5" xfId="0" applyFont="1" applyFill="1" applyBorder="1" applyAlignment="1">
      <alignment horizontal="left"/>
    </xf>
    <xf numFmtId="0" fontId="27" fillId="3" borderId="3" xfId="0" applyFont="1" applyFill="1" applyBorder="1" applyAlignment="1">
      <alignment horizontal="left"/>
    </xf>
    <xf numFmtId="175" fontId="27" fillId="4" borderId="7" xfId="4" applyNumberFormat="1" applyFont="1" applyFill="1" applyBorder="1"/>
    <xf numFmtId="0" fontId="26" fillId="33" borderId="4" xfId="0" applyFont="1" applyFill="1" applyBorder="1" applyAlignment="1">
      <alignment horizontal="center" vertical="center" wrapText="1"/>
    </xf>
    <xf numFmtId="43" fontId="27" fillId="3" borderId="0" xfId="4" applyFont="1" applyFill="1" applyAlignment="1">
      <alignment vertical="top"/>
    </xf>
    <xf numFmtId="2" fontId="27" fillId="7" borderId="0" xfId="0" applyNumberFormat="1" applyFont="1" applyFill="1" applyBorder="1" applyAlignment="1">
      <alignment vertical="center"/>
    </xf>
    <xf numFmtId="43" fontId="27" fillId="36" borderId="14" xfId="4" applyFont="1" applyFill="1" applyBorder="1"/>
    <xf numFmtId="164" fontId="36" fillId="7" borderId="0" xfId="0" applyNumberFormat="1" applyFont="1" applyFill="1"/>
    <xf numFmtId="43" fontId="26" fillId="38" borderId="4" xfId="4" applyFont="1" applyFill="1" applyBorder="1" applyAlignment="1">
      <alignment horizontal="center" vertical="center" wrapText="1"/>
    </xf>
    <xf numFmtId="0" fontId="26" fillId="38" borderId="4" xfId="0" applyFont="1" applyFill="1" applyBorder="1" applyAlignment="1">
      <alignment horizontal="center" vertical="center" wrapText="1"/>
    </xf>
    <xf numFmtId="167" fontId="26" fillId="40" borderId="4" xfId="12" applyNumberFormat="1" applyFont="1" applyFill="1" applyBorder="1" applyAlignment="1">
      <alignment horizontal="center" vertical="center" wrapText="1"/>
    </xf>
    <xf numFmtId="167" fontId="26" fillId="38" borderId="4" xfId="12" applyNumberFormat="1" applyFont="1" applyFill="1" applyBorder="1" applyAlignment="1">
      <alignment horizontal="center" vertical="center" wrapText="1"/>
    </xf>
    <xf numFmtId="167" fontId="26" fillId="5" borderId="4" xfId="12" applyNumberFormat="1" applyFont="1" applyFill="1" applyBorder="1" applyAlignment="1">
      <alignment horizontal="center" vertical="center" wrapText="1"/>
    </xf>
    <xf numFmtId="167" fontId="26" fillId="39" borderId="4" xfId="12" applyNumberFormat="1" applyFont="1" applyFill="1" applyBorder="1" applyAlignment="1">
      <alignment horizontal="center" vertical="center" wrapText="1"/>
    </xf>
    <xf numFmtId="0" fontId="27" fillId="7" borderId="0" xfId="0" applyFont="1" applyFill="1" applyBorder="1" applyAlignment="1">
      <alignment wrapText="1"/>
    </xf>
    <xf numFmtId="3" fontId="66" fillId="7" borderId="14" xfId="0" applyNumberFormat="1" applyFont="1" applyFill="1" applyBorder="1" applyAlignment="1">
      <alignment horizontal="center" vertical="center" wrapText="1"/>
    </xf>
    <xf numFmtId="169" fontId="79" fillId="3" borderId="0" xfId="11" applyNumberFormat="1" applyFont="1" applyFill="1" applyAlignment="1">
      <alignment vertical="center"/>
    </xf>
    <xf numFmtId="175" fontId="36" fillId="3" borderId="0" xfId="4" applyNumberFormat="1" applyFont="1" applyFill="1" applyBorder="1"/>
    <xf numFmtId="0" fontId="38" fillId="31" borderId="0" xfId="0" applyFont="1" applyFill="1"/>
    <xf numFmtId="0" fontId="36" fillId="31" borderId="0" xfId="0" applyFont="1" applyFill="1"/>
    <xf numFmtId="175" fontId="36" fillId="31" borderId="0" xfId="4" applyNumberFormat="1" applyFont="1" applyFill="1"/>
    <xf numFmtId="175" fontId="38" fillId="31" borderId="0" xfId="4" applyNumberFormat="1" applyFont="1" applyFill="1" applyBorder="1"/>
    <xf numFmtId="175" fontId="36" fillId="3" borderId="0" xfId="4" applyNumberFormat="1" applyFont="1" applyFill="1" applyBorder="1" applyAlignment="1">
      <alignment horizontal="center" wrapText="1"/>
    </xf>
    <xf numFmtId="175" fontId="36" fillId="3" borderId="0" xfId="4" applyNumberFormat="1" applyFont="1" applyFill="1" applyBorder="1" applyAlignment="1">
      <alignment wrapText="1"/>
    </xf>
    <xf numFmtId="175" fontId="36" fillId="3" borderId="16" xfId="4" applyNumberFormat="1" applyFont="1" applyFill="1" applyBorder="1" applyAlignment="1">
      <alignment horizontal="center" wrapText="1"/>
    </xf>
    <xf numFmtId="175" fontId="36" fillId="3" borderId="0" xfId="4" applyNumberFormat="1" applyFont="1" applyFill="1" applyAlignment="1">
      <alignment horizontal="center" wrapText="1"/>
    </xf>
    <xf numFmtId="0" fontId="81" fillId="43" borderId="0" xfId="18" applyFont="1" applyFill="1"/>
    <xf numFmtId="0" fontId="27" fillId="43" borderId="0" xfId="18" applyFont="1" applyFill="1"/>
    <xf numFmtId="0" fontId="36" fillId="43" borderId="0" xfId="18" applyFont="1" applyFill="1" applyAlignment="1">
      <alignment horizontal="right"/>
    </xf>
    <xf numFmtId="0" fontId="33" fillId="43" borderId="0" xfId="18" applyFont="1" applyFill="1" applyAlignment="1">
      <alignment horizontal="right"/>
    </xf>
    <xf numFmtId="0" fontId="33" fillId="43" borderId="0" xfId="18" applyFont="1" applyFill="1"/>
    <xf numFmtId="0" fontId="84" fillId="3" borderId="0" xfId="669" applyFont="1" applyFill="1" applyAlignment="1">
      <alignment horizontal="left" vertical="top" wrapText="1"/>
    </xf>
    <xf numFmtId="0" fontId="84" fillId="3" borderId="0" xfId="669" applyFont="1" applyFill="1" applyAlignment="1">
      <alignment horizontal="left" vertical="top"/>
    </xf>
    <xf numFmtId="0" fontId="36" fillId="3" borderId="0" xfId="18" applyFont="1" applyFill="1"/>
    <xf numFmtId="0" fontId="36" fillId="3" borderId="0" xfId="18" applyFont="1" applyFill="1" applyAlignment="1">
      <alignment horizontal="right"/>
    </xf>
    <xf numFmtId="0" fontId="36" fillId="43" borderId="0" xfId="18" applyFont="1" applyFill="1"/>
    <xf numFmtId="0" fontId="37" fillId="5" borderId="17" xfId="18" applyFont="1" applyFill="1" applyBorder="1"/>
    <xf numFmtId="0" fontId="26" fillId="5" borderId="6" xfId="18" applyFont="1" applyFill="1" applyBorder="1"/>
    <xf numFmtId="0" fontId="80" fillId="5" borderId="6" xfId="18" applyFont="1" applyFill="1" applyBorder="1" applyAlignment="1">
      <alignment horizontal="center"/>
    </xf>
    <xf numFmtId="0" fontId="80" fillId="5" borderId="7" xfId="18" applyFont="1" applyFill="1" applyBorder="1" applyAlignment="1">
      <alignment horizontal="center"/>
    </xf>
    <xf numFmtId="0" fontId="84" fillId="3" borderId="0" xfId="669" applyFont="1" applyFill="1" applyAlignment="1">
      <alignment horizontal="left" vertical="center" wrapText="1"/>
    </xf>
    <xf numFmtId="0" fontId="84" fillId="3" borderId="0" xfId="669" applyFont="1" applyFill="1" applyAlignment="1">
      <alignment horizontal="left" vertical="center"/>
    </xf>
    <xf numFmtId="43" fontId="36" fillId="3" borderId="0" xfId="4" applyFont="1" applyFill="1" applyBorder="1" applyAlignment="1" applyProtection="1">
      <alignment vertical="center"/>
    </xf>
    <xf numFmtId="43" fontId="36" fillId="31" borderId="0" xfId="4" applyFont="1" applyFill="1" applyBorder="1" applyAlignment="1" applyProtection="1">
      <alignment vertical="center"/>
      <protection locked="0"/>
    </xf>
    <xf numFmtId="0" fontId="36" fillId="43" borderId="0" xfId="18" applyFont="1" applyFill="1" applyAlignment="1">
      <alignment vertical="center"/>
    </xf>
    <xf numFmtId="43" fontId="36" fillId="31" borderId="0" xfId="4" applyFont="1" applyFill="1" applyBorder="1" applyAlignment="1" applyProtection="1">
      <alignment vertical="center" wrapText="1"/>
      <protection locked="0"/>
    </xf>
    <xf numFmtId="0" fontId="85" fillId="3" borderId="0" xfId="669" applyFont="1" applyFill="1" applyAlignment="1">
      <alignment horizontal="left" vertical="center"/>
    </xf>
    <xf numFmtId="43" fontId="38" fillId="3" borderId="0" xfId="4" applyFont="1" applyFill="1" applyBorder="1" applyAlignment="1" applyProtection="1">
      <alignment vertical="center"/>
    </xf>
    <xf numFmtId="43" fontId="86" fillId="3" borderId="0" xfId="4" applyFont="1" applyFill="1" applyBorder="1" applyAlignment="1" applyProtection="1">
      <alignment vertical="center"/>
    </xf>
    <xf numFmtId="0" fontId="37" fillId="5" borderId="17" xfId="18" applyFont="1" applyFill="1" applyBorder="1" applyAlignment="1">
      <alignment vertical="center"/>
    </xf>
    <xf numFmtId="0" fontId="26" fillId="5" borderId="6" xfId="18" applyFont="1" applyFill="1" applyBorder="1" applyAlignment="1">
      <alignment vertical="center"/>
    </xf>
    <xf numFmtId="43" fontId="26" fillId="5" borderId="6" xfId="4" applyFont="1" applyFill="1" applyBorder="1" applyAlignment="1" applyProtection="1">
      <alignment vertical="center"/>
    </xf>
    <xf numFmtId="43" fontId="26" fillId="5" borderId="7" xfId="4" applyFont="1" applyFill="1" applyBorder="1" applyAlignment="1" applyProtection="1">
      <alignment vertical="center"/>
    </xf>
    <xf numFmtId="0" fontId="27" fillId="43" borderId="0" xfId="18" applyFont="1" applyFill="1" applyAlignment="1">
      <alignment vertical="center"/>
    </xf>
    <xf numFmtId="0" fontId="36" fillId="3" borderId="0" xfId="669" applyFont="1" applyFill="1" applyAlignment="1">
      <alignment horizontal="left" vertical="center" wrapText="1"/>
    </xf>
    <xf numFmtId="0" fontId="36" fillId="3" borderId="0" xfId="669" applyFont="1" applyFill="1" applyAlignment="1">
      <alignment horizontal="left" vertical="center"/>
    </xf>
    <xf numFmtId="0" fontId="36" fillId="3" borderId="0" xfId="18" applyFont="1" applyFill="1" applyAlignment="1">
      <alignment vertical="center"/>
    </xf>
    <xf numFmtId="175" fontId="36" fillId="3" borderId="0" xfId="4" applyNumberFormat="1" applyFont="1" applyFill="1" applyBorder="1" applyAlignment="1" applyProtection="1">
      <alignment vertical="center"/>
    </xf>
    <xf numFmtId="43" fontId="26" fillId="5" borderId="6" xfId="4" applyFont="1" applyFill="1" applyBorder="1" applyProtection="1"/>
    <xf numFmtId="43" fontId="26" fillId="5" borderId="7" xfId="4" applyFont="1" applyFill="1" applyBorder="1" applyProtection="1"/>
    <xf numFmtId="43" fontId="36" fillId="3" borderId="0" xfId="4" applyFont="1" applyFill="1" applyBorder="1" applyProtection="1"/>
    <xf numFmtId="186" fontId="36" fillId="3" borderId="0" xfId="669" applyNumberFormat="1" applyFont="1" applyFill="1" applyAlignment="1">
      <alignment horizontal="left" vertical="top" wrapText="1"/>
    </xf>
    <xf numFmtId="0" fontId="36" fillId="3" borderId="0" xfId="669" applyFont="1" applyFill="1" applyAlignment="1">
      <alignment horizontal="left" vertical="top"/>
    </xf>
    <xf numFmtId="0" fontId="36" fillId="3" borderId="0" xfId="669" applyFont="1" applyFill="1" applyAlignment="1" applyProtection="1">
      <alignment horizontal="left" vertical="top"/>
      <protection locked="0"/>
    </xf>
    <xf numFmtId="43" fontId="36" fillId="3" borderId="0" xfId="4" applyFont="1" applyFill="1" applyBorder="1" applyAlignment="1" applyProtection="1">
      <alignment horizontal="right"/>
      <protection locked="0"/>
    </xf>
    <xf numFmtId="0" fontId="36" fillId="3" borderId="0" xfId="669" applyFont="1" applyFill="1" applyAlignment="1">
      <alignment horizontal="left" vertical="top" wrapText="1"/>
    </xf>
    <xf numFmtId="0" fontId="88" fillId="3" borderId="0" xfId="669" applyFont="1" applyFill="1" applyAlignment="1">
      <alignment horizontal="left" vertical="top"/>
    </xf>
    <xf numFmtId="175" fontId="30" fillId="3" borderId="14" xfId="4" applyNumberFormat="1" applyFont="1" applyFill="1" applyBorder="1" applyProtection="1"/>
    <xf numFmtId="43" fontId="30" fillId="36" borderId="14" xfId="4" applyNumberFormat="1" applyFont="1" applyFill="1" applyBorder="1" applyProtection="1"/>
    <xf numFmtId="175" fontId="30" fillId="36" borderId="14" xfId="4" applyNumberFormat="1" applyFont="1" applyFill="1" applyBorder="1" applyProtection="1"/>
    <xf numFmtId="43" fontId="27" fillId="42" borderId="5" xfId="4" applyNumberFormat="1" applyFont="1" applyFill="1" applyBorder="1" applyProtection="1"/>
    <xf numFmtId="43" fontId="27" fillId="42" borderId="14" xfId="4" applyNumberFormat="1" applyFont="1" applyFill="1" applyBorder="1" applyProtection="1"/>
    <xf numFmtId="175" fontId="36" fillId="2" borderId="0" xfId="4" applyNumberFormat="1" applyFont="1" applyFill="1" applyAlignment="1" applyProtection="1">
      <alignment wrapText="1"/>
      <protection locked="0"/>
    </xf>
    <xf numFmtId="175" fontId="36" fillId="2" borderId="0" xfId="4" applyNumberFormat="1" applyFont="1" applyFill="1" applyBorder="1" applyAlignment="1" applyProtection="1">
      <alignment wrapText="1"/>
      <protection locked="0"/>
    </xf>
    <xf numFmtId="43" fontId="27" fillId="36" borderId="5" xfId="4" applyNumberFormat="1" applyFont="1" applyFill="1" applyBorder="1" applyProtection="1"/>
    <xf numFmtId="175" fontId="27" fillId="36" borderId="5" xfId="4" applyNumberFormat="1" applyFont="1" applyFill="1" applyBorder="1" applyProtection="1"/>
    <xf numFmtId="43" fontId="1" fillId="31" borderId="14" xfId="4" applyFont="1" applyFill="1" applyBorder="1"/>
    <xf numFmtId="43" fontId="27" fillId="3" borderId="17" xfId="4" applyFont="1" applyFill="1" applyBorder="1"/>
    <xf numFmtId="167" fontId="27" fillId="3" borderId="7" xfId="0" applyNumberFormat="1" applyFont="1" applyFill="1" applyBorder="1"/>
    <xf numFmtId="175" fontId="32" fillId="5" borderId="3" xfId="0" applyNumberFormat="1" applyFont="1" applyFill="1" applyBorder="1"/>
    <xf numFmtId="175" fontId="27" fillId="0" borderId="3" xfId="4" applyNumberFormat="1" applyFont="1" applyFill="1" applyBorder="1"/>
    <xf numFmtId="175" fontId="67" fillId="3" borderId="0" xfId="4" applyNumberFormat="1" applyFont="1" applyFill="1" applyAlignment="1">
      <alignment horizontal="center" vertical="center" wrapText="1"/>
    </xf>
    <xf numFmtId="175" fontId="67" fillId="3" borderId="0" xfId="4" applyNumberFormat="1" applyFont="1" applyFill="1" applyAlignment="1">
      <alignment vertical="center" wrapText="1"/>
    </xf>
    <xf numFmtId="175" fontId="32" fillId="35" borderId="11" xfId="4" applyNumberFormat="1" applyFont="1" applyFill="1" applyBorder="1" applyAlignment="1">
      <alignment horizontal="center"/>
    </xf>
    <xf numFmtId="175" fontId="32" fillId="35" borderId="5" xfId="4" applyNumberFormat="1" applyFont="1" applyFill="1" applyBorder="1" applyAlignment="1">
      <alignment horizontal="center"/>
    </xf>
    <xf numFmtId="175" fontId="32" fillId="35" borderId="14" xfId="4" applyNumberFormat="1" applyFont="1" applyFill="1" applyBorder="1" applyAlignment="1">
      <alignment horizontal="center"/>
    </xf>
    <xf numFmtId="175" fontId="32" fillId="36" borderId="5" xfId="4" applyNumberFormat="1" applyFont="1" applyFill="1" applyBorder="1" applyAlignment="1">
      <alignment horizontal="center"/>
    </xf>
    <xf numFmtId="175" fontId="32" fillId="36" borderId="14" xfId="4" applyNumberFormat="1" applyFont="1" applyFill="1" applyBorder="1" applyAlignment="1">
      <alignment horizontal="center"/>
    </xf>
    <xf numFmtId="175" fontId="32" fillId="41" borderId="5" xfId="4" applyNumberFormat="1" applyFont="1" applyFill="1" applyBorder="1" applyAlignment="1">
      <alignment horizontal="center"/>
    </xf>
    <xf numFmtId="175" fontId="32" fillId="41" borderId="14" xfId="4" applyNumberFormat="1" applyFont="1" applyFill="1" applyBorder="1" applyAlignment="1">
      <alignment horizontal="center"/>
    </xf>
    <xf numFmtId="14" fontId="27" fillId="6" borderId="14" xfId="0" applyNumberFormat="1" applyFont="1" applyFill="1" applyBorder="1" applyAlignment="1">
      <alignment horizontal="center"/>
    </xf>
    <xf numFmtId="0" fontId="27" fillId="6" borderId="14" xfId="0" applyFont="1" applyFill="1" applyBorder="1" applyAlignment="1">
      <alignment horizontal="center"/>
    </xf>
    <xf numFmtId="2" fontId="27" fillId="6" borderId="4" xfId="0" applyNumberFormat="1" applyFont="1" applyFill="1" applyBorder="1" applyAlignment="1">
      <alignment vertical="center"/>
    </xf>
    <xf numFmtId="182" fontId="27" fillId="6" borderId="14" xfId="4" applyNumberFormat="1" applyFont="1" applyFill="1" applyBorder="1" applyAlignment="1">
      <alignment horizontal="center" vertical="center" wrapText="1"/>
    </xf>
    <xf numFmtId="0" fontId="27" fillId="6" borderId="33" xfId="0" applyFont="1" applyFill="1" applyBorder="1" applyAlignment="1">
      <alignment horizontal="center"/>
    </xf>
    <xf numFmtId="3" fontId="27" fillId="6" borderId="14" xfId="0" applyNumberFormat="1" applyFont="1" applyFill="1" applyBorder="1"/>
    <xf numFmtId="3" fontId="27" fillId="7" borderId="14" xfId="0" applyNumberFormat="1" applyFont="1" applyFill="1" applyBorder="1"/>
    <xf numFmtId="179" fontId="70" fillId="3" borderId="0" xfId="4" applyNumberFormat="1" applyFont="1" applyFill="1" applyAlignment="1" applyProtection="1">
      <alignment horizontal="left"/>
    </xf>
    <xf numFmtId="43" fontId="27" fillId="3" borderId="0" xfId="4" applyFont="1" applyFill="1" applyAlignment="1" applyProtection="1">
      <alignment horizontal="center"/>
    </xf>
    <xf numFmtId="43" fontId="67" fillId="3" borderId="0" xfId="668" applyNumberFormat="1" applyFill="1" applyBorder="1" applyAlignment="1" applyProtection="1">
      <alignment horizontal="right" vertical="center"/>
    </xf>
    <xf numFmtId="43" fontId="67" fillId="3" borderId="0" xfId="668" applyNumberFormat="1" applyFill="1" applyAlignment="1" applyProtection="1">
      <alignment horizontal="center" vertical="center" wrapText="1"/>
    </xf>
    <xf numFmtId="43" fontId="67" fillId="3" borderId="0" xfId="668" applyNumberFormat="1" applyFill="1" applyAlignment="1" applyProtection="1">
      <alignment horizontal="left" vertical="center"/>
    </xf>
    <xf numFmtId="43" fontId="27" fillId="3" borderId="0" xfId="4" applyFont="1" applyFill="1" applyProtection="1"/>
    <xf numFmtId="175" fontId="27" fillId="3" borderId="0" xfId="4" applyNumberFormat="1" applyFont="1" applyFill="1" applyProtection="1"/>
    <xf numFmtId="175" fontId="27" fillId="3" borderId="0" xfId="4" applyNumberFormat="1" applyFont="1" applyFill="1" applyAlignment="1" applyProtection="1">
      <alignment horizontal="center"/>
    </xf>
    <xf numFmtId="43" fontId="27" fillId="3" borderId="0" xfId="4" applyNumberFormat="1" applyFont="1" applyFill="1" applyProtection="1"/>
    <xf numFmtId="175" fontId="41" fillId="3" borderId="0" xfId="4" applyNumberFormat="1" applyFont="1" applyFill="1" applyBorder="1" applyProtection="1"/>
    <xf numFmtId="175" fontId="41" fillId="3" borderId="0" xfId="4" applyNumberFormat="1" applyFont="1" applyFill="1" applyProtection="1"/>
    <xf numFmtId="43" fontId="30" fillId="3" borderId="0" xfId="4" applyFont="1" applyFill="1" applyProtection="1"/>
    <xf numFmtId="179" fontId="72" fillId="3" borderId="0" xfId="4" applyNumberFormat="1" applyFont="1" applyFill="1" applyAlignment="1" applyProtection="1">
      <alignment horizontal="left"/>
    </xf>
    <xf numFmtId="43" fontId="27" fillId="3" borderId="0" xfId="4" applyFont="1" applyFill="1" applyBorder="1" applyAlignment="1" applyProtection="1">
      <alignment horizontal="left"/>
    </xf>
    <xf numFmtId="175" fontId="27" fillId="3" borderId="0" xfId="4" applyNumberFormat="1" applyFont="1" applyFill="1" applyBorder="1" applyAlignment="1" applyProtection="1">
      <alignment horizontal="left"/>
    </xf>
    <xf numFmtId="43" fontId="27" fillId="3" borderId="0" xfId="4" applyNumberFormat="1" applyFont="1" applyFill="1" applyBorder="1" applyAlignment="1" applyProtection="1">
      <alignment horizontal="left"/>
    </xf>
    <xf numFmtId="43" fontId="30" fillId="3" borderId="0" xfId="4" applyFont="1" applyFill="1" applyBorder="1" applyAlignment="1" applyProtection="1">
      <alignment horizontal="left"/>
    </xf>
    <xf numFmtId="179" fontId="27" fillId="3" borderId="0" xfId="4" applyNumberFormat="1" applyFont="1" applyFill="1" applyAlignment="1" applyProtection="1">
      <alignment horizontal="left"/>
    </xf>
    <xf numFmtId="43" fontId="27" fillId="3" borderId="0" xfId="4" applyFont="1" applyFill="1" applyBorder="1" applyAlignment="1" applyProtection="1">
      <alignment horizontal="center"/>
    </xf>
    <xf numFmtId="43" fontId="28" fillId="3" borderId="0" xfId="4" applyFont="1" applyFill="1" applyProtection="1"/>
    <xf numFmtId="43" fontId="40" fillId="38" borderId="4" xfId="4" applyFont="1" applyFill="1" applyBorder="1" applyAlignment="1" applyProtection="1">
      <alignment horizontal="center" vertical="center" wrapText="1"/>
    </xf>
    <xf numFmtId="43" fontId="26" fillId="38" borderId="4" xfId="4" applyFont="1" applyFill="1" applyBorder="1" applyAlignment="1" applyProtection="1">
      <alignment horizontal="center" vertical="center" wrapText="1"/>
    </xf>
    <xf numFmtId="175" fontId="26" fillId="38" borderId="4" xfId="4" applyNumberFormat="1" applyFont="1" applyFill="1" applyBorder="1" applyAlignment="1" applyProtection="1">
      <alignment horizontal="center" vertical="center" wrapText="1"/>
    </xf>
    <xf numFmtId="43" fontId="26" fillId="38" borderId="4" xfId="4" applyNumberFormat="1" applyFont="1" applyFill="1" applyBorder="1" applyAlignment="1" applyProtection="1">
      <alignment horizontal="center" vertical="center" wrapText="1"/>
    </xf>
    <xf numFmtId="3" fontId="40" fillId="38" borderId="4" xfId="0" applyNumberFormat="1" applyFont="1" applyFill="1" applyBorder="1" applyAlignment="1" applyProtection="1">
      <alignment horizontal="center" vertical="center" wrapText="1"/>
    </xf>
    <xf numFmtId="43" fontId="26" fillId="3" borderId="0" xfId="4" applyFont="1" applyFill="1" applyBorder="1" applyAlignment="1" applyProtection="1">
      <alignment horizontal="center" vertical="center" textRotation="90" wrapText="1"/>
    </xf>
    <xf numFmtId="43" fontId="30" fillId="3" borderId="0" xfId="4" applyFont="1" applyFill="1" applyAlignment="1" applyProtection="1">
      <alignment horizontal="center" vertical="top" wrapText="1"/>
    </xf>
    <xf numFmtId="43" fontId="27" fillId="3" borderId="0" xfId="4" applyFont="1" applyFill="1" applyAlignment="1" applyProtection="1">
      <alignment horizontal="center" vertical="top" wrapText="1"/>
    </xf>
    <xf numFmtId="0" fontId="26" fillId="38" borderId="4" xfId="0" applyFont="1" applyFill="1" applyBorder="1" applyAlignment="1" applyProtection="1">
      <alignment horizontal="center" vertical="center" wrapText="1"/>
    </xf>
    <xf numFmtId="43" fontId="40" fillId="38" borderId="4" xfId="4" applyFont="1" applyFill="1" applyBorder="1" applyAlignment="1" applyProtection="1">
      <alignment horizontal="center"/>
    </xf>
    <xf numFmtId="43" fontId="26" fillId="38" borderId="12" xfId="4" applyFont="1" applyFill="1" applyBorder="1" applyAlignment="1" applyProtection="1">
      <alignment horizontal="center"/>
    </xf>
    <xf numFmtId="43" fontId="26" fillId="38" borderId="14" xfId="4" applyFont="1" applyFill="1" applyBorder="1" applyAlignment="1" applyProtection="1">
      <alignment horizontal="center"/>
    </xf>
    <xf numFmtId="175" fontId="26" fillId="38" borderId="14" xfId="4" applyNumberFormat="1" applyFont="1" applyFill="1" applyBorder="1" applyAlignment="1" applyProtection="1">
      <alignment horizontal="center"/>
    </xf>
    <xf numFmtId="43" fontId="26" fillId="38" borderId="14" xfId="4" applyNumberFormat="1" applyFont="1" applyFill="1" applyBorder="1" applyAlignment="1" applyProtection="1">
      <alignment horizontal="center"/>
    </xf>
    <xf numFmtId="0" fontId="40" fillId="38" borderId="4" xfId="4" quotePrefix="1" applyNumberFormat="1" applyFont="1" applyFill="1" applyBorder="1" applyAlignment="1" applyProtection="1">
      <alignment horizontal="center"/>
    </xf>
    <xf numFmtId="14" fontId="40" fillId="38" borderId="4" xfId="0" applyNumberFormat="1" applyFont="1" applyFill="1" applyBorder="1" applyAlignment="1" applyProtection="1">
      <alignment horizontal="center"/>
    </xf>
    <xf numFmtId="175" fontId="80" fillId="5" borderId="14" xfId="4" applyNumberFormat="1" applyFont="1" applyFill="1" applyBorder="1" applyAlignment="1" applyProtection="1">
      <alignment horizontal="center" vertical="center" wrapText="1"/>
    </xf>
    <xf numFmtId="43" fontId="30" fillId="3" borderId="0" xfId="4" applyFont="1" applyFill="1" applyAlignment="1" applyProtection="1">
      <alignment horizontal="center"/>
    </xf>
    <xf numFmtId="179" fontId="27" fillId="3" borderId="5" xfId="4" applyNumberFormat="1" applyFont="1" applyFill="1" applyBorder="1" applyAlignment="1" applyProtection="1">
      <alignment horizontal="center"/>
    </xf>
    <xf numFmtId="43" fontId="27" fillId="42" borderId="9" xfId="4" applyFont="1" applyFill="1" applyBorder="1" applyProtection="1"/>
    <xf numFmtId="43" fontId="41" fillId="3" borderId="5" xfId="4" applyFont="1" applyFill="1" applyBorder="1" applyProtection="1"/>
    <xf numFmtId="43" fontId="41" fillId="3" borderId="5" xfId="4" applyFont="1" applyFill="1" applyBorder="1" applyAlignment="1" applyProtection="1">
      <alignment horizontal="center"/>
    </xf>
    <xf numFmtId="43" fontId="27" fillId="3" borderId="9" xfId="4" applyFont="1" applyFill="1" applyBorder="1" applyProtection="1"/>
    <xf numFmtId="43" fontId="27" fillId="3" borderId="8" xfId="4" applyFont="1" applyFill="1" applyBorder="1" applyProtection="1"/>
    <xf numFmtId="43" fontId="27" fillId="3" borderId="4" xfId="4" applyFont="1" applyFill="1" applyBorder="1" applyAlignment="1" applyProtection="1">
      <alignment horizontal="center"/>
    </xf>
    <xf numFmtId="43" fontId="27" fillId="3" borderId="4" xfId="4" applyFont="1" applyFill="1" applyBorder="1" applyAlignment="1" applyProtection="1">
      <alignment horizontal="center" vertical="top" wrapText="1"/>
    </xf>
    <xf numFmtId="175" fontId="27" fillId="3" borderId="4" xfId="4" applyNumberFormat="1" applyFont="1" applyFill="1" applyBorder="1" applyProtection="1"/>
    <xf numFmtId="43" fontId="27" fillId="3" borderId="0" xfId="4" applyFont="1" applyFill="1" applyBorder="1" applyAlignment="1" applyProtection="1">
      <alignment horizontal="center" vertical="top" wrapText="1"/>
    </xf>
    <xf numFmtId="175" fontId="27" fillId="3" borderId="5" xfId="4" applyNumberFormat="1" applyFont="1" applyFill="1" applyBorder="1" applyAlignment="1" applyProtection="1">
      <alignment horizontal="center"/>
    </xf>
    <xf numFmtId="175" fontId="27" fillId="3" borderId="4" xfId="4" applyNumberFormat="1" applyFont="1" applyFill="1" applyBorder="1" applyAlignment="1" applyProtection="1">
      <alignment horizontal="center"/>
    </xf>
    <xf numFmtId="43" fontId="62" fillId="3" borderId="0" xfId="4" applyFont="1" applyFill="1" applyProtection="1"/>
    <xf numFmtId="175" fontId="30" fillId="3" borderId="5" xfId="4" applyNumberFormat="1" applyFont="1" applyFill="1" applyBorder="1" applyProtection="1"/>
    <xf numFmtId="43" fontId="71" fillId="3" borderId="4" xfId="4" applyFont="1" applyFill="1" applyBorder="1" applyProtection="1"/>
    <xf numFmtId="0" fontId="27" fillId="3" borderId="4" xfId="28" applyFont="1" applyFill="1" applyBorder="1" applyAlignment="1" applyProtection="1">
      <alignment horizontal="center"/>
    </xf>
    <xf numFmtId="43" fontId="27" fillId="3" borderId="5" xfId="4" applyFont="1" applyFill="1" applyBorder="1" applyAlignment="1" applyProtection="1">
      <alignment horizontal="center"/>
    </xf>
    <xf numFmtId="43" fontId="27" fillId="3" borderId="5" xfId="4" applyFont="1" applyFill="1" applyBorder="1" applyAlignment="1" applyProtection="1">
      <alignment horizontal="center" vertical="top" wrapText="1"/>
    </xf>
    <xf numFmtId="175" fontId="27" fillId="3" borderId="11" xfId="4" applyNumberFormat="1" applyFont="1" applyFill="1" applyBorder="1" applyProtection="1"/>
    <xf numFmtId="43" fontId="66" fillId="3" borderId="0" xfId="4" applyFont="1" applyFill="1" applyProtection="1"/>
    <xf numFmtId="175" fontId="27" fillId="3" borderId="5" xfId="4" applyNumberFormat="1" applyFont="1" applyFill="1" applyBorder="1" applyProtection="1"/>
    <xf numFmtId="43" fontId="71" fillId="3" borderId="5" xfId="4" applyFont="1" applyFill="1" applyBorder="1" applyProtection="1"/>
    <xf numFmtId="0" fontId="27" fillId="3" borderId="5" xfId="28" applyFont="1" applyFill="1" applyBorder="1" applyAlignment="1" applyProtection="1">
      <alignment horizontal="center"/>
    </xf>
    <xf numFmtId="43" fontId="27" fillId="3" borderId="9" xfId="4" applyFont="1" applyFill="1" applyBorder="1" applyAlignment="1" applyProtection="1">
      <alignment horizontal="center" vertical="top" wrapText="1"/>
    </xf>
    <xf numFmtId="43" fontId="27" fillId="0" borderId="0" xfId="4" applyFont="1" applyFill="1" applyProtection="1"/>
    <xf numFmtId="43" fontId="41" fillId="3" borderId="9" xfId="4" applyFont="1" applyFill="1" applyBorder="1" applyProtection="1"/>
    <xf numFmtId="43" fontId="41" fillId="3" borderId="11" xfId="4" applyFont="1" applyFill="1" applyBorder="1" applyProtection="1"/>
    <xf numFmtId="175" fontId="41" fillId="3" borderId="5" xfId="4" applyNumberFormat="1" applyFont="1" applyFill="1" applyBorder="1" applyProtection="1"/>
    <xf numFmtId="175" fontId="89" fillId="3" borderId="5" xfId="4" applyNumberFormat="1" applyFont="1" applyFill="1" applyBorder="1" applyProtection="1"/>
    <xf numFmtId="43" fontId="90" fillId="3" borderId="0" xfId="4" applyFont="1" applyFill="1" applyProtection="1"/>
    <xf numFmtId="43" fontId="27" fillId="3" borderId="5" xfId="4" applyFont="1" applyFill="1" applyBorder="1" applyProtection="1"/>
    <xf numFmtId="43" fontId="41" fillId="3" borderId="0" xfId="4" applyFont="1" applyFill="1" applyBorder="1" applyProtection="1"/>
    <xf numFmtId="43" fontId="27" fillId="3" borderId="10" xfId="4" applyFont="1" applyFill="1" applyBorder="1" applyProtection="1"/>
    <xf numFmtId="43" fontId="27" fillId="3" borderId="3" xfId="4" applyFont="1" applyFill="1" applyBorder="1" applyAlignment="1" applyProtection="1">
      <alignment horizontal="center"/>
    </xf>
    <xf numFmtId="43" fontId="27" fillId="3" borderId="10" xfId="4" applyFont="1" applyFill="1" applyBorder="1" applyAlignment="1" applyProtection="1">
      <alignment horizontal="center" vertical="top" wrapText="1"/>
    </xf>
    <xf numFmtId="175" fontId="27" fillId="3" borderId="3" xfId="4" applyNumberFormat="1" applyFont="1" applyFill="1" applyBorder="1" applyAlignment="1" applyProtection="1">
      <alignment horizontal="center"/>
    </xf>
    <xf numFmtId="175" fontId="27" fillId="3" borderId="3" xfId="4" applyNumberFormat="1" applyFont="1" applyFill="1" applyBorder="1" applyProtection="1"/>
    <xf numFmtId="179" fontId="27" fillId="3" borderId="14" xfId="4" applyNumberFormat="1" applyFont="1" applyFill="1" applyBorder="1" applyAlignment="1" applyProtection="1">
      <alignment horizontal="center"/>
    </xf>
    <xf numFmtId="175" fontId="27" fillId="3" borderId="17" xfId="4" applyNumberFormat="1" applyFont="1" applyFill="1" applyBorder="1" applyAlignment="1" applyProtection="1">
      <alignment horizontal="center"/>
    </xf>
    <xf numFmtId="43" fontId="27" fillId="3" borderId="0" xfId="4" applyFont="1" applyFill="1" applyBorder="1" applyProtection="1"/>
    <xf numFmtId="43" fontId="27" fillId="3" borderId="14" xfId="4" applyFont="1" applyFill="1" applyBorder="1" applyProtection="1"/>
    <xf numFmtId="180" fontId="27" fillId="3" borderId="14" xfId="4" applyNumberFormat="1" applyFont="1" applyFill="1" applyBorder="1" applyAlignment="1" applyProtection="1">
      <alignment horizontal="center"/>
    </xf>
    <xf numFmtId="175" fontId="27" fillId="3" borderId="0" xfId="4" applyNumberFormat="1" applyFont="1" applyFill="1" applyBorder="1" applyProtection="1"/>
    <xf numFmtId="175" fontId="30" fillId="3" borderId="0" xfId="4" applyNumberFormat="1" applyFont="1" applyFill="1" applyProtection="1"/>
    <xf numFmtId="179" fontId="27" fillId="3" borderId="0" xfId="4" applyNumberFormat="1" applyFont="1" applyFill="1" applyAlignment="1" applyProtection="1">
      <alignment horizontal="center"/>
    </xf>
    <xf numFmtId="43" fontId="27" fillId="3" borderId="0" xfId="4" applyNumberFormat="1" applyFont="1" applyFill="1" applyBorder="1" applyProtection="1"/>
    <xf numFmtId="43" fontId="30" fillId="3" borderId="0" xfId="4" applyFont="1" applyFill="1" applyBorder="1" applyProtection="1"/>
    <xf numFmtId="175" fontId="30" fillId="3" borderId="0" xfId="4" applyNumberFormat="1" applyFont="1" applyFill="1" applyBorder="1" applyProtection="1"/>
    <xf numFmtId="43" fontId="27" fillId="3" borderId="0" xfId="4" quotePrefix="1" applyFont="1" applyFill="1" applyProtection="1"/>
    <xf numFmtId="0" fontId="20" fillId="7" borderId="16" xfId="260" applyFont="1" applyFill="1" applyBorder="1" applyAlignment="1">
      <alignment horizontal="center" vertical="center"/>
    </xf>
    <xf numFmtId="0" fontId="20" fillId="7" borderId="13" xfId="260" applyFont="1" applyFill="1" applyBorder="1" applyAlignment="1">
      <alignment horizontal="center" vertical="center"/>
    </xf>
    <xf numFmtId="0" fontId="20" fillId="5" borderId="6" xfId="260" applyFont="1" applyFill="1" applyBorder="1" applyAlignment="1">
      <alignment horizontal="center" vertical="center" wrapText="1"/>
    </xf>
    <xf numFmtId="0" fontId="20" fillId="5" borderId="7" xfId="260" applyFont="1" applyFill="1" applyBorder="1" applyAlignment="1">
      <alignment horizontal="center" vertical="center" wrapText="1"/>
    </xf>
    <xf numFmtId="0" fontId="20" fillId="43" borderId="15" xfId="260" applyFont="1" applyFill="1" applyBorder="1" applyAlignment="1">
      <alignment horizontal="center" vertical="center" wrapText="1"/>
    </xf>
    <xf numFmtId="0" fontId="20" fillId="43" borderId="12" xfId="260" applyFont="1" applyFill="1" applyBorder="1" applyAlignment="1">
      <alignment horizontal="center" vertical="center" wrapText="1"/>
    </xf>
    <xf numFmtId="0" fontId="20" fillId="43" borderId="11" xfId="260" applyFont="1" applyFill="1" applyBorder="1" applyAlignment="1">
      <alignment horizontal="center" vertical="center" wrapText="1"/>
    </xf>
    <xf numFmtId="0" fontId="20" fillId="43" borderId="0" xfId="260" applyFont="1" applyFill="1" applyBorder="1" applyAlignment="1">
      <alignment horizontal="center" vertical="center" wrapText="1"/>
    </xf>
    <xf numFmtId="0" fontId="20" fillId="32" borderId="6" xfId="260" applyFont="1" applyFill="1" applyBorder="1" applyAlignment="1">
      <alignment horizontal="center" vertical="center" wrapText="1"/>
    </xf>
    <xf numFmtId="0" fontId="20" fillId="32" borderId="7" xfId="260" applyFont="1" applyFill="1" applyBorder="1" applyAlignment="1">
      <alignment horizontal="center" vertical="center" wrapText="1"/>
    </xf>
    <xf numFmtId="0" fontId="20" fillId="7" borderId="15" xfId="260" applyFont="1" applyFill="1" applyBorder="1" applyAlignment="1">
      <alignment horizontal="center" vertical="center"/>
    </xf>
    <xf numFmtId="0" fontId="20" fillId="7" borderId="12" xfId="260" applyFont="1" applyFill="1" applyBorder="1" applyAlignment="1">
      <alignment horizontal="center" vertical="center"/>
    </xf>
    <xf numFmtId="0" fontId="20" fillId="35" borderId="16" xfId="260" applyFont="1" applyFill="1" applyBorder="1" applyAlignment="1">
      <alignment horizontal="center" vertical="center" wrapText="1"/>
    </xf>
    <xf numFmtId="0" fontId="20" fillId="35" borderId="13" xfId="260" applyFont="1" applyFill="1" applyBorder="1" applyAlignment="1">
      <alignment horizontal="center" vertical="center" wrapText="1"/>
    </xf>
    <xf numFmtId="0" fontId="20" fillId="7" borderId="15" xfId="260" applyFont="1" applyFill="1" applyBorder="1" applyAlignment="1">
      <alignment horizontal="center" vertical="center" wrapText="1"/>
    </xf>
    <xf numFmtId="0" fontId="20" fillId="7" borderId="12" xfId="260" applyFont="1" applyFill="1" applyBorder="1" applyAlignment="1">
      <alignment horizontal="center" vertical="center" wrapText="1"/>
    </xf>
    <xf numFmtId="0" fontId="20" fillId="7" borderId="11" xfId="260" applyFont="1" applyFill="1" applyBorder="1" applyAlignment="1">
      <alignment horizontal="center" vertical="center" wrapText="1"/>
    </xf>
    <xf numFmtId="0" fontId="20" fillId="7" borderId="16" xfId="260" applyFont="1" applyFill="1" applyBorder="1" applyAlignment="1">
      <alignment horizontal="center" vertical="center" wrapText="1"/>
    </xf>
    <xf numFmtId="0" fontId="20" fillId="7" borderId="13" xfId="260" applyFont="1" applyFill="1" applyBorder="1" applyAlignment="1">
      <alignment horizontal="center" vertical="center" wrapText="1"/>
    </xf>
    <xf numFmtId="0" fontId="20" fillId="34" borderId="6" xfId="260" applyFont="1" applyFill="1" applyBorder="1" applyAlignment="1">
      <alignment horizontal="center" vertical="center" wrapText="1"/>
    </xf>
    <xf numFmtId="0" fontId="20" fillId="34" borderId="7" xfId="260" applyFont="1" applyFill="1" applyBorder="1" applyAlignment="1">
      <alignment horizontal="center" vertical="center" wrapText="1"/>
    </xf>
    <xf numFmtId="0" fontId="27" fillId="7" borderId="0" xfId="0" applyFont="1" applyFill="1" applyAlignment="1">
      <alignment horizontal="center"/>
    </xf>
    <xf numFmtId="0" fontId="27" fillId="7" borderId="17" xfId="0" applyFont="1" applyFill="1" applyBorder="1" applyAlignment="1">
      <alignment horizontal="center"/>
    </xf>
    <xf numFmtId="0" fontId="27" fillId="7" borderId="7" xfId="0" applyFont="1" applyFill="1" applyBorder="1" applyAlignment="1">
      <alignment horizontal="center"/>
    </xf>
    <xf numFmtId="0" fontId="27" fillId="7" borderId="6" xfId="0" applyFont="1" applyFill="1" applyBorder="1" applyAlignment="1">
      <alignment horizontal="center"/>
    </xf>
    <xf numFmtId="0" fontId="65" fillId="7" borderId="8" xfId="0" applyFont="1" applyFill="1" applyBorder="1" applyAlignment="1">
      <alignment horizontal="left" vertical="center" wrapText="1"/>
    </xf>
    <xf numFmtId="0" fontId="65" fillId="7" borderId="15" xfId="0" applyFont="1" applyFill="1" applyBorder="1" applyAlignment="1">
      <alignment horizontal="left" vertical="center" wrapText="1"/>
    </xf>
    <xf numFmtId="0" fontId="65" fillId="7" borderId="12" xfId="0" applyFont="1" applyFill="1" applyBorder="1" applyAlignment="1">
      <alignment horizontal="left" vertical="center" wrapText="1"/>
    </xf>
    <xf numFmtId="0" fontId="65" fillId="7" borderId="9" xfId="0" applyFont="1" applyFill="1" applyBorder="1" applyAlignment="1">
      <alignment horizontal="left" vertical="center" wrapText="1"/>
    </xf>
    <xf numFmtId="0" fontId="65" fillId="7" borderId="0" xfId="0" applyFont="1" applyFill="1" applyBorder="1" applyAlignment="1">
      <alignment horizontal="left" vertical="center" wrapText="1"/>
    </xf>
    <xf numFmtId="0" fontId="65" fillId="7" borderId="11" xfId="0" applyFont="1" applyFill="1" applyBorder="1" applyAlignment="1">
      <alignment horizontal="left" vertical="center" wrapText="1"/>
    </xf>
    <xf numFmtId="0" fontId="65" fillId="7" borderId="10" xfId="0" applyFont="1" applyFill="1" applyBorder="1" applyAlignment="1">
      <alignment horizontal="left" vertical="center" wrapText="1"/>
    </xf>
    <xf numFmtId="0" fontId="65" fillId="7" borderId="16" xfId="0" applyFont="1" applyFill="1" applyBorder="1" applyAlignment="1">
      <alignment horizontal="left" vertical="center" wrapText="1"/>
    </xf>
    <xf numFmtId="0" fontId="65" fillId="7" borderId="13" xfId="0" applyFont="1" applyFill="1" applyBorder="1" applyAlignment="1">
      <alignment horizontal="left" vertical="center" wrapText="1"/>
    </xf>
    <xf numFmtId="0" fontId="66" fillId="7" borderId="4" xfId="0" applyFont="1" applyFill="1" applyBorder="1" applyAlignment="1">
      <alignment horizontal="center" vertical="center" wrapText="1"/>
    </xf>
    <xf numFmtId="0" fontId="66" fillId="7" borderId="5" xfId="0" applyFont="1" applyFill="1" applyBorder="1" applyAlignment="1">
      <alignment horizontal="center" vertical="center" wrapText="1"/>
    </xf>
    <xf numFmtId="0" fontId="39" fillId="3" borderId="0" xfId="0" applyFont="1" applyFill="1" applyAlignment="1">
      <alignment horizontal="center"/>
    </xf>
    <xf numFmtId="15" fontId="34" fillId="8" borderId="0" xfId="0" applyNumberFormat="1" applyFont="1" applyFill="1" applyAlignment="1">
      <alignment horizontal="center"/>
    </xf>
    <xf numFmtId="0" fontId="66" fillId="3" borderId="0" xfId="0" applyFont="1" applyFill="1" applyAlignment="1">
      <alignment horizontal="left" vertical="top" wrapText="1"/>
    </xf>
    <xf numFmtId="0" fontId="36" fillId="3" borderId="34" xfId="669" applyFont="1" applyFill="1" applyBorder="1" applyAlignment="1" applyProtection="1">
      <alignment horizontal="left" vertical="top" wrapText="1"/>
      <protection locked="0"/>
    </xf>
    <xf numFmtId="43" fontId="36" fillId="3" borderId="34" xfId="4" applyFont="1" applyFill="1" applyBorder="1" applyAlignment="1" applyProtection="1">
      <alignment horizontal="left"/>
      <protection locked="0"/>
    </xf>
    <xf numFmtId="0" fontId="33" fillId="30" borderId="0" xfId="18" applyFont="1" applyFill="1" applyAlignment="1" applyProtection="1">
      <alignment horizontal="center"/>
      <protection locked="0"/>
    </xf>
    <xf numFmtId="0" fontId="82" fillId="3" borderId="0" xfId="18" applyFont="1" applyFill="1" applyAlignment="1">
      <alignment horizontal="center" vertical="center"/>
    </xf>
    <xf numFmtId="0" fontId="83" fillId="3" borderId="0" xfId="18" applyFont="1" applyFill="1" applyAlignment="1">
      <alignment horizontal="center"/>
    </xf>
    <xf numFmtId="0" fontId="36" fillId="3" borderId="0" xfId="669" applyFont="1" applyFill="1" applyAlignment="1">
      <alignment horizontal="left" vertical="top" wrapText="1"/>
    </xf>
    <xf numFmtId="185" fontId="36" fillId="3" borderId="0" xfId="669" applyNumberFormat="1" applyFont="1" applyFill="1" applyAlignment="1">
      <alignment horizontal="left" vertical="top" wrapText="1"/>
    </xf>
    <xf numFmtId="43" fontId="80" fillId="5" borderId="17" xfId="4" applyFont="1" applyFill="1" applyBorder="1" applyAlignment="1" applyProtection="1">
      <alignment horizontal="center"/>
    </xf>
    <xf numFmtId="43" fontId="80" fillId="5" borderId="6" xfId="4" applyFont="1" applyFill="1" applyBorder="1" applyAlignment="1" applyProtection="1">
      <alignment horizontal="center"/>
    </xf>
    <xf numFmtId="43" fontId="80" fillId="5" borderId="7" xfId="4" applyFont="1" applyFill="1" applyBorder="1" applyAlignment="1" applyProtection="1">
      <alignment horizontal="center"/>
    </xf>
    <xf numFmtId="175" fontId="80" fillId="5" borderId="17" xfId="4" applyNumberFormat="1" applyFont="1" applyFill="1" applyBorder="1" applyAlignment="1" applyProtection="1">
      <alignment horizontal="center" vertical="center" wrapText="1"/>
    </xf>
    <xf numFmtId="175" fontId="80" fillId="5" borderId="7" xfId="4" applyNumberFormat="1" applyFont="1" applyFill="1" applyBorder="1" applyAlignment="1" applyProtection="1">
      <alignment horizontal="center" vertical="center" wrapText="1"/>
    </xf>
    <xf numFmtId="175" fontId="80" fillId="5" borderId="8" xfId="4" applyNumberFormat="1" applyFont="1" applyFill="1" applyBorder="1" applyAlignment="1" applyProtection="1">
      <alignment horizontal="center" vertical="center" wrapText="1"/>
    </xf>
    <xf numFmtId="175" fontId="80" fillId="5" borderId="12" xfId="4" applyNumberFormat="1" applyFont="1" applyFill="1" applyBorder="1" applyAlignment="1" applyProtection="1">
      <alignment horizontal="center" vertical="center" wrapText="1"/>
    </xf>
    <xf numFmtId="175" fontId="80" fillId="5" borderId="4" xfId="4" applyNumberFormat="1" applyFont="1" applyFill="1" applyBorder="1" applyAlignment="1" applyProtection="1">
      <alignment horizontal="center" vertical="center" wrapText="1"/>
    </xf>
    <xf numFmtId="175" fontId="80" fillId="5" borderId="5" xfId="4" applyNumberFormat="1" applyFont="1" applyFill="1" applyBorder="1" applyAlignment="1" applyProtection="1">
      <alignment horizontal="center" vertical="center" wrapText="1"/>
    </xf>
    <xf numFmtId="175" fontId="80" fillId="5" borderId="3" xfId="4" applyNumberFormat="1" applyFont="1" applyFill="1" applyBorder="1" applyAlignment="1" applyProtection="1">
      <alignment horizontal="center" vertical="center" wrapText="1"/>
    </xf>
    <xf numFmtId="43" fontId="27" fillId="32" borderId="4" xfId="4" applyFont="1" applyFill="1" applyBorder="1" applyAlignment="1" applyProtection="1">
      <alignment horizontal="center" vertical="center" wrapText="1"/>
    </xf>
    <xf numFmtId="43" fontId="27" fillId="32" borderId="3" xfId="4" applyFont="1" applyFill="1" applyBorder="1" applyAlignment="1" applyProtection="1">
      <alignment horizontal="center" vertical="center" wrapText="1"/>
    </xf>
    <xf numFmtId="179" fontId="26" fillId="38" borderId="4" xfId="4" applyNumberFormat="1" applyFont="1" applyFill="1" applyBorder="1" applyAlignment="1" applyProtection="1">
      <alignment horizontal="center" vertical="center" wrapText="1"/>
    </xf>
    <xf numFmtId="179" fontId="26" fillId="38" borderId="3" xfId="4" applyNumberFormat="1" applyFont="1" applyFill="1" applyBorder="1" applyAlignment="1" applyProtection="1">
      <alignment horizontal="center" vertical="center" wrapText="1"/>
    </xf>
    <xf numFmtId="43" fontId="26" fillId="38" borderId="8" xfId="4" applyFont="1" applyFill="1" applyBorder="1" applyAlignment="1" applyProtection="1">
      <alignment horizontal="center" vertical="center" wrapText="1"/>
    </xf>
    <xf numFmtId="43" fontId="26" fillId="38" borderId="10" xfId="4" applyFont="1" applyFill="1" applyBorder="1" applyAlignment="1" applyProtection="1">
      <alignment horizontal="center" vertical="center" wrapText="1"/>
    </xf>
    <xf numFmtId="175" fontId="26" fillId="38" borderId="4" xfId="4" applyNumberFormat="1" applyFont="1" applyFill="1" applyBorder="1" applyAlignment="1" applyProtection="1">
      <alignment horizontal="center" vertical="center" wrapText="1"/>
    </xf>
    <xf numFmtId="175" fontId="26" fillId="38" borderId="3" xfId="4" applyNumberFormat="1" applyFont="1" applyFill="1" applyBorder="1" applyAlignment="1" applyProtection="1">
      <alignment horizontal="center" vertical="center" wrapText="1"/>
    </xf>
    <xf numFmtId="43" fontId="26" fillId="38" borderId="4" xfId="4" applyFont="1" applyFill="1" applyBorder="1" applyAlignment="1" applyProtection="1">
      <alignment horizontal="center" vertical="center" wrapText="1"/>
    </xf>
    <xf numFmtId="43" fontId="26" fillId="38" borderId="5" xfId="4" applyFont="1" applyFill="1" applyBorder="1" applyAlignment="1" applyProtection="1">
      <alignment horizontal="center" vertical="center" wrapText="1"/>
    </xf>
    <xf numFmtId="43" fontId="26" fillId="38" borderId="3" xfId="4" applyFont="1" applyFill="1" applyBorder="1" applyAlignment="1" applyProtection="1">
      <alignment horizontal="center" vertical="center" wrapText="1"/>
    </xf>
    <xf numFmtId="3" fontId="26" fillId="38" borderId="4" xfId="0" applyNumberFormat="1" applyFont="1" applyFill="1" applyBorder="1" applyAlignment="1">
      <alignment horizontal="center" vertical="center" wrapText="1"/>
    </xf>
    <xf numFmtId="3" fontId="26" fillId="38" borderId="3" xfId="0" applyNumberFormat="1" applyFont="1" applyFill="1" applyBorder="1" applyAlignment="1">
      <alignment horizontal="center" vertical="center" wrapText="1"/>
    </xf>
    <xf numFmtId="0" fontId="26" fillId="38" borderId="4" xfId="0" applyFont="1" applyFill="1" applyBorder="1" applyAlignment="1">
      <alignment horizontal="center" vertical="center" wrapText="1"/>
    </xf>
    <xf numFmtId="0" fontId="26" fillId="38" borderId="3" xfId="0" applyFont="1" applyFill="1" applyBorder="1" applyAlignment="1">
      <alignment horizontal="center" vertical="center" wrapText="1"/>
    </xf>
    <xf numFmtId="0" fontId="26" fillId="38" borderId="4" xfId="0" applyNumberFormat="1" applyFont="1" applyFill="1" applyBorder="1" applyAlignment="1">
      <alignment horizontal="center" vertical="center" wrapText="1"/>
    </xf>
    <xf numFmtId="0" fontId="26" fillId="38" borderId="3" xfId="0" applyNumberFormat="1" applyFont="1" applyFill="1" applyBorder="1" applyAlignment="1">
      <alignment horizontal="center" vertical="center" wrapText="1"/>
    </xf>
    <xf numFmtId="175" fontId="26" fillId="38" borderId="4" xfId="4" applyNumberFormat="1" applyFont="1" applyFill="1" applyBorder="1" applyAlignment="1">
      <alignment horizontal="center" vertical="center" wrapText="1"/>
    </xf>
    <xf numFmtId="175" fontId="26" fillId="38" borderId="3" xfId="4" applyNumberFormat="1" applyFont="1" applyFill="1" applyBorder="1" applyAlignment="1">
      <alignment horizontal="center" vertical="center" wrapText="1"/>
    </xf>
    <xf numFmtId="43" fontId="26" fillId="38" borderId="4" xfId="4" applyFont="1" applyFill="1" applyBorder="1" applyAlignment="1">
      <alignment horizontal="center" vertical="center" wrapText="1"/>
    </xf>
    <xf numFmtId="43" fontId="26" fillId="38" borderId="3" xfId="4" applyFont="1" applyFill="1" applyBorder="1" applyAlignment="1">
      <alignment horizontal="center" vertical="center" wrapText="1"/>
    </xf>
    <xf numFmtId="0" fontId="26" fillId="39" borderId="17" xfId="0" applyFont="1" applyFill="1" applyBorder="1" applyAlignment="1">
      <alignment horizontal="center" vertical="center" wrapText="1"/>
    </xf>
    <xf numFmtId="0" fontId="26" fillId="39" borderId="15" xfId="0" applyFont="1" applyFill="1" applyBorder="1" applyAlignment="1">
      <alignment horizontal="center" vertical="center" wrapText="1"/>
    </xf>
    <xf numFmtId="0" fontId="26" fillId="39" borderId="4" xfId="0" applyFont="1" applyFill="1" applyBorder="1" applyAlignment="1">
      <alignment horizontal="center" vertical="center" wrapText="1"/>
    </xf>
    <xf numFmtId="0" fontId="26" fillId="39" borderId="3" xfId="0" applyFont="1" applyFill="1" applyBorder="1" applyAlignment="1">
      <alignment horizontal="center" vertical="center" wrapText="1"/>
    </xf>
    <xf numFmtId="0" fontId="26" fillId="39" borderId="12" xfId="0" applyFont="1" applyFill="1" applyBorder="1" applyAlignment="1">
      <alignment horizontal="center" vertical="center" wrapText="1"/>
    </xf>
    <xf numFmtId="0" fontId="26" fillId="39" borderId="13" xfId="0" applyFont="1" applyFill="1" applyBorder="1" applyAlignment="1">
      <alignment horizontal="center" vertical="center" wrapText="1"/>
    </xf>
    <xf numFmtId="0" fontId="26" fillId="39" borderId="8" xfId="0" applyFont="1" applyFill="1" applyBorder="1" applyAlignment="1">
      <alignment horizontal="center" vertical="center" wrapText="1"/>
    </xf>
    <xf numFmtId="0" fontId="26" fillId="39" borderId="10" xfId="0" applyFont="1" applyFill="1" applyBorder="1" applyAlignment="1">
      <alignment horizontal="center" vertical="center" wrapText="1"/>
    </xf>
    <xf numFmtId="0" fontId="26" fillId="39" borderId="5" xfId="0" applyFont="1" applyFill="1" applyBorder="1" applyAlignment="1">
      <alignment horizontal="center" vertical="center" wrapText="1"/>
    </xf>
    <xf numFmtId="4" fontId="27" fillId="3" borderId="17" xfId="0" applyNumberFormat="1" applyFont="1" applyFill="1" applyBorder="1" applyAlignment="1">
      <alignment horizontal="left" vertical="center"/>
    </xf>
    <xf numFmtId="4" fontId="27" fillId="3" borderId="7" xfId="0" applyNumberFormat="1" applyFont="1" applyFill="1" applyBorder="1" applyAlignment="1">
      <alignment horizontal="left" vertical="center"/>
    </xf>
    <xf numFmtId="4" fontId="27" fillId="3" borderId="8" xfId="0" applyNumberFormat="1" applyFont="1" applyFill="1" applyBorder="1" applyAlignment="1">
      <alignment horizontal="left" vertical="center"/>
    </xf>
    <xf numFmtId="4" fontId="27" fillId="3" borderId="12" xfId="0" applyNumberFormat="1" applyFont="1" applyFill="1" applyBorder="1" applyAlignment="1">
      <alignment horizontal="left" vertical="center"/>
    </xf>
    <xf numFmtId="4" fontId="27" fillId="3" borderId="9" xfId="0" applyNumberFormat="1" applyFont="1" applyFill="1" applyBorder="1" applyAlignment="1">
      <alignment horizontal="left" vertical="center"/>
    </xf>
    <xf numFmtId="4" fontId="27" fillId="3" borderId="11" xfId="0" applyNumberFormat="1" applyFont="1" applyFill="1" applyBorder="1" applyAlignment="1">
      <alignment horizontal="left" vertical="center"/>
    </xf>
    <xf numFmtId="0" fontId="27" fillId="35" borderId="17" xfId="0" applyFont="1" applyFill="1" applyBorder="1" applyAlignment="1">
      <alignment horizontal="center"/>
    </xf>
    <xf numFmtId="0" fontId="27" fillId="35" borderId="6" xfId="0" applyFont="1" applyFill="1" applyBorder="1" applyAlignment="1">
      <alignment horizontal="center"/>
    </xf>
    <xf numFmtId="0" fontId="27" fillId="35" borderId="7" xfId="0" applyFont="1" applyFill="1" applyBorder="1" applyAlignment="1">
      <alignment horizontal="center"/>
    </xf>
    <xf numFmtId="10" fontId="26" fillId="39" borderId="14" xfId="12" applyNumberFormat="1" applyFont="1" applyFill="1" applyBorder="1" applyAlignment="1">
      <alignment horizontal="center" vertical="center" wrapText="1"/>
    </xf>
    <xf numFmtId="10" fontId="26" fillId="39" borderId="4" xfId="12" applyNumberFormat="1" applyFont="1" applyFill="1" applyBorder="1" applyAlignment="1">
      <alignment horizontal="center" vertical="center" wrapText="1"/>
    </xf>
    <xf numFmtId="0" fontId="26" fillId="39" borderId="17" xfId="0" applyFont="1" applyFill="1" applyBorder="1" applyAlignment="1">
      <alignment horizontal="center" vertical="center"/>
    </xf>
    <xf numFmtId="0" fontId="26" fillId="39" borderId="6" xfId="0" applyFont="1" applyFill="1" applyBorder="1" applyAlignment="1">
      <alignment horizontal="center" vertical="center"/>
    </xf>
    <xf numFmtId="0" fontId="26" fillId="39" borderId="7" xfId="0" applyFont="1" applyFill="1" applyBorder="1" applyAlignment="1">
      <alignment horizontal="center" vertical="center"/>
    </xf>
    <xf numFmtId="0" fontId="26" fillId="5" borderId="14" xfId="0" applyFont="1" applyFill="1" applyBorder="1" applyAlignment="1">
      <alignment horizontal="center" vertical="center" wrapText="1"/>
    </xf>
    <xf numFmtId="0" fontId="27" fillId="3" borderId="17" xfId="0" applyFont="1" applyFill="1" applyBorder="1" applyAlignment="1">
      <alignment horizontal="left"/>
    </xf>
    <xf numFmtId="0" fontId="27" fillId="3" borderId="7" xfId="0" applyFont="1" applyFill="1" applyBorder="1" applyAlignment="1">
      <alignment horizontal="left"/>
    </xf>
    <xf numFmtId="0" fontId="27" fillId="3" borderId="8" xfId="0" applyFont="1" applyFill="1" applyBorder="1" applyAlignment="1">
      <alignment horizontal="left"/>
    </xf>
    <xf numFmtId="0" fontId="27" fillId="3" borderId="12" xfId="0" applyFont="1" applyFill="1" applyBorder="1" applyAlignment="1">
      <alignment horizontal="left"/>
    </xf>
    <xf numFmtId="0" fontId="26" fillId="5" borderId="4"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6" fillId="5" borderId="17" xfId="0" applyFont="1" applyFill="1" applyBorder="1" applyAlignment="1">
      <alignment horizontal="center" vertical="center"/>
    </xf>
    <xf numFmtId="0" fontId="26" fillId="5" borderId="6" xfId="0" applyFont="1" applyFill="1" applyBorder="1" applyAlignment="1">
      <alignment horizontal="center" vertical="center"/>
    </xf>
    <xf numFmtId="0" fontId="26" fillId="5" borderId="7" xfId="0" applyFont="1" applyFill="1" applyBorder="1" applyAlignment="1">
      <alignment horizontal="center" vertical="center"/>
    </xf>
    <xf numFmtId="175" fontId="26" fillId="5" borderId="4" xfId="4" applyNumberFormat="1" applyFont="1" applyFill="1" applyBorder="1" applyAlignment="1">
      <alignment horizontal="center" vertical="center" wrapText="1"/>
    </xf>
    <xf numFmtId="175" fontId="26" fillId="5" borderId="3" xfId="4" applyNumberFormat="1" applyFont="1" applyFill="1" applyBorder="1" applyAlignment="1">
      <alignment horizontal="center" vertical="center" wrapText="1"/>
    </xf>
    <xf numFmtId="43" fontId="26" fillId="5" borderId="4" xfId="4" applyFont="1" applyFill="1" applyBorder="1" applyAlignment="1">
      <alignment horizontal="center" vertical="center" wrapText="1"/>
    </xf>
    <xf numFmtId="43" fontId="26" fillId="5" borderId="3" xfId="4" applyFont="1" applyFill="1" applyBorder="1" applyAlignment="1">
      <alignment horizontal="center" vertical="center" wrapText="1"/>
    </xf>
    <xf numFmtId="175" fontId="26" fillId="5" borderId="5" xfId="4" applyNumberFormat="1" applyFont="1" applyFill="1" applyBorder="1" applyAlignment="1">
      <alignment horizontal="center" vertical="center" wrapText="1"/>
    </xf>
    <xf numFmtId="43" fontId="67" fillId="3" borderId="0" xfId="668" applyNumberFormat="1" applyFill="1" applyAlignment="1">
      <alignment horizontal="left" vertical="center"/>
    </xf>
    <xf numFmtId="0" fontId="26" fillId="5" borderId="12" xfId="0" applyFont="1" applyFill="1" applyBorder="1" applyAlignment="1">
      <alignment horizontal="center" vertical="center" wrapText="1"/>
    </xf>
    <xf numFmtId="0" fontId="26" fillId="5" borderId="13"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26" fillId="5" borderId="10" xfId="0" applyFont="1" applyFill="1" applyBorder="1" applyAlignment="1">
      <alignment horizontal="center" vertical="center" wrapText="1"/>
    </xf>
    <xf numFmtId="43" fontId="27" fillId="45" borderId="17" xfId="4" applyNumberFormat="1" applyFont="1" applyFill="1" applyBorder="1" applyAlignment="1">
      <alignment horizontal="center"/>
    </xf>
    <xf numFmtId="43" fontId="27" fillId="45" borderId="6" xfId="4" applyNumberFormat="1" applyFont="1" applyFill="1" applyBorder="1" applyAlignment="1">
      <alignment horizontal="center"/>
    </xf>
    <xf numFmtId="43" fontId="27" fillId="45" borderId="7" xfId="4" applyNumberFormat="1" applyFont="1" applyFill="1" applyBorder="1" applyAlignment="1">
      <alignment horizontal="center"/>
    </xf>
    <xf numFmtId="0" fontId="26" fillId="5" borderId="11" xfId="0" applyFont="1" applyFill="1" applyBorder="1" applyAlignment="1">
      <alignment horizontal="center" vertical="center" wrapText="1"/>
    </xf>
    <xf numFmtId="0" fontId="26" fillId="40" borderId="4" xfId="15" applyFont="1" applyFill="1" applyBorder="1" applyAlignment="1">
      <alignment horizontal="center" vertical="center" wrapText="1"/>
    </xf>
    <xf numFmtId="0" fontId="26" fillId="40" borderId="5" xfId="15" applyFont="1" applyFill="1" applyBorder="1" applyAlignment="1">
      <alignment horizontal="center" vertical="center" wrapText="1"/>
    </xf>
    <xf numFmtId="0" fontId="26" fillId="40" borderId="3" xfId="15" applyFont="1" applyFill="1" applyBorder="1" applyAlignment="1">
      <alignment horizontal="center" vertical="center" wrapText="1"/>
    </xf>
    <xf numFmtId="0" fontId="26" fillId="40" borderId="8" xfId="15" applyFont="1" applyFill="1" applyBorder="1" applyAlignment="1">
      <alignment horizontal="center" vertical="center" wrapText="1"/>
    </xf>
    <xf numFmtId="0" fontId="26" fillId="40" borderId="10" xfId="15" applyFont="1" applyFill="1" applyBorder="1" applyAlignment="1">
      <alignment horizontal="center" vertical="center" wrapText="1"/>
    </xf>
    <xf numFmtId="167" fontId="26" fillId="40" borderId="15" xfId="12" applyNumberFormat="1" applyFont="1" applyFill="1" applyBorder="1" applyAlignment="1">
      <alignment horizontal="center" vertical="center" wrapText="1"/>
    </xf>
    <xf numFmtId="167" fontId="26" fillId="40" borderId="12" xfId="12" applyNumberFormat="1" applyFont="1" applyFill="1" applyBorder="1" applyAlignment="1">
      <alignment horizontal="center" vertical="center" wrapText="1"/>
    </xf>
    <xf numFmtId="0" fontId="26" fillId="38" borderId="8" xfId="0" applyFont="1" applyFill="1" applyBorder="1" applyAlignment="1">
      <alignment horizontal="center" vertical="center" wrapText="1"/>
    </xf>
    <xf numFmtId="0" fontId="26" fillId="38" borderId="10" xfId="0" applyFont="1" applyFill="1" applyBorder="1" applyAlignment="1">
      <alignment horizontal="center" vertical="center" wrapText="1"/>
    </xf>
    <xf numFmtId="167" fontId="26" fillId="39" borderId="8" xfId="12" applyNumberFormat="1" applyFont="1" applyFill="1" applyBorder="1" applyAlignment="1">
      <alignment horizontal="center" vertical="center" wrapText="1"/>
    </xf>
    <xf numFmtId="167" fontId="26" fillId="39" borderId="15" xfId="12" applyNumberFormat="1" applyFont="1" applyFill="1" applyBorder="1" applyAlignment="1">
      <alignment horizontal="center" vertical="center" wrapText="1"/>
    </xf>
    <xf numFmtId="167" fontId="26" fillId="39" borderId="12" xfId="12" applyNumberFormat="1" applyFont="1" applyFill="1" applyBorder="1" applyAlignment="1">
      <alignment horizontal="center" vertical="center" wrapText="1"/>
    </xf>
    <xf numFmtId="167" fontId="26" fillId="5" borderId="15" xfId="12" applyNumberFormat="1" applyFont="1" applyFill="1" applyBorder="1" applyAlignment="1">
      <alignment horizontal="center" vertical="center" wrapText="1"/>
    </xf>
    <xf numFmtId="167" fontId="26" fillId="5" borderId="12" xfId="12" applyNumberFormat="1" applyFont="1" applyFill="1" applyBorder="1" applyAlignment="1">
      <alignment horizontal="center" vertical="center" wrapText="1"/>
    </xf>
  </cellXfs>
  <cellStyles count="670">
    <cellStyle name="20 % - Accent1 2" xfId="349" xr:uid="{00000000-0005-0000-0000-000000000000}"/>
    <cellStyle name="20 % - Accent2 2" xfId="350" xr:uid="{00000000-0005-0000-0000-000001000000}"/>
    <cellStyle name="20 % - Accent3 2" xfId="351" xr:uid="{00000000-0005-0000-0000-000002000000}"/>
    <cellStyle name="20 % - Accent4 2" xfId="352" xr:uid="{00000000-0005-0000-0000-000003000000}"/>
    <cellStyle name="20 % - Accent5 2" xfId="353" xr:uid="{00000000-0005-0000-0000-000004000000}"/>
    <cellStyle name="20 % - Accent6 2" xfId="354" xr:uid="{00000000-0005-0000-0000-000005000000}"/>
    <cellStyle name="40 % - Accent1 2" xfId="355" xr:uid="{00000000-0005-0000-0000-000006000000}"/>
    <cellStyle name="40 % - Accent2 2" xfId="356" xr:uid="{00000000-0005-0000-0000-000007000000}"/>
    <cellStyle name="40 % - Accent3 2" xfId="357" xr:uid="{00000000-0005-0000-0000-000008000000}"/>
    <cellStyle name="40 % - Accent4 2" xfId="358" xr:uid="{00000000-0005-0000-0000-000009000000}"/>
    <cellStyle name="40 % - Accent5 2" xfId="359" xr:uid="{00000000-0005-0000-0000-00000A000000}"/>
    <cellStyle name="40 % - Accent6 2" xfId="360" xr:uid="{00000000-0005-0000-0000-00000B000000}"/>
    <cellStyle name="60 % - Accent1 2" xfId="361" xr:uid="{00000000-0005-0000-0000-00000C000000}"/>
    <cellStyle name="60 % - Accent2 2" xfId="362" xr:uid="{00000000-0005-0000-0000-00000D000000}"/>
    <cellStyle name="60 % - Accent3 2" xfId="363" xr:uid="{00000000-0005-0000-0000-00000E000000}"/>
    <cellStyle name="60 % - Accent4 2" xfId="364" xr:uid="{00000000-0005-0000-0000-00000F000000}"/>
    <cellStyle name="60 % - Accent5 2" xfId="365" xr:uid="{00000000-0005-0000-0000-000010000000}"/>
    <cellStyle name="60 % - Accent6 2" xfId="366" xr:uid="{00000000-0005-0000-0000-000011000000}"/>
    <cellStyle name="Accent1 2" xfId="367" xr:uid="{00000000-0005-0000-0000-000012000000}"/>
    <cellStyle name="Accent2 2" xfId="368" xr:uid="{00000000-0005-0000-0000-000013000000}"/>
    <cellStyle name="Accent3 2" xfId="369" xr:uid="{00000000-0005-0000-0000-000014000000}"/>
    <cellStyle name="Accent4 2" xfId="370" xr:uid="{00000000-0005-0000-0000-000015000000}"/>
    <cellStyle name="Accent5 2" xfId="371" xr:uid="{00000000-0005-0000-0000-000016000000}"/>
    <cellStyle name="Accent6 2" xfId="372" xr:uid="{00000000-0005-0000-0000-000017000000}"/>
    <cellStyle name="Avertissement 2" xfId="373" xr:uid="{00000000-0005-0000-0000-000018000000}"/>
    <cellStyle name="Calcul 2" xfId="374" xr:uid="{00000000-0005-0000-0000-000019000000}"/>
    <cellStyle name="Cellule liée 2" xfId="375" xr:uid="{00000000-0005-0000-0000-00001A000000}"/>
    <cellStyle name="cexColumnHeadings" xfId="1" xr:uid="{00000000-0005-0000-0000-00001B000000}"/>
    <cellStyle name="cexColumnHeadings 2" xfId="393" xr:uid="{00000000-0005-0000-0000-00001C000000}"/>
    <cellStyle name="cexReportTitle" xfId="2" xr:uid="{00000000-0005-0000-0000-00001D000000}"/>
    <cellStyle name="cexTableEntry" xfId="3" xr:uid="{00000000-0005-0000-0000-00001E000000}"/>
    <cellStyle name="cexTableEntry 2" xfId="394" xr:uid="{00000000-0005-0000-0000-00001F000000}"/>
    <cellStyle name="Entrée 2" xfId="376" xr:uid="{00000000-0005-0000-0000-000020000000}"/>
    <cellStyle name="Insatisfaisant 2" xfId="377" xr:uid="{00000000-0005-0000-0000-000021000000}"/>
    <cellStyle name="Lien hypertexte" xfId="668" builtinId="8"/>
    <cellStyle name="Milliers" xfId="4" builtinId="3"/>
    <cellStyle name="Milliers 2" xfId="5" xr:uid="{00000000-0005-0000-0000-000023000000}"/>
    <cellStyle name="Milliers 3" xfId="6" xr:uid="{00000000-0005-0000-0000-000024000000}"/>
    <cellStyle name="Milliers 3 10" xfId="139" xr:uid="{00000000-0005-0000-0000-000025000000}"/>
    <cellStyle name="Milliers 3 10 2" xfId="395" xr:uid="{00000000-0005-0000-0000-000026000000}"/>
    <cellStyle name="Milliers 3 10 3" xfId="615" xr:uid="{00000000-0005-0000-0000-000027000000}"/>
    <cellStyle name="Milliers 3 11" xfId="156" xr:uid="{00000000-0005-0000-0000-000028000000}"/>
    <cellStyle name="Milliers 3 11 2" xfId="424" xr:uid="{00000000-0005-0000-0000-000029000000}"/>
    <cellStyle name="Milliers 3 11 3" xfId="644" xr:uid="{00000000-0005-0000-0000-00002A000000}"/>
    <cellStyle name="Milliers 3 12" xfId="173" xr:uid="{00000000-0005-0000-0000-00002B000000}"/>
    <cellStyle name="Milliers 3 13" xfId="448" xr:uid="{00000000-0005-0000-0000-00002C000000}"/>
    <cellStyle name="Milliers 3 2" xfId="16" xr:uid="{00000000-0005-0000-0000-00002D000000}"/>
    <cellStyle name="Milliers 3 2 10" xfId="158" xr:uid="{00000000-0005-0000-0000-00002E000000}"/>
    <cellStyle name="Milliers 3 2 10 2" xfId="426" xr:uid="{00000000-0005-0000-0000-00002F000000}"/>
    <cellStyle name="Milliers 3 2 10 3" xfId="646" xr:uid="{00000000-0005-0000-0000-000030000000}"/>
    <cellStyle name="Milliers 3 2 11" xfId="175" xr:uid="{00000000-0005-0000-0000-000031000000}"/>
    <cellStyle name="Milliers 3 2 12" xfId="450" xr:uid="{00000000-0005-0000-0000-000032000000}"/>
    <cellStyle name="Milliers 3 2 2" xfId="19" xr:uid="{00000000-0005-0000-0000-000033000000}"/>
    <cellStyle name="Milliers 3 2 2 10" xfId="452" xr:uid="{00000000-0005-0000-0000-000034000000}"/>
    <cellStyle name="Milliers 3 2 2 2" xfId="35" xr:uid="{00000000-0005-0000-0000-000035000000}"/>
    <cellStyle name="Milliers 3 2 2 2 2" xfId="59" xr:uid="{00000000-0005-0000-0000-000036000000}"/>
    <cellStyle name="Milliers 3 2 2 2 2 2" xfId="310" xr:uid="{00000000-0005-0000-0000-000037000000}"/>
    <cellStyle name="Milliers 3 2 2 2 2 2 2" xfId="576" xr:uid="{00000000-0005-0000-0000-000038000000}"/>
    <cellStyle name="Milliers 3 2 2 2 2 3" xfId="219" xr:uid="{00000000-0005-0000-0000-000039000000}"/>
    <cellStyle name="Milliers 3 2 2 2 2 4" xfId="493" xr:uid="{00000000-0005-0000-0000-00003A000000}"/>
    <cellStyle name="Milliers 3 2 2 2 3" xfId="88" xr:uid="{00000000-0005-0000-0000-00003B000000}"/>
    <cellStyle name="Milliers 3 2 2 2 3 2" xfId="339" xr:uid="{00000000-0005-0000-0000-00003C000000}"/>
    <cellStyle name="Milliers 3 2 2 2 3 2 2" xfId="605" xr:uid="{00000000-0005-0000-0000-00003D000000}"/>
    <cellStyle name="Milliers 3 2 2 2 3 3" xfId="248" xr:uid="{00000000-0005-0000-0000-00003E000000}"/>
    <cellStyle name="Milliers 3 2 2 2 3 4" xfId="522" xr:uid="{00000000-0005-0000-0000-00003F000000}"/>
    <cellStyle name="Milliers 3 2 2 2 4" xfId="111" xr:uid="{00000000-0005-0000-0000-000040000000}"/>
    <cellStyle name="Milliers 3 2 2 2 4 2" xfId="283" xr:uid="{00000000-0005-0000-0000-000041000000}"/>
    <cellStyle name="Milliers 3 2 2 2 4 3" xfId="549" xr:uid="{00000000-0005-0000-0000-000042000000}"/>
    <cellStyle name="Milliers 3 2 2 2 5" xfId="416" xr:uid="{00000000-0005-0000-0000-000043000000}"/>
    <cellStyle name="Milliers 3 2 2 2 5 2" xfId="636" xr:uid="{00000000-0005-0000-0000-000044000000}"/>
    <cellStyle name="Milliers 3 2 2 2 6" xfId="442" xr:uid="{00000000-0005-0000-0000-000045000000}"/>
    <cellStyle name="Milliers 3 2 2 2 6 2" xfId="662" xr:uid="{00000000-0005-0000-0000-000046000000}"/>
    <cellStyle name="Milliers 3 2 2 2 7" xfId="191" xr:uid="{00000000-0005-0000-0000-000047000000}"/>
    <cellStyle name="Milliers 3 2 2 2 8" xfId="466" xr:uid="{00000000-0005-0000-0000-000048000000}"/>
    <cellStyle name="Milliers 3 2 2 3" xfId="45" xr:uid="{00000000-0005-0000-0000-000049000000}"/>
    <cellStyle name="Milliers 3 2 2 3 2" xfId="293" xr:uid="{00000000-0005-0000-0000-00004A000000}"/>
    <cellStyle name="Milliers 3 2 2 3 2 2" xfId="559" xr:uid="{00000000-0005-0000-0000-00004B000000}"/>
    <cellStyle name="Milliers 3 2 2 3 3" xfId="201" xr:uid="{00000000-0005-0000-0000-00004C000000}"/>
    <cellStyle name="Milliers 3 2 2 3 4" xfId="476" xr:uid="{00000000-0005-0000-0000-00004D000000}"/>
    <cellStyle name="Milliers 3 2 2 4" xfId="71" xr:uid="{00000000-0005-0000-0000-00004E000000}"/>
    <cellStyle name="Milliers 3 2 2 4 2" xfId="322" xr:uid="{00000000-0005-0000-0000-00004F000000}"/>
    <cellStyle name="Milliers 3 2 2 4 2 2" xfId="588" xr:uid="{00000000-0005-0000-0000-000050000000}"/>
    <cellStyle name="Milliers 3 2 2 4 3" xfId="231" xr:uid="{00000000-0005-0000-0000-000051000000}"/>
    <cellStyle name="Milliers 3 2 2 4 4" xfId="505" xr:uid="{00000000-0005-0000-0000-000052000000}"/>
    <cellStyle name="Milliers 3 2 2 5" xfId="97" xr:uid="{00000000-0005-0000-0000-000053000000}"/>
    <cellStyle name="Milliers 3 2 2 5 2" xfId="268" xr:uid="{00000000-0005-0000-0000-000054000000}"/>
    <cellStyle name="Milliers 3 2 2 5 3" xfId="535" xr:uid="{00000000-0005-0000-0000-000055000000}"/>
    <cellStyle name="Milliers 3 2 2 6" xfId="124" xr:uid="{00000000-0005-0000-0000-000056000000}"/>
    <cellStyle name="Milliers 3 2 2 6 2" xfId="399" xr:uid="{00000000-0005-0000-0000-000057000000}"/>
    <cellStyle name="Milliers 3 2 2 6 3" xfId="619" xr:uid="{00000000-0005-0000-0000-000058000000}"/>
    <cellStyle name="Milliers 3 2 2 7" xfId="143" xr:uid="{00000000-0005-0000-0000-000059000000}"/>
    <cellStyle name="Milliers 3 2 2 7 2" xfId="428" xr:uid="{00000000-0005-0000-0000-00005A000000}"/>
    <cellStyle name="Milliers 3 2 2 7 3" xfId="648" xr:uid="{00000000-0005-0000-0000-00005B000000}"/>
    <cellStyle name="Milliers 3 2 2 8" xfId="160" xr:uid="{00000000-0005-0000-0000-00005C000000}"/>
    <cellStyle name="Milliers 3 2 2 9" xfId="177" xr:uid="{00000000-0005-0000-0000-00005D000000}"/>
    <cellStyle name="Milliers 3 2 3" xfId="20" xr:uid="{00000000-0005-0000-0000-00005E000000}"/>
    <cellStyle name="Milliers 3 2 3 10" xfId="453" xr:uid="{00000000-0005-0000-0000-00005F000000}"/>
    <cellStyle name="Milliers 3 2 3 2" xfId="39" xr:uid="{00000000-0005-0000-0000-000060000000}"/>
    <cellStyle name="Milliers 3 2 3 2 2" xfId="63" xr:uid="{00000000-0005-0000-0000-000061000000}"/>
    <cellStyle name="Milliers 3 2 3 2 2 2" xfId="311" xr:uid="{00000000-0005-0000-0000-000062000000}"/>
    <cellStyle name="Milliers 3 2 3 2 2 2 2" xfId="577" xr:uid="{00000000-0005-0000-0000-000063000000}"/>
    <cellStyle name="Milliers 3 2 3 2 2 3" xfId="220" xr:uid="{00000000-0005-0000-0000-000064000000}"/>
    <cellStyle name="Milliers 3 2 3 2 2 4" xfId="494" xr:uid="{00000000-0005-0000-0000-000065000000}"/>
    <cellStyle name="Milliers 3 2 3 2 3" xfId="91" xr:uid="{00000000-0005-0000-0000-000066000000}"/>
    <cellStyle name="Milliers 3 2 3 2 3 2" xfId="340" xr:uid="{00000000-0005-0000-0000-000067000000}"/>
    <cellStyle name="Milliers 3 2 3 2 3 2 2" xfId="606" xr:uid="{00000000-0005-0000-0000-000068000000}"/>
    <cellStyle name="Milliers 3 2 3 2 3 3" xfId="249" xr:uid="{00000000-0005-0000-0000-000069000000}"/>
    <cellStyle name="Milliers 3 2 3 2 3 4" xfId="523" xr:uid="{00000000-0005-0000-0000-00006A000000}"/>
    <cellStyle name="Milliers 3 2 3 2 4" xfId="115" xr:uid="{00000000-0005-0000-0000-00006B000000}"/>
    <cellStyle name="Milliers 3 2 3 2 4 2" xfId="287" xr:uid="{00000000-0005-0000-0000-00006C000000}"/>
    <cellStyle name="Milliers 3 2 3 2 4 3" xfId="553" xr:uid="{00000000-0005-0000-0000-00006D000000}"/>
    <cellStyle name="Milliers 3 2 3 2 5" xfId="417" xr:uid="{00000000-0005-0000-0000-00006E000000}"/>
    <cellStyle name="Milliers 3 2 3 2 5 2" xfId="637" xr:uid="{00000000-0005-0000-0000-00006F000000}"/>
    <cellStyle name="Milliers 3 2 3 2 6" xfId="446" xr:uid="{00000000-0005-0000-0000-000070000000}"/>
    <cellStyle name="Milliers 3 2 3 2 6 2" xfId="666" xr:uid="{00000000-0005-0000-0000-000071000000}"/>
    <cellStyle name="Milliers 3 2 3 2 7" xfId="195" xr:uid="{00000000-0005-0000-0000-000072000000}"/>
    <cellStyle name="Milliers 3 2 3 2 8" xfId="470" xr:uid="{00000000-0005-0000-0000-000073000000}"/>
    <cellStyle name="Milliers 3 2 3 3" xfId="46" xr:uid="{00000000-0005-0000-0000-000074000000}"/>
    <cellStyle name="Milliers 3 2 3 3 2" xfId="294" xr:uid="{00000000-0005-0000-0000-000075000000}"/>
    <cellStyle name="Milliers 3 2 3 3 2 2" xfId="560" xr:uid="{00000000-0005-0000-0000-000076000000}"/>
    <cellStyle name="Milliers 3 2 3 3 3" xfId="202" xr:uid="{00000000-0005-0000-0000-000077000000}"/>
    <cellStyle name="Milliers 3 2 3 3 4" xfId="477" xr:uid="{00000000-0005-0000-0000-000078000000}"/>
    <cellStyle name="Milliers 3 2 3 4" xfId="72" xr:uid="{00000000-0005-0000-0000-000079000000}"/>
    <cellStyle name="Milliers 3 2 3 4 2" xfId="323" xr:uid="{00000000-0005-0000-0000-00007A000000}"/>
    <cellStyle name="Milliers 3 2 3 4 2 2" xfId="589" xr:uid="{00000000-0005-0000-0000-00007B000000}"/>
    <cellStyle name="Milliers 3 2 3 4 3" xfId="232" xr:uid="{00000000-0005-0000-0000-00007C000000}"/>
    <cellStyle name="Milliers 3 2 3 4 4" xfId="506" xr:uid="{00000000-0005-0000-0000-00007D000000}"/>
    <cellStyle name="Milliers 3 2 3 5" xfId="98" xr:uid="{00000000-0005-0000-0000-00007E000000}"/>
    <cellStyle name="Milliers 3 2 3 5 2" xfId="269" xr:uid="{00000000-0005-0000-0000-00007F000000}"/>
    <cellStyle name="Milliers 3 2 3 5 3" xfId="536" xr:uid="{00000000-0005-0000-0000-000080000000}"/>
    <cellStyle name="Milliers 3 2 3 6" xfId="125" xr:uid="{00000000-0005-0000-0000-000081000000}"/>
    <cellStyle name="Milliers 3 2 3 6 2" xfId="400" xr:uid="{00000000-0005-0000-0000-000082000000}"/>
    <cellStyle name="Milliers 3 2 3 6 3" xfId="620" xr:uid="{00000000-0005-0000-0000-000083000000}"/>
    <cellStyle name="Milliers 3 2 3 7" xfId="144" xr:uid="{00000000-0005-0000-0000-000084000000}"/>
    <cellStyle name="Milliers 3 2 3 7 2" xfId="429" xr:uid="{00000000-0005-0000-0000-000085000000}"/>
    <cellStyle name="Milliers 3 2 3 7 3" xfId="649" xr:uid="{00000000-0005-0000-0000-000086000000}"/>
    <cellStyle name="Milliers 3 2 3 8" xfId="161" xr:uid="{00000000-0005-0000-0000-000087000000}"/>
    <cellStyle name="Milliers 3 2 3 9" xfId="178" xr:uid="{00000000-0005-0000-0000-000088000000}"/>
    <cellStyle name="Milliers 3 2 4" xfId="31" xr:uid="{00000000-0005-0000-0000-000089000000}"/>
    <cellStyle name="Milliers 3 2 4 2" xfId="55" xr:uid="{00000000-0005-0000-0000-00008A000000}"/>
    <cellStyle name="Milliers 3 2 4 2 2" xfId="304" xr:uid="{00000000-0005-0000-0000-00008B000000}"/>
    <cellStyle name="Milliers 3 2 4 2 2 2" xfId="570" xr:uid="{00000000-0005-0000-0000-00008C000000}"/>
    <cellStyle name="Milliers 3 2 4 2 3" xfId="213" xr:uid="{00000000-0005-0000-0000-00008D000000}"/>
    <cellStyle name="Milliers 3 2 4 2 4" xfId="487" xr:uid="{00000000-0005-0000-0000-00008E000000}"/>
    <cellStyle name="Milliers 3 2 4 3" xfId="86" xr:uid="{00000000-0005-0000-0000-00008F000000}"/>
    <cellStyle name="Milliers 3 2 4 3 2" xfId="333" xr:uid="{00000000-0005-0000-0000-000090000000}"/>
    <cellStyle name="Milliers 3 2 4 3 2 2" xfId="599" xr:uid="{00000000-0005-0000-0000-000091000000}"/>
    <cellStyle name="Milliers 3 2 4 3 3" xfId="242" xr:uid="{00000000-0005-0000-0000-000092000000}"/>
    <cellStyle name="Milliers 3 2 4 3 4" xfId="516" xr:uid="{00000000-0005-0000-0000-000093000000}"/>
    <cellStyle name="Milliers 3 2 4 4" xfId="107" xr:uid="{00000000-0005-0000-0000-000094000000}"/>
    <cellStyle name="Milliers 3 2 4 4 2" xfId="279" xr:uid="{00000000-0005-0000-0000-000095000000}"/>
    <cellStyle name="Milliers 3 2 4 4 3" xfId="545" xr:uid="{00000000-0005-0000-0000-000096000000}"/>
    <cellStyle name="Milliers 3 2 4 5" xfId="135" xr:uid="{00000000-0005-0000-0000-000097000000}"/>
    <cellStyle name="Milliers 3 2 4 5 2" xfId="410" xr:uid="{00000000-0005-0000-0000-000098000000}"/>
    <cellStyle name="Milliers 3 2 4 5 3" xfId="630" xr:uid="{00000000-0005-0000-0000-000099000000}"/>
    <cellStyle name="Milliers 3 2 4 6" xfId="154" xr:uid="{00000000-0005-0000-0000-00009A000000}"/>
    <cellStyle name="Milliers 3 2 4 6 2" xfId="438" xr:uid="{00000000-0005-0000-0000-00009B000000}"/>
    <cellStyle name="Milliers 3 2 4 6 3" xfId="658" xr:uid="{00000000-0005-0000-0000-00009C000000}"/>
    <cellStyle name="Milliers 3 2 4 7" xfId="171" xr:uid="{00000000-0005-0000-0000-00009D000000}"/>
    <cellStyle name="Milliers 3 2 4 8" xfId="187" xr:uid="{00000000-0005-0000-0000-00009E000000}"/>
    <cellStyle name="Milliers 3 2 4 9" xfId="462" xr:uid="{00000000-0005-0000-0000-00009F000000}"/>
    <cellStyle name="Milliers 3 2 5" xfId="43" xr:uid="{00000000-0005-0000-0000-0000A0000000}"/>
    <cellStyle name="Milliers 3 2 5 2" xfId="246" xr:uid="{00000000-0005-0000-0000-0000A1000000}"/>
    <cellStyle name="Milliers 3 2 5 2 2" xfId="337" xr:uid="{00000000-0005-0000-0000-0000A2000000}"/>
    <cellStyle name="Milliers 3 2 5 2 2 2" xfId="603" xr:uid="{00000000-0005-0000-0000-0000A3000000}"/>
    <cellStyle name="Milliers 3 2 5 2 3" xfId="520" xr:uid="{00000000-0005-0000-0000-0000A4000000}"/>
    <cellStyle name="Milliers 3 2 5 3" xfId="308" xr:uid="{00000000-0005-0000-0000-0000A5000000}"/>
    <cellStyle name="Milliers 3 2 5 3 2" xfId="574" xr:uid="{00000000-0005-0000-0000-0000A6000000}"/>
    <cellStyle name="Milliers 3 2 5 4" xfId="414" xr:uid="{00000000-0005-0000-0000-0000A7000000}"/>
    <cellStyle name="Milliers 3 2 5 4 2" xfId="634" xr:uid="{00000000-0005-0000-0000-0000A8000000}"/>
    <cellStyle name="Milliers 3 2 5 5" xfId="217" xr:uid="{00000000-0005-0000-0000-0000A9000000}"/>
    <cellStyle name="Milliers 3 2 5 6" xfId="491" xr:uid="{00000000-0005-0000-0000-0000AA000000}"/>
    <cellStyle name="Milliers 3 2 6" xfId="69" xr:uid="{00000000-0005-0000-0000-0000AB000000}"/>
    <cellStyle name="Milliers 3 2 6 2" xfId="291" xr:uid="{00000000-0005-0000-0000-0000AC000000}"/>
    <cellStyle name="Milliers 3 2 6 2 2" xfId="557" xr:uid="{00000000-0005-0000-0000-0000AD000000}"/>
    <cellStyle name="Milliers 3 2 6 3" xfId="199" xr:uid="{00000000-0005-0000-0000-0000AE000000}"/>
    <cellStyle name="Milliers 3 2 6 4" xfId="474" xr:uid="{00000000-0005-0000-0000-0000AF000000}"/>
    <cellStyle name="Milliers 3 2 7" xfId="95" xr:uid="{00000000-0005-0000-0000-0000B0000000}"/>
    <cellStyle name="Milliers 3 2 7 2" xfId="320" xr:uid="{00000000-0005-0000-0000-0000B1000000}"/>
    <cellStyle name="Milliers 3 2 7 2 2" xfId="586" xr:uid="{00000000-0005-0000-0000-0000B2000000}"/>
    <cellStyle name="Milliers 3 2 7 3" xfId="229" xr:uid="{00000000-0005-0000-0000-0000B3000000}"/>
    <cellStyle name="Milliers 3 2 7 4" xfId="503" xr:uid="{00000000-0005-0000-0000-0000B4000000}"/>
    <cellStyle name="Milliers 3 2 8" xfId="122" xr:uid="{00000000-0005-0000-0000-0000B5000000}"/>
    <cellStyle name="Milliers 3 2 8 2" xfId="266" xr:uid="{00000000-0005-0000-0000-0000B6000000}"/>
    <cellStyle name="Milliers 3 2 8 3" xfId="533" xr:uid="{00000000-0005-0000-0000-0000B7000000}"/>
    <cellStyle name="Milliers 3 2 9" xfId="141" xr:uid="{00000000-0005-0000-0000-0000B8000000}"/>
    <cellStyle name="Milliers 3 2 9 2" xfId="397" xr:uid="{00000000-0005-0000-0000-0000B9000000}"/>
    <cellStyle name="Milliers 3 2 9 3" xfId="617" xr:uid="{00000000-0005-0000-0000-0000BA000000}"/>
    <cellStyle name="Milliers 3 3" xfId="21" xr:uid="{00000000-0005-0000-0000-0000BB000000}"/>
    <cellStyle name="Milliers 3 3 10" xfId="454" xr:uid="{00000000-0005-0000-0000-0000BC000000}"/>
    <cellStyle name="Milliers 3 3 2" xfId="33" xr:uid="{00000000-0005-0000-0000-0000BD000000}"/>
    <cellStyle name="Milliers 3 3 2 2" xfId="57" xr:uid="{00000000-0005-0000-0000-0000BE000000}"/>
    <cellStyle name="Milliers 3 3 2 2 2" xfId="312" xr:uid="{00000000-0005-0000-0000-0000BF000000}"/>
    <cellStyle name="Milliers 3 3 2 2 2 2" xfId="578" xr:uid="{00000000-0005-0000-0000-0000C0000000}"/>
    <cellStyle name="Milliers 3 3 2 2 3" xfId="221" xr:uid="{00000000-0005-0000-0000-0000C1000000}"/>
    <cellStyle name="Milliers 3 3 2 2 4" xfId="495" xr:uid="{00000000-0005-0000-0000-0000C2000000}"/>
    <cellStyle name="Milliers 3 3 2 3" xfId="67" xr:uid="{00000000-0005-0000-0000-0000C3000000}"/>
    <cellStyle name="Milliers 3 3 2 3 2" xfId="341" xr:uid="{00000000-0005-0000-0000-0000C4000000}"/>
    <cellStyle name="Milliers 3 3 2 3 2 2" xfId="607" xr:uid="{00000000-0005-0000-0000-0000C5000000}"/>
    <cellStyle name="Milliers 3 3 2 3 3" xfId="250" xr:uid="{00000000-0005-0000-0000-0000C6000000}"/>
    <cellStyle name="Milliers 3 3 2 3 4" xfId="524" xr:uid="{00000000-0005-0000-0000-0000C7000000}"/>
    <cellStyle name="Milliers 3 3 2 4" xfId="109" xr:uid="{00000000-0005-0000-0000-0000C8000000}"/>
    <cellStyle name="Milliers 3 3 2 4 2" xfId="281" xr:uid="{00000000-0005-0000-0000-0000C9000000}"/>
    <cellStyle name="Milliers 3 3 2 4 3" xfId="547" xr:uid="{00000000-0005-0000-0000-0000CA000000}"/>
    <cellStyle name="Milliers 3 3 2 5" xfId="418" xr:uid="{00000000-0005-0000-0000-0000CB000000}"/>
    <cellStyle name="Milliers 3 3 2 5 2" xfId="638" xr:uid="{00000000-0005-0000-0000-0000CC000000}"/>
    <cellStyle name="Milliers 3 3 2 6" xfId="440" xr:uid="{00000000-0005-0000-0000-0000CD000000}"/>
    <cellStyle name="Milliers 3 3 2 6 2" xfId="660" xr:uid="{00000000-0005-0000-0000-0000CE000000}"/>
    <cellStyle name="Milliers 3 3 2 7" xfId="189" xr:uid="{00000000-0005-0000-0000-0000CF000000}"/>
    <cellStyle name="Milliers 3 3 2 8" xfId="464" xr:uid="{00000000-0005-0000-0000-0000D0000000}"/>
    <cellStyle name="Milliers 3 3 3" xfId="47" xr:uid="{00000000-0005-0000-0000-0000D1000000}"/>
    <cellStyle name="Milliers 3 3 3 2" xfId="295" xr:uid="{00000000-0005-0000-0000-0000D2000000}"/>
    <cellStyle name="Milliers 3 3 3 2 2" xfId="561" xr:uid="{00000000-0005-0000-0000-0000D3000000}"/>
    <cellStyle name="Milliers 3 3 3 3" xfId="203" xr:uid="{00000000-0005-0000-0000-0000D4000000}"/>
    <cellStyle name="Milliers 3 3 3 4" xfId="478" xr:uid="{00000000-0005-0000-0000-0000D5000000}"/>
    <cellStyle name="Milliers 3 3 4" xfId="73" xr:uid="{00000000-0005-0000-0000-0000D6000000}"/>
    <cellStyle name="Milliers 3 3 4 2" xfId="324" xr:uid="{00000000-0005-0000-0000-0000D7000000}"/>
    <cellStyle name="Milliers 3 3 4 2 2" xfId="590" xr:uid="{00000000-0005-0000-0000-0000D8000000}"/>
    <cellStyle name="Milliers 3 3 4 3" xfId="233" xr:uid="{00000000-0005-0000-0000-0000D9000000}"/>
    <cellStyle name="Milliers 3 3 4 4" xfId="507" xr:uid="{00000000-0005-0000-0000-0000DA000000}"/>
    <cellStyle name="Milliers 3 3 5" xfId="99" xr:uid="{00000000-0005-0000-0000-0000DB000000}"/>
    <cellStyle name="Milliers 3 3 5 2" xfId="270" xr:uid="{00000000-0005-0000-0000-0000DC000000}"/>
    <cellStyle name="Milliers 3 3 5 3" xfId="537" xr:uid="{00000000-0005-0000-0000-0000DD000000}"/>
    <cellStyle name="Milliers 3 3 6" xfId="126" xr:uid="{00000000-0005-0000-0000-0000DE000000}"/>
    <cellStyle name="Milliers 3 3 6 2" xfId="401" xr:uid="{00000000-0005-0000-0000-0000DF000000}"/>
    <cellStyle name="Milliers 3 3 6 3" xfId="621" xr:uid="{00000000-0005-0000-0000-0000E0000000}"/>
    <cellStyle name="Milliers 3 3 7" xfId="145" xr:uid="{00000000-0005-0000-0000-0000E1000000}"/>
    <cellStyle name="Milliers 3 3 7 2" xfId="430" xr:uid="{00000000-0005-0000-0000-0000E2000000}"/>
    <cellStyle name="Milliers 3 3 7 3" xfId="650" xr:uid="{00000000-0005-0000-0000-0000E3000000}"/>
    <cellStyle name="Milliers 3 3 8" xfId="162" xr:uid="{00000000-0005-0000-0000-0000E4000000}"/>
    <cellStyle name="Milliers 3 3 9" xfId="179" xr:uid="{00000000-0005-0000-0000-0000E5000000}"/>
    <cellStyle name="Milliers 3 4" xfId="22" xr:uid="{00000000-0005-0000-0000-0000E6000000}"/>
    <cellStyle name="Milliers 3 4 10" xfId="455" xr:uid="{00000000-0005-0000-0000-0000E7000000}"/>
    <cellStyle name="Milliers 3 4 2" xfId="37" xr:uid="{00000000-0005-0000-0000-0000E8000000}"/>
    <cellStyle name="Milliers 3 4 2 2" xfId="61" xr:uid="{00000000-0005-0000-0000-0000E9000000}"/>
    <cellStyle name="Milliers 3 4 2 2 2" xfId="313" xr:uid="{00000000-0005-0000-0000-0000EA000000}"/>
    <cellStyle name="Milliers 3 4 2 2 2 2" xfId="579" xr:uid="{00000000-0005-0000-0000-0000EB000000}"/>
    <cellStyle name="Milliers 3 4 2 2 3" xfId="222" xr:uid="{00000000-0005-0000-0000-0000EC000000}"/>
    <cellStyle name="Milliers 3 4 2 2 4" xfId="496" xr:uid="{00000000-0005-0000-0000-0000ED000000}"/>
    <cellStyle name="Milliers 3 4 2 3" xfId="89" xr:uid="{00000000-0005-0000-0000-0000EE000000}"/>
    <cellStyle name="Milliers 3 4 2 3 2" xfId="342" xr:uid="{00000000-0005-0000-0000-0000EF000000}"/>
    <cellStyle name="Milliers 3 4 2 3 2 2" xfId="608" xr:uid="{00000000-0005-0000-0000-0000F0000000}"/>
    <cellStyle name="Milliers 3 4 2 3 3" xfId="251" xr:uid="{00000000-0005-0000-0000-0000F1000000}"/>
    <cellStyle name="Milliers 3 4 2 3 4" xfId="525" xr:uid="{00000000-0005-0000-0000-0000F2000000}"/>
    <cellStyle name="Milliers 3 4 2 4" xfId="113" xr:uid="{00000000-0005-0000-0000-0000F3000000}"/>
    <cellStyle name="Milliers 3 4 2 4 2" xfId="285" xr:uid="{00000000-0005-0000-0000-0000F4000000}"/>
    <cellStyle name="Milliers 3 4 2 4 3" xfId="551" xr:uid="{00000000-0005-0000-0000-0000F5000000}"/>
    <cellStyle name="Milliers 3 4 2 5" xfId="419" xr:uid="{00000000-0005-0000-0000-0000F6000000}"/>
    <cellStyle name="Milliers 3 4 2 5 2" xfId="639" xr:uid="{00000000-0005-0000-0000-0000F7000000}"/>
    <cellStyle name="Milliers 3 4 2 6" xfId="444" xr:uid="{00000000-0005-0000-0000-0000F8000000}"/>
    <cellStyle name="Milliers 3 4 2 6 2" xfId="664" xr:uid="{00000000-0005-0000-0000-0000F9000000}"/>
    <cellStyle name="Milliers 3 4 2 7" xfId="193" xr:uid="{00000000-0005-0000-0000-0000FA000000}"/>
    <cellStyle name="Milliers 3 4 2 8" xfId="468" xr:uid="{00000000-0005-0000-0000-0000FB000000}"/>
    <cellStyle name="Milliers 3 4 3" xfId="48" xr:uid="{00000000-0005-0000-0000-0000FC000000}"/>
    <cellStyle name="Milliers 3 4 3 2" xfId="296" xr:uid="{00000000-0005-0000-0000-0000FD000000}"/>
    <cellStyle name="Milliers 3 4 3 2 2" xfId="562" xr:uid="{00000000-0005-0000-0000-0000FE000000}"/>
    <cellStyle name="Milliers 3 4 3 3" xfId="204" xr:uid="{00000000-0005-0000-0000-0000FF000000}"/>
    <cellStyle name="Milliers 3 4 3 4" xfId="479" xr:uid="{00000000-0005-0000-0000-000000010000}"/>
    <cellStyle name="Milliers 3 4 4" xfId="74" xr:uid="{00000000-0005-0000-0000-000001010000}"/>
    <cellStyle name="Milliers 3 4 4 2" xfId="325" xr:uid="{00000000-0005-0000-0000-000002010000}"/>
    <cellStyle name="Milliers 3 4 4 2 2" xfId="591" xr:uid="{00000000-0005-0000-0000-000003010000}"/>
    <cellStyle name="Milliers 3 4 4 3" xfId="234" xr:uid="{00000000-0005-0000-0000-000004010000}"/>
    <cellStyle name="Milliers 3 4 4 4" xfId="508" xr:uid="{00000000-0005-0000-0000-000005010000}"/>
    <cellStyle name="Milliers 3 4 5" xfId="100" xr:uid="{00000000-0005-0000-0000-000006010000}"/>
    <cellStyle name="Milliers 3 4 5 2" xfId="271" xr:uid="{00000000-0005-0000-0000-000007010000}"/>
    <cellStyle name="Milliers 3 4 5 3" xfId="538" xr:uid="{00000000-0005-0000-0000-000008010000}"/>
    <cellStyle name="Milliers 3 4 6" xfId="127" xr:uid="{00000000-0005-0000-0000-000009010000}"/>
    <cellStyle name="Milliers 3 4 6 2" xfId="402" xr:uid="{00000000-0005-0000-0000-00000A010000}"/>
    <cellStyle name="Milliers 3 4 6 3" xfId="622" xr:uid="{00000000-0005-0000-0000-00000B010000}"/>
    <cellStyle name="Milliers 3 4 7" xfId="146" xr:uid="{00000000-0005-0000-0000-00000C010000}"/>
    <cellStyle name="Milliers 3 4 7 2" xfId="431" xr:uid="{00000000-0005-0000-0000-00000D010000}"/>
    <cellStyle name="Milliers 3 4 7 3" xfId="651" xr:uid="{00000000-0005-0000-0000-00000E010000}"/>
    <cellStyle name="Milliers 3 4 8" xfId="163" xr:uid="{00000000-0005-0000-0000-00000F010000}"/>
    <cellStyle name="Milliers 3 4 9" xfId="180" xr:uid="{00000000-0005-0000-0000-000010010000}"/>
    <cellStyle name="Milliers 3 5" xfId="29" xr:uid="{00000000-0005-0000-0000-000011010000}"/>
    <cellStyle name="Milliers 3 5 2" xfId="53" xr:uid="{00000000-0005-0000-0000-000012010000}"/>
    <cellStyle name="Milliers 3 5 2 2" xfId="302" xr:uid="{00000000-0005-0000-0000-000013010000}"/>
    <cellStyle name="Milliers 3 5 2 2 2" xfId="568" xr:uid="{00000000-0005-0000-0000-000014010000}"/>
    <cellStyle name="Milliers 3 5 2 3" xfId="211" xr:uid="{00000000-0005-0000-0000-000015010000}"/>
    <cellStyle name="Milliers 3 5 2 4" xfId="485" xr:uid="{00000000-0005-0000-0000-000016010000}"/>
    <cellStyle name="Milliers 3 5 3" xfId="84" xr:uid="{00000000-0005-0000-0000-000017010000}"/>
    <cellStyle name="Milliers 3 5 3 2" xfId="331" xr:uid="{00000000-0005-0000-0000-000018010000}"/>
    <cellStyle name="Milliers 3 5 3 2 2" xfId="597" xr:uid="{00000000-0005-0000-0000-000019010000}"/>
    <cellStyle name="Milliers 3 5 3 3" xfId="240" xr:uid="{00000000-0005-0000-0000-00001A010000}"/>
    <cellStyle name="Milliers 3 5 3 4" xfId="514" xr:uid="{00000000-0005-0000-0000-00001B010000}"/>
    <cellStyle name="Milliers 3 5 4" xfId="105" xr:uid="{00000000-0005-0000-0000-00001C010000}"/>
    <cellStyle name="Milliers 3 5 4 2" xfId="277" xr:uid="{00000000-0005-0000-0000-00001D010000}"/>
    <cellStyle name="Milliers 3 5 4 3" xfId="543" xr:uid="{00000000-0005-0000-0000-00001E010000}"/>
    <cellStyle name="Milliers 3 5 5" xfId="133" xr:uid="{00000000-0005-0000-0000-00001F010000}"/>
    <cellStyle name="Milliers 3 5 5 2" xfId="408" xr:uid="{00000000-0005-0000-0000-000020010000}"/>
    <cellStyle name="Milliers 3 5 5 3" xfId="628" xr:uid="{00000000-0005-0000-0000-000021010000}"/>
    <cellStyle name="Milliers 3 5 6" xfId="152" xr:uid="{00000000-0005-0000-0000-000022010000}"/>
    <cellStyle name="Milliers 3 5 6 2" xfId="436" xr:uid="{00000000-0005-0000-0000-000023010000}"/>
    <cellStyle name="Milliers 3 5 6 3" xfId="656" xr:uid="{00000000-0005-0000-0000-000024010000}"/>
    <cellStyle name="Milliers 3 5 7" xfId="169" xr:uid="{00000000-0005-0000-0000-000025010000}"/>
    <cellStyle name="Milliers 3 5 8" xfId="185" xr:uid="{00000000-0005-0000-0000-000026010000}"/>
    <cellStyle name="Milliers 3 5 9" xfId="460" xr:uid="{00000000-0005-0000-0000-000027010000}"/>
    <cellStyle name="Milliers 3 6" xfId="41" xr:uid="{00000000-0005-0000-0000-000028010000}"/>
    <cellStyle name="Milliers 3 6 2" xfId="244" xr:uid="{00000000-0005-0000-0000-000029010000}"/>
    <cellStyle name="Milliers 3 6 2 2" xfId="335" xr:uid="{00000000-0005-0000-0000-00002A010000}"/>
    <cellStyle name="Milliers 3 6 2 2 2" xfId="601" xr:uid="{00000000-0005-0000-0000-00002B010000}"/>
    <cellStyle name="Milliers 3 6 2 3" xfId="518" xr:uid="{00000000-0005-0000-0000-00002C010000}"/>
    <cellStyle name="Milliers 3 6 3" xfId="306" xr:uid="{00000000-0005-0000-0000-00002D010000}"/>
    <cellStyle name="Milliers 3 6 3 2" xfId="572" xr:uid="{00000000-0005-0000-0000-00002E010000}"/>
    <cellStyle name="Milliers 3 6 4" xfId="412" xr:uid="{00000000-0005-0000-0000-00002F010000}"/>
    <cellStyle name="Milliers 3 6 4 2" xfId="632" xr:uid="{00000000-0005-0000-0000-000030010000}"/>
    <cellStyle name="Milliers 3 6 5" xfId="215" xr:uid="{00000000-0005-0000-0000-000031010000}"/>
    <cellStyle name="Milliers 3 6 6" xfId="489" xr:uid="{00000000-0005-0000-0000-000032010000}"/>
    <cellStyle name="Milliers 3 7" xfId="66" xr:uid="{00000000-0005-0000-0000-000033010000}"/>
    <cellStyle name="Milliers 3 7 2" xfId="289" xr:uid="{00000000-0005-0000-0000-000034010000}"/>
    <cellStyle name="Milliers 3 7 2 2" xfId="555" xr:uid="{00000000-0005-0000-0000-000035010000}"/>
    <cellStyle name="Milliers 3 7 3" xfId="197" xr:uid="{00000000-0005-0000-0000-000036010000}"/>
    <cellStyle name="Milliers 3 7 4" xfId="472" xr:uid="{00000000-0005-0000-0000-000037010000}"/>
    <cellStyle name="Milliers 3 8" xfId="93" xr:uid="{00000000-0005-0000-0000-000038010000}"/>
    <cellStyle name="Milliers 3 8 2" xfId="318" xr:uid="{00000000-0005-0000-0000-000039010000}"/>
    <cellStyle name="Milliers 3 8 2 2" xfId="584" xr:uid="{00000000-0005-0000-0000-00003A010000}"/>
    <cellStyle name="Milliers 3 8 3" xfId="227" xr:uid="{00000000-0005-0000-0000-00003B010000}"/>
    <cellStyle name="Milliers 3 8 4" xfId="501" xr:uid="{00000000-0005-0000-0000-00003C010000}"/>
    <cellStyle name="Milliers 3 9" xfId="120" xr:uid="{00000000-0005-0000-0000-00003D010000}"/>
    <cellStyle name="Milliers 3 9 2" xfId="263" xr:uid="{00000000-0005-0000-0000-00003E010000}"/>
    <cellStyle name="Milliers 3 9 3" xfId="531" xr:uid="{00000000-0005-0000-0000-00003F010000}"/>
    <cellStyle name="Milliers 4" xfId="14" xr:uid="{00000000-0005-0000-0000-000040010000}"/>
    <cellStyle name="Milliers 4 2" xfId="23" xr:uid="{00000000-0005-0000-0000-000041010000}"/>
    <cellStyle name="Milliers 5" xfId="81" xr:uid="{00000000-0005-0000-0000-000042010000}"/>
    <cellStyle name="Milliers 5 2" xfId="132" xr:uid="{00000000-0005-0000-0000-000043010000}"/>
    <cellStyle name="Milliers 5 2 2" xfId="330" xr:uid="{00000000-0005-0000-0000-000044010000}"/>
    <cellStyle name="Milliers 5 2 2 2" xfId="596" xr:uid="{00000000-0005-0000-0000-000045010000}"/>
    <cellStyle name="Milliers 5 2 3" xfId="239" xr:uid="{00000000-0005-0000-0000-000046010000}"/>
    <cellStyle name="Milliers 5 2 4" xfId="513" xr:uid="{00000000-0005-0000-0000-000047010000}"/>
    <cellStyle name="Milliers 5 3" xfId="151" xr:uid="{00000000-0005-0000-0000-000048010000}"/>
    <cellStyle name="Milliers 5 3 2" xfId="301" xr:uid="{00000000-0005-0000-0000-000049010000}"/>
    <cellStyle name="Milliers 5 3 3" xfId="567" xr:uid="{00000000-0005-0000-0000-00004A010000}"/>
    <cellStyle name="Milliers 5 4" xfId="168" xr:uid="{00000000-0005-0000-0000-00004B010000}"/>
    <cellStyle name="Milliers 5 4 2" xfId="407" xr:uid="{00000000-0005-0000-0000-00004C010000}"/>
    <cellStyle name="Milliers 5 4 3" xfId="627" xr:uid="{00000000-0005-0000-0000-00004D010000}"/>
    <cellStyle name="Milliers 5 5" xfId="209" xr:uid="{00000000-0005-0000-0000-00004E010000}"/>
    <cellStyle name="Milliers 5 6" xfId="484" xr:uid="{00000000-0005-0000-0000-00004F010000}"/>
    <cellStyle name="Milliers 6" xfId="118" xr:uid="{00000000-0005-0000-0000-000050010000}"/>
    <cellStyle name="Milliers 6 2" xfId="262" xr:uid="{00000000-0005-0000-0000-000051010000}"/>
    <cellStyle name="Milliers 7" xfId="272" xr:uid="{00000000-0005-0000-0000-000052010000}"/>
    <cellStyle name="Milliers 8" xfId="378" xr:uid="{00000000-0005-0000-0000-000053010000}"/>
    <cellStyle name="Milliers 9" xfId="392" xr:uid="{00000000-0005-0000-0000-000054010000}"/>
    <cellStyle name="Milliers 9 2" xfId="614" xr:uid="{00000000-0005-0000-0000-000055010000}"/>
    <cellStyle name="Neutre 2" xfId="379" xr:uid="{00000000-0005-0000-0000-000056010000}"/>
    <cellStyle name="Normal" xfId="0" builtinId="0"/>
    <cellStyle name="Normal 10" xfId="260" xr:uid="{00000000-0005-0000-0000-000058010000}"/>
    <cellStyle name="Normal 11" xfId="348" xr:uid="{00000000-0005-0000-0000-000059010000}"/>
    <cellStyle name="Normal 12" xfId="391" xr:uid="{00000000-0005-0000-0000-00005A010000}"/>
    <cellStyle name="Normal 12 2" xfId="613" xr:uid="{00000000-0005-0000-0000-00005B010000}"/>
    <cellStyle name="Normal 2" xfId="7" xr:uid="{00000000-0005-0000-0000-00005C010000}"/>
    <cellStyle name="Normal 2 2" xfId="8" xr:uid="{00000000-0005-0000-0000-00005D010000}"/>
    <cellStyle name="Normal 2 3" xfId="9" xr:uid="{00000000-0005-0000-0000-00005E010000}"/>
    <cellStyle name="Normal 2 3 2" xfId="380" xr:uid="{00000000-0005-0000-0000-00005F010000}"/>
    <cellStyle name="Normal 3" xfId="10" xr:uid="{00000000-0005-0000-0000-000060010000}"/>
    <cellStyle name="Normal 3 10" xfId="140" xr:uid="{00000000-0005-0000-0000-000061010000}"/>
    <cellStyle name="Normal 3 10 2" xfId="264" xr:uid="{00000000-0005-0000-0000-000062010000}"/>
    <cellStyle name="Normal 3 10 3" xfId="532" xr:uid="{00000000-0005-0000-0000-000063010000}"/>
    <cellStyle name="Normal 3 11" xfId="157" xr:uid="{00000000-0005-0000-0000-000064010000}"/>
    <cellStyle name="Normal 3 11 2" xfId="258" xr:uid="{00000000-0005-0000-0000-000065010000}"/>
    <cellStyle name="Normal 3 11 3" xfId="530" xr:uid="{00000000-0005-0000-0000-000066010000}"/>
    <cellStyle name="Normal 3 12" xfId="396" xr:uid="{00000000-0005-0000-0000-000067010000}"/>
    <cellStyle name="Normal 3 12 2" xfId="616" xr:uid="{00000000-0005-0000-0000-000068010000}"/>
    <cellStyle name="Normal 3 13" xfId="425" xr:uid="{00000000-0005-0000-0000-000069010000}"/>
    <cellStyle name="Normal 3 13 2" xfId="645" xr:uid="{00000000-0005-0000-0000-00006A010000}"/>
    <cellStyle name="Normal 3 14" xfId="174" xr:uid="{00000000-0005-0000-0000-00006B010000}"/>
    <cellStyle name="Normal 3 15" xfId="449" xr:uid="{00000000-0005-0000-0000-00006C010000}"/>
    <cellStyle name="Normal 3 2" xfId="17" xr:uid="{00000000-0005-0000-0000-00006D010000}"/>
    <cellStyle name="Normal 3 2 10" xfId="159" xr:uid="{00000000-0005-0000-0000-00006E010000}"/>
    <cellStyle name="Normal 3 2 10 2" xfId="427" xr:uid="{00000000-0005-0000-0000-00006F010000}"/>
    <cellStyle name="Normal 3 2 10 3" xfId="647" xr:uid="{00000000-0005-0000-0000-000070010000}"/>
    <cellStyle name="Normal 3 2 11" xfId="176" xr:uid="{00000000-0005-0000-0000-000071010000}"/>
    <cellStyle name="Normal 3 2 12" xfId="451" xr:uid="{00000000-0005-0000-0000-000072010000}"/>
    <cellStyle name="Normal 3 2 2" xfId="24" xr:uid="{00000000-0005-0000-0000-000073010000}"/>
    <cellStyle name="Normal 3 2 2 10" xfId="456" xr:uid="{00000000-0005-0000-0000-000074010000}"/>
    <cellStyle name="Normal 3 2 2 2" xfId="36" xr:uid="{00000000-0005-0000-0000-000075010000}"/>
    <cellStyle name="Normal 3 2 2 2 2" xfId="60" xr:uid="{00000000-0005-0000-0000-000076010000}"/>
    <cellStyle name="Normal 3 2 2 2 2 2" xfId="314" xr:uid="{00000000-0005-0000-0000-000077010000}"/>
    <cellStyle name="Normal 3 2 2 2 2 2 2" xfId="580" xr:uid="{00000000-0005-0000-0000-000078010000}"/>
    <cellStyle name="Normal 3 2 2 2 2 3" xfId="223" xr:uid="{00000000-0005-0000-0000-000079010000}"/>
    <cellStyle name="Normal 3 2 2 2 2 4" xfId="497" xr:uid="{00000000-0005-0000-0000-00007A010000}"/>
    <cellStyle name="Normal 3 2 2 2 3" xfId="80" xr:uid="{00000000-0005-0000-0000-00007B010000}"/>
    <cellStyle name="Normal 3 2 2 2 3 2" xfId="343" xr:uid="{00000000-0005-0000-0000-00007C010000}"/>
    <cellStyle name="Normal 3 2 2 2 3 2 2" xfId="609" xr:uid="{00000000-0005-0000-0000-00007D010000}"/>
    <cellStyle name="Normal 3 2 2 2 3 3" xfId="252" xr:uid="{00000000-0005-0000-0000-00007E010000}"/>
    <cellStyle name="Normal 3 2 2 2 3 4" xfId="526" xr:uid="{00000000-0005-0000-0000-00007F010000}"/>
    <cellStyle name="Normal 3 2 2 2 4" xfId="112" xr:uid="{00000000-0005-0000-0000-000080010000}"/>
    <cellStyle name="Normal 3 2 2 2 4 2" xfId="284" xr:uid="{00000000-0005-0000-0000-000081010000}"/>
    <cellStyle name="Normal 3 2 2 2 4 3" xfId="550" xr:uid="{00000000-0005-0000-0000-000082010000}"/>
    <cellStyle name="Normal 3 2 2 2 5" xfId="420" xr:uid="{00000000-0005-0000-0000-000083010000}"/>
    <cellStyle name="Normal 3 2 2 2 5 2" xfId="640" xr:uid="{00000000-0005-0000-0000-000084010000}"/>
    <cellStyle name="Normal 3 2 2 2 6" xfId="443" xr:uid="{00000000-0005-0000-0000-000085010000}"/>
    <cellStyle name="Normal 3 2 2 2 6 2" xfId="663" xr:uid="{00000000-0005-0000-0000-000086010000}"/>
    <cellStyle name="Normal 3 2 2 2 7" xfId="192" xr:uid="{00000000-0005-0000-0000-000087010000}"/>
    <cellStyle name="Normal 3 2 2 2 8" xfId="467" xr:uid="{00000000-0005-0000-0000-000088010000}"/>
    <cellStyle name="Normal 3 2 2 3" xfId="49" xr:uid="{00000000-0005-0000-0000-000089010000}"/>
    <cellStyle name="Normal 3 2 2 3 2" xfId="297" xr:uid="{00000000-0005-0000-0000-00008A010000}"/>
    <cellStyle name="Normal 3 2 2 3 2 2" xfId="563" xr:uid="{00000000-0005-0000-0000-00008B010000}"/>
    <cellStyle name="Normal 3 2 2 3 3" xfId="205" xr:uid="{00000000-0005-0000-0000-00008C010000}"/>
    <cellStyle name="Normal 3 2 2 3 4" xfId="480" xr:uid="{00000000-0005-0000-0000-00008D010000}"/>
    <cellStyle name="Normal 3 2 2 4" xfId="76" xr:uid="{00000000-0005-0000-0000-00008E010000}"/>
    <cellStyle name="Normal 3 2 2 4 2" xfId="326" xr:uid="{00000000-0005-0000-0000-00008F010000}"/>
    <cellStyle name="Normal 3 2 2 4 2 2" xfId="592" xr:uid="{00000000-0005-0000-0000-000090010000}"/>
    <cellStyle name="Normal 3 2 2 4 3" xfId="235" xr:uid="{00000000-0005-0000-0000-000091010000}"/>
    <cellStyle name="Normal 3 2 2 4 4" xfId="509" xr:uid="{00000000-0005-0000-0000-000092010000}"/>
    <cellStyle name="Normal 3 2 2 5" xfId="101" xr:uid="{00000000-0005-0000-0000-000093010000}"/>
    <cellStyle name="Normal 3 2 2 5 2" xfId="273" xr:uid="{00000000-0005-0000-0000-000094010000}"/>
    <cellStyle name="Normal 3 2 2 5 3" xfId="539" xr:uid="{00000000-0005-0000-0000-000095010000}"/>
    <cellStyle name="Normal 3 2 2 6" xfId="128" xr:uid="{00000000-0005-0000-0000-000096010000}"/>
    <cellStyle name="Normal 3 2 2 6 2" xfId="403" xr:uid="{00000000-0005-0000-0000-000097010000}"/>
    <cellStyle name="Normal 3 2 2 6 3" xfId="623" xr:uid="{00000000-0005-0000-0000-000098010000}"/>
    <cellStyle name="Normal 3 2 2 7" xfId="147" xr:uid="{00000000-0005-0000-0000-000099010000}"/>
    <cellStyle name="Normal 3 2 2 7 2" xfId="432" xr:uid="{00000000-0005-0000-0000-00009A010000}"/>
    <cellStyle name="Normal 3 2 2 7 3" xfId="652" xr:uid="{00000000-0005-0000-0000-00009B010000}"/>
    <cellStyle name="Normal 3 2 2 8" xfId="164" xr:uid="{00000000-0005-0000-0000-00009C010000}"/>
    <cellStyle name="Normal 3 2 2 9" xfId="181" xr:uid="{00000000-0005-0000-0000-00009D010000}"/>
    <cellStyle name="Normal 3 2 3" xfId="25" xr:uid="{00000000-0005-0000-0000-00009E010000}"/>
    <cellStyle name="Normal 3 2 3 10" xfId="457" xr:uid="{00000000-0005-0000-0000-00009F010000}"/>
    <cellStyle name="Normal 3 2 3 2" xfId="40" xr:uid="{00000000-0005-0000-0000-0000A0010000}"/>
    <cellStyle name="Normal 3 2 3 2 2" xfId="64" xr:uid="{00000000-0005-0000-0000-0000A1010000}"/>
    <cellStyle name="Normal 3 2 3 2 2 2" xfId="315" xr:uid="{00000000-0005-0000-0000-0000A2010000}"/>
    <cellStyle name="Normal 3 2 3 2 2 2 2" xfId="581" xr:uid="{00000000-0005-0000-0000-0000A3010000}"/>
    <cellStyle name="Normal 3 2 3 2 2 3" xfId="224" xr:uid="{00000000-0005-0000-0000-0000A4010000}"/>
    <cellStyle name="Normal 3 2 3 2 2 4" xfId="498" xr:uid="{00000000-0005-0000-0000-0000A5010000}"/>
    <cellStyle name="Normal 3 2 3 2 3" xfId="92" xr:uid="{00000000-0005-0000-0000-0000A6010000}"/>
    <cellStyle name="Normal 3 2 3 2 3 2" xfId="344" xr:uid="{00000000-0005-0000-0000-0000A7010000}"/>
    <cellStyle name="Normal 3 2 3 2 3 2 2" xfId="610" xr:uid="{00000000-0005-0000-0000-0000A8010000}"/>
    <cellStyle name="Normal 3 2 3 2 3 3" xfId="253" xr:uid="{00000000-0005-0000-0000-0000A9010000}"/>
    <cellStyle name="Normal 3 2 3 2 3 4" xfId="527" xr:uid="{00000000-0005-0000-0000-0000AA010000}"/>
    <cellStyle name="Normal 3 2 3 2 4" xfId="116" xr:uid="{00000000-0005-0000-0000-0000AB010000}"/>
    <cellStyle name="Normal 3 2 3 2 4 2" xfId="288" xr:uid="{00000000-0005-0000-0000-0000AC010000}"/>
    <cellStyle name="Normal 3 2 3 2 4 3" xfId="554" xr:uid="{00000000-0005-0000-0000-0000AD010000}"/>
    <cellStyle name="Normal 3 2 3 2 5" xfId="421" xr:uid="{00000000-0005-0000-0000-0000AE010000}"/>
    <cellStyle name="Normal 3 2 3 2 5 2" xfId="641" xr:uid="{00000000-0005-0000-0000-0000AF010000}"/>
    <cellStyle name="Normal 3 2 3 2 6" xfId="447" xr:uid="{00000000-0005-0000-0000-0000B0010000}"/>
    <cellStyle name="Normal 3 2 3 2 6 2" xfId="667" xr:uid="{00000000-0005-0000-0000-0000B1010000}"/>
    <cellStyle name="Normal 3 2 3 2 7" xfId="196" xr:uid="{00000000-0005-0000-0000-0000B2010000}"/>
    <cellStyle name="Normal 3 2 3 2 8" xfId="471" xr:uid="{00000000-0005-0000-0000-0000B3010000}"/>
    <cellStyle name="Normal 3 2 3 3" xfId="50" xr:uid="{00000000-0005-0000-0000-0000B4010000}"/>
    <cellStyle name="Normal 3 2 3 3 2" xfId="298" xr:uid="{00000000-0005-0000-0000-0000B5010000}"/>
    <cellStyle name="Normal 3 2 3 3 2 2" xfId="564" xr:uid="{00000000-0005-0000-0000-0000B6010000}"/>
    <cellStyle name="Normal 3 2 3 3 3" xfId="206" xr:uid="{00000000-0005-0000-0000-0000B7010000}"/>
    <cellStyle name="Normal 3 2 3 3 4" xfId="481" xr:uid="{00000000-0005-0000-0000-0000B8010000}"/>
    <cellStyle name="Normal 3 2 3 4" xfId="77" xr:uid="{00000000-0005-0000-0000-0000B9010000}"/>
    <cellStyle name="Normal 3 2 3 4 2" xfId="327" xr:uid="{00000000-0005-0000-0000-0000BA010000}"/>
    <cellStyle name="Normal 3 2 3 4 2 2" xfId="593" xr:uid="{00000000-0005-0000-0000-0000BB010000}"/>
    <cellStyle name="Normal 3 2 3 4 3" xfId="236" xr:uid="{00000000-0005-0000-0000-0000BC010000}"/>
    <cellStyle name="Normal 3 2 3 4 4" xfId="510" xr:uid="{00000000-0005-0000-0000-0000BD010000}"/>
    <cellStyle name="Normal 3 2 3 5" xfId="102" xr:uid="{00000000-0005-0000-0000-0000BE010000}"/>
    <cellStyle name="Normal 3 2 3 5 2" xfId="274" xr:uid="{00000000-0005-0000-0000-0000BF010000}"/>
    <cellStyle name="Normal 3 2 3 5 3" xfId="540" xr:uid="{00000000-0005-0000-0000-0000C0010000}"/>
    <cellStyle name="Normal 3 2 3 6" xfId="129" xr:uid="{00000000-0005-0000-0000-0000C1010000}"/>
    <cellStyle name="Normal 3 2 3 6 2" xfId="404" xr:uid="{00000000-0005-0000-0000-0000C2010000}"/>
    <cellStyle name="Normal 3 2 3 6 3" xfId="624" xr:uid="{00000000-0005-0000-0000-0000C3010000}"/>
    <cellStyle name="Normal 3 2 3 7" xfId="148" xr:uid="{00000000-0005-0000-0000-0000C4010000}"/>
    <cellStyle name="Normal 3 2 3 7 2" xfId="433" xr:uid="{00000000-0005-0000-0000-0000C5010000}"/>
    <cellStyle name="Normal 3 2 3 7 3" xfId="653" xr:uid="{00000000-0005-0000-0000-0000C6010000}"/>
    <cellStyle name="Normal 3 2 3 8" xfId="165" xr:uid="{00000000-0005-0000-0000-0000C7010000}"/>
    <cellStyle name="Normal 3 2 3 9" xfId="182" xr:uid="{00000000-0005-0000-0000-0000C8010000}"/>
    <cellStyle name="Normal 3 2 4" xfId="32" xr:uid="{00000000-0005-0000-0000-0000C9010000}"/>
    <cellStyle name="Normal 3 2 4 2" xfId="56" xr:uid="{00000000-0005-0000-0000-0000CA010000}"/>
    <cellStyle name="Normal 3 2 4 2 2" xfId="305" xr:uid="{00000000-0005-0000-0000-0000CB010000}"/>
    <cellStyle name="Normal 3 2 4 2 2 2" xfId="571" xr:uid="{00000000-0005-0000-0000-0000CC010000}"/>
    <cellStyle name="Normal 3 2 4 2 3" xfId="214" xr:uid="{00000000-0005-0000-0000-0000CD010000}"/>
    <cellStyle name="Normal 3 2 4 2 4" xfId="488" xr:uid="{00000000-0005-0000-0000-0000CE010000}"/>
    <cellStyle name="Normal 3 2 4 3" xfId="87" xr:uid="{00000000-0005-0000-0000-0000CF010000}"/>
    <cellStyle name="Normal 3 2 4 3 2" xfId="334" xr:uid="{00000000-0005-0000-0000-0000D0010000}"/>
    <cellStyle name="Normal 3 2 4 3 2 2" xfId="600" xr:uid="{00000000-0005-0000-0000-0000D1010000}"/>
    <cellStyle name="Normal 3 2 4 3 3" xfId="243" xr:uid="{00000000-0005-0000-0000-0000D2010000}"/>
    <cellStyle name="Normal 3 2 4 3 4" xfId="517" xr:uid="{00000000-0005-0000-0000-0000D3010000}"/>
    <cellStyle name="Normal 3 2 4 4" xfId="108" xr:uid="{00000000-0005-0000-0000-0000D4010000}"/>
    <cellStyle name="Normal 3 2 4 4 2" xfId="280" xr:uid="{00000000-0005-0000-0000-0000D5010000}"/>
    <cellStyle name="Normal 3 2 4 4 3" xfId="546" xr:uid="{00000000-0005-0000-0000-0000D6010000}"/>
    <cellStyle name="Normal 3 2 4 5" xfId="136" xr:uid="{00000000-0005-0000-0000-0000D7010000}"/>
    <cellStyle name="Normal 3 2 4 5 2" xfId="411" xr:uid="{00000000-0005-0000-0000-0000D8010000}"/>
    <cellStyle name="Normal 3 2 4 5 3" xfId="631" xr:uid="{00000000-0005-0000-0000-0000D9010000}"/>
    <cellStyle name="Normal 3 2 4 6" xfId="155" xr:uid="{00000000-0005-0000-0000-0000DA010000}"/>
    <cellStyle name="Normal 3 2 4 6 2" xfId="439" xr:uid="{00000000-0005-0000-0000-0000DB010000}"/>
    <cellStyle name="Normal 3 2 4 6 3" xfId="659" xr:uid="{00000000-0005-0000-0000-0000DC010000}"/>
    <cellStyle name="Normal 3 2 4 7" xfId="172" xr:uid="{00000000-0005-0000-0000-0000DD010000}"/>
    <cellStyle name="Normal 3 2 4 8" xfId="188" xr:uid="{00000000-0005-0000-0000-0000DE010000}"/>
    <cellStyle name="Normal 3 2 4 9" xfId="463" xr:uid="{00000000-0005-0000-0000-0000DF010000}"/>
    <cellStyle name="Normal 3 2 5" xfId="44" xr:uid="{00000000-0005-0000-0000-0000E0010000}"/>
    <cellStyle name="Normal 3 2 5 2" xfId="247" xr:uid="{00000000-0005-0000-0000-0000E1010000}"/>
    <cellStyle name="Normal 3 2 5 2 2" xfId="338" xr:uid="{00000000-0005-0000-0000-0000E2010000}"/>
    <cellStyle name="Normal 3 2 5 2 2 2" xfId="604" xr:uid="{00000000-0005-0000-0000-0000E3010000}"/>
    <cellStyle name="Normal 3 2 5 2 3" xfId="521" xr:uid="{00000000-0005-0000-0000-0000E4010000}"/>
    <cellStyle name="Normal 3 2 5 3" xfId="309" xr:uid="{00000000-0005-0000-0000-0000E5010000}"/>
    <cellStyle name="Normal 3 2 5 3 2" xfId="575" xr:uid="{00000000-0005-0000-0000-0000E6010000}"/>
    <cellStyle name="Normal 3 2 5 4" xfId="415" xr:uid="{00000000-0005-0000-0000-0000E7010000}"/>
    <cellStyle name="Normal 3 2 5 4 2" xfId="635" xr:uid="{00000000-0005-0000-0000-0000E8010000}"/>
    <cellStyle name="Normal 3 2 5 5" xfId="218" xr:uid="{00000000-0005-0000-0000-0000E9010000}"/>
    <cellStyle name="Normal 3 2 5 6" xfId="492" xr:uid="{00000000-0005-0000-0000-0000EA010000}"/>
    <cellStyle name="Normal 3 2 6" xfId="70" xr:uid="{00000000-0005-0000-0000-0000EB010000}"/>
    <cellStyle name="Normal 3 2 6 2" xfId="292" xr:uid="{00000000-0005-0000-0000-0000EC010000}"/>
    <cellStyle name="Normal 3 2 6 2 2" xfId="558" xr:uid="{00000000-0005-0000-0000-0000ED010000}"/>
    <cellStyle name="Normal 3 2 6 3" xfId="200" xr:uid="{00000000-0005-0000-0000-0000EE010000}"/>
    <cellStyle name="Normal 3 2 6 4" xfId="475" xr:uid="{00000000-0005-0000-0000-0000EF010000}"/>
    <cellStyle name="Normal 3 2 7" xfId="96" xr:uid="{00000000-0005-0000-0000-0000F0010000}"/>
    <cellStyle name="Normal 3 2 7 2" xfId="321" xr:uid="{00000000-0005-0000-0000-0000F1010000}"/>
    <cellStyle name="Normal 3 2 7 2 2" xfId="587" xr:uid="{00000000-0005-0000-0000-0000F2010000}"/>
    <cellStyle name="Normal 3 2 7 3" xfId="230" xr:uid="{00000000-0005-0000-0000-0000F3010000}"/>
    <cellStyle name="Normal 3 2 7 4" xfId="504" xr:uid="{00000000-0005-0000-0000-0000F4010000}"/>
    <cellStyle name="Normal 3 2 8" xfId="123" xr:uid="{00000000-0005-0000-0000-0000F5010000}"/>
    <cellStyle name="Normal 3 2 8 2" xfId="267" xr:uid="{00000000-0005-0000-0000-0000F6010000}"/>
    <cellStyle name="Normal 3 2 8 3" xfId="534" xr:uid="{00000000-0005-0000-0000-0000F7010000}"/>
    <cellStyle name="Normal 3 2 9" xfId="142" xr:uid="{00000000-0005-0000-0000-0000F8010000}"/>
    <cellStyle name="Normal 3 2 9 2" xfId="398" xr:uid="{00000000-0005-0000-0000-0000F9010000}"/>
    <cellStyle name="Normal 3 2 9 3" xfId="618" xr:uid="{00000000-0005-0000-0000-0000FA010000}"/>
    <cellStyle name="Normal 3 3" xfId="26" xr:uid="{00000000-0005-0000-0000-0000FB010000}"/>
    <cellStyle name="Normal 3 3 10" xfId="458" xr:uid="{00000000-0005-0000-0000-0000FC010000}"/>
    <cellStyle name="Normal 3 3 2" xfId="34" xr:uid="{00000000-0005-0000-0000-0000FD010000}"/>
    <cellStyle name="Normal 3 3 2 2" xfId="58" xr:uid="{00000000-0005-0000-0000-0000FE010000}"/>
    <cellStyle name="Normal 3 3 2 2 2" xfId="316" xr:uid="{00000000-0005-0000-0000-0000FF010000}"/>
    <cellStyle name="Normal 3 3 2 2 2 2" xfId="582" xr:uid="{00000000-0005-0000-0000-000000020000}"/>
    <cellStyle name="Normal 3 3 2 2 3" xfId="225" xr:uid="{00000000-0005-0000-0000-000001020000}"/>
    <cellStyle name="Normal 3 3 2 2 4" xfId="499" xr:uid="{00000000-0005-0000-0000-000002020000}"/>
    <cellStyle name="Normal 3 3 2 3" xfId="75" xr:uid="{00000000-0005-0000-0000-000003020000}"/>
    <cellStyle name="Normal 3 3 2 3 2" xfId="345" xr:uid="{00000000-0005-0000-0000-000004020000}"/>
    <cellStyle name="Normal 3 3 2 3 2 2" xfId="611" xr:uid="{00000000-0005-0000-0000-000005020000}"/>
    <cellStyle name="Normal 3 3 2 3 3" xfId="254" xr:uid="{00000000-0005-0000-0000-000006020000}"/>
    <cellStyle name="Normal 3 3 2 3 4" xfId="528" xr:uid="{00000000-0005-0000-0000-000007020000}"/>
    <cellStyle name="Normal 3 3 2 4" xfId="110" xr:uid="{00000000-0005-0000-0000-000008020000}"/>
    <cellStyle name="Normal 3 3 2 4 2" xfId="282" xr:uid="{00000000-0005-0000-0000-000009020000}"/>
    <cellStyle name="Normal 3 3 2 4 3" xfId="548" xr:uid="{00000000-0005-0000-0000-00000A020000}"/>
    <cellStyle name="Normal 3 3 2 5" xfId="422" xr:uid="{00000000-0005-0000-0000-00000B020000}"/>
    <cellStyle name="Normal 3 3 2 5 2" xfId="642" xr:uid="{00000000-0005-0000-0000-00000C020000}"/>
    <cellStyle name="Normal 3 3 2 6" xfId="441" xr:uid="{00000000-0005-0000-0000-00000D020000}"/>
    <cellStyle name="Normal 3 3 2 6 2" xfId="661" xr:uid="{00000000-0005-0000-0000-00000E020000}"/>
    <cellStyle name="Normal 3 3 2 7" xfId="190" xr:uid="{00000000-0005-0000-0000-00000F020000}"/>
    <cellStyle name="Normal 3 3 2 8" xfId="465" xr:uid="{00000000-0005-0000-0000-000010020000}"/>
    <cellStyle name="Normal 3 3 3" xfId="51" xr:uid="{00000000-0005-0000-0000-000011020000}"/>
    <cellStyle name="Normal 3 3 3 2" xfId="299" xr:uid="{00000000-0005-0000-0000-000012020000}"/>
    <cellStyle name="Normal 3 3 3 2 2" xfId="565" xr:uid="{00000000-0005-0000-0000-000013020000}"/>
    <cellStyle name="Normal 3 3 3 3" xfId="207" xr:uid="{00000000-0005-0000-0000-000014020000}"/>
    <cellStyle name="Normal 3 3 3 4" xfId="482" xr:uid="{00000000-0005-0000-0000-000015020000}"/>
    <cellStyle name="Normal 3 3 4" xfId="78" xr:uid="{00000000-0005-0000-0000-000016020000}"/>
    <cellStyle name="Normal 3 3 4 2" xfId="328" xr:uid="{00000000-0005-0000-0000-000017020000}"/>
    <cellStyle name="Normal 3 3 4 2 2" xfId="594" xr:uid="{00000000-0005-0000-0000-000018020000}"/>
    <cellStyle name="Normal 3 3 4 3" xfId="237" xr:uid="{00000000-0005-0000-0000-000019020000}"/>
    <cellStyle name="Normal 3 3 4 4" xfId="511" xr:uid="{00000000-0005-0000-0000-00001A020000}"/>
    <cellStyle name="Normal 3 3 5" xfId="103" xr:uid="{00000000-0005-0000-0000-00001B020000}"/>
    <cellStyle name="Normal 3 3 5 2" xfId="275" xr:uid="{00000000-0005-0000-0000-00001C020000}"/>
    <cellStyle name="Normal 3 3 5 3" xfId="541" xr:uid="{00000000-0005-0000-0000-00001D020000}"/>
    <cellStyle name="Normal 3 3 6" xfId="130" xr:uid="{00000000-0005-0000-0000-00001E020000}"/>
    <cellStyle name="Normal 3 3 6 2" xfId="405" xr:uid="{00000000-0005-0000-0000-00001F020000}"/>
    <cellStyle name="Normal 3 3 6 3" xfId="625" xr:uid="{00000000-0005-0000-0000-000020020000}"/>
    <cellStyle name="Normal 3 3 7" xfId="149" xr:uid="{00000000-0005-0000-0000-000021020000}"/>
    <cellStyle name="Normal 3 3 7 2" xfId="434" xr:uid="{00000000-0005-0000-0000-000022020000}"/>
    <cellStyle name="Normal 3 3 7 3" xfId="654" xr:uid="{00000000-0005-0000-0000-000023020000}"/>
    <cellStyle name="Normal 3 3 8" xfId="166" xr:uid="{00000000-0005-0000-0000-000024020000}"/>
    <cellStyle name="Normal 3 3 9" xfId="183" xr:uid="{00000000-0005-0000-0000-000025020000}"/>
    <cellStyle name="Normal 3 4" xfId="27" xr:uid="{00000000-0005-0000-0000-000026020000}"/>
    <cellStyle name="Normal 3 4 10" xfId="459" xr:uid="{00000000-0005-0000-0000-000027020000}"/>
    <cellStyle name="Normal 3 4 2" xfId="38" xr:uid="{00000000-0005-0000-0000-000028020000}"/>
    <cellStyle name="Normal 3 4 2 2" xfId="62" xr:uid="{00000000-0005-0000-0000-000029020000}"/>
    <cellStyle name="Normal 3 4 2 2 2" xfId="317" xr:uid="{00000000-0005-0000-0000-00002A020000}"/>
    <cellStyle name="Normal 3 4 2 2 2 2" xfId="583" xr:uid="{00000000-0005-0000-0000-00002B020000}"/>
    <cellStyle name="Normal 3 4 2 2 3" xfId="226" xr:uid="{00000000-0005-0000-0000-00002C020000}"/>
    <cellStyle name="Normal 3 4 2 2 4" xfId="500" xr:uid="{00000000-0005-0000-0000-00002D020000}"/>
    <cellStyle name="Normal 3 4 2 3" xfId="90" xr:uid="{00000000-0005-0000-0000-00002E020000}"/>
    <cellStyle name="Normal 3 4 2 3 2" xfId="346" xr:uid="{00000000-0005-0000-0000-00002F020000}"/>
    <cellStyle name="Normal 3 4 2 3 2 2" xfId="612" xr:uid="{00000000-0005-0000-0000-000030020000}"/>
    <cellStyle name="Normal 3 4 2 3 3" xfId="255" xr:uid="{00000000-0005-0000-0000-000031020000}"/>
    <cellStyle name="Normal 3 4 2 3 4" xfId="529" xr:uid="{00000000-0005-0000-0000-000032020000}"/>
    <cellStyle name="Normal 3 4 2 4" xfId="114" xr:uid="{00000000-0005-0000-0000-000033020000}"/>
    <cellStyle name="Normal 3 4 2 4 2" xfId="286" xr:uid="{00000000-0005-0000-0000-000034020000}"/>
    <cellStyle name="Normal 3 4 2 4 3" xfId="552" xr:uid="{00000000-0005-0000-0000-000035020000}"/>
    <cellStyle name="Normal 3 4 2 5" xfId="423" xr:uid="{00000000-0005-0000-0000-000036020000}"/>
    <cellStyle name="Normal 3 4 2 5 2" xfId="643" xr:uid="{00000000-0005-0000-0000-000037020000}"/>
    <cellStyle name="Normal 3 4 2 6" xfId="445" xr:uid="{00000000-0005-0000-0000-000038020000}"/>
    <cellStyle name="Normal 3 4 2 6 2" xfId="665" xr:uid="{00000000-0005-0000-0000-000039020000}"/>
    <cellStyle name="Normal 3 4 2 7" xfId="194" xr:uid="{00000000-0005-0000-0000-00003A020000}"/>
    <cellStyle name="Normal 3 4 2 8" xfId="469" xr:uid="{00000000-0005-0000-0000-00003B020000}"/>
    <cellStyle name="Normal 3 4 3" xfId="52" xr:uid="{00000000-0005-0000-0000-00003C020000}"/>
    <cellStyle name="Normal 3 4 3 2" xfId="300" xr:uid="{00000000-0005-0000-0000-00003D020000}"/>
    <cellStyle name="Normal 3 4 3 2 2" xfId="566" xr:uid="{00000000-0005-0000-0000-00003E020000}"/>
    <cellStyle name="Normal 3 4 3 3" xfId="208" xr:uid="{00000000-0005-0000-0000-00003F020000}"/>
    <cellStyle name="Normal 3 4 3 4" xfId="483" xr:uid="{00000000-0005-0000-0000-000040020000}"/>
    <cellStyle name="Normal 3 4 4" xfId="79" xr:uid="{00000000-0005-0000-0000-000041020000}"/>
    <cellStyle name="Normal 3 4 4 2" xfId="329" xr:uid="{00000000-0005-0000-0000-000042020000}"/>
    <cellStyle name="Normal 3 4 4 2 2" xfId="595" xr:uid="{00000000-0005-0000-0000-000043020000}"/>
    <cellStyle name="Normal 3 4 4 3" xfId="238" xr:uid="{00000000-0005-0000-0000-000044020000}"/>
    <cellStyle name="Normal 3 4 4 4" xfId="512" xr:uid="{00000000-0005-0000-0000-000045020000}"/>
    <cellStyle name="Normal 3 4 5" xfId="104" xr:uid="{00000000-0005-0000-0000-000046020000}"/>
    <cellStyle name="Normal 3 4 5 2" xfId="276" xr:uid="{00000000-0005-0000-0000-000047020000}"/>
    <cellStyle name="Normal 3 4 5 3" xfId="542" xr:uid="{00000000-0005-0000-0000-000048020000}"/>
    <cellStyle name="Normal 3 4 6" xfId="131" xr:uid="{00000000-0005-0000-0000-000049020000}"/>
    <cellStyle name="Normal 3 4 6 2" xfId="406" xr:uid="{00000000-0005-0000-0000-00004A020000}"/>
    <cellStyle name="Normal 3 4 6 3" xfId="626" xr:uid="{00000000-0005-0000-0000-00004B020000}"/>
    <cellStyle name="Normal 3 4 7" xfId="150" xr:uid="{00000000-0005-0000-0000-00004C020000}"/>
    <cellStyle name="Normal 3 4 7 2" xfId="435" xr:uid="{00000000-0005-0000-0000-00004D020000}"/>
    <cellStyle name="Normal 3 4 7 3" xfId="655" xr:uid="{00000000-0005-0000-0000-00004E020000}"/>
    <cellStyle name="Normal 3 4 8" xfId="167" xr:uid="{00000000-0005-0000-0000-00004F020000}"/>
    <cellStyle name="Normal 3 4 9" xfId="184" xr:uid="{00000000-0005-0000-0000-000050020000}"/>
    <cellStyle name="Normal 3 5" xfId="30" xr:uid="{00000000-0005-0000-0000-000051020000}"/>
    <cellStyle name="Normal 3 5 2" xfId="54" xr:uid="{00000000-0005-0000-0000-000052020000}"/>
    <cellStyle name="Normal 3 5 2 2" xfId="210" xr:uid="{00000000-0005-0000-0000-000053020000}"/>
    <cellStyle name="Normal 3 5 3" xfId="82" xr:uid="{00000000-0005-0000-0000-000054020000}"/>
    <cellStyle name="Normal 3 5 3 2" xfId="278" xr:uid="{00000000-0005-0000-0000-000055020000}"/>
    <cellStyle name="Normal 3 5 3 3" xfId="544" xr:uid="{00000000-0005-0000-0000-000056020000}"/>
    <cellStyle name="Normal 3 5 4" xfId="65" xr:uid="{00000000-0005-0000-0000-000057020000}"/>
    <cellStyle name="Normal 3 5 4 2" xfId="437" xr:uid="{00000000-0005-0000-0000-000058020000}"/>
    <cellStyle name="Normal 3 5 4 3" xfId="657" xr:uid="{00000000-0005-0000-0000-000059020000}"/>
    <cellStyle name="Normal 3 5 5" xfId="106" xr:uid="{00000000-0005-0000-0000-00005A020000}"/>
    <cellStyle name="Normal 3 5 6" xfId="186" xr:uid="{00000000-0005-0000-0000-00005B020000}"/>
    <cellStyle name="Normal 3 5 7" xfId="461" xr:uid="{00000000-0005-0000-0000-00005C020000}"/>
    <cellStyle name="Normal 3 6" xfId="42" xr:uid="{00000000-0005-0000-0000-00005D020000}"/>
    <cellStyle name="Normal 3 6 2" xfId="85" xr:uid="{00000000-0005-0000-0000-00005E020000}"/>
    <cellStyle name="Normal 3 6 2 2" xfId="332" xr:uid="{00000000-0005-0000-0000-00005F020000}"/>
    <cellStyle name="Normal 3 6 2 2 2" xfId="598" xr:uid="{00000000-0005-0000-0000-000060020000}"/>
    <cellStyle name="Normal 3 6 2 3" xfId="241" xr:uid="{00000000-0005-0000-0000-000061020000}"/>
    <cellStyle name="Normal 3 6 2 4" xfId="515" xr:uid="{00000000-0005-0000-0000-000062020000}"/>
    <cellStyle name="Normal 3 6 3" xfId="134" xr:uid="{00000000-0005-0000-0000-000063020000}"/>
    <cellStyle name="Normal 3 6 3 2" xfId="303" xr:uid="{00000000-0005-0000-0000-000064020000}"/>
    <cellStyle name="Normal 3 6 3 3" xfId="569" xr:uid="{00000000-0005-0000-0000-000065020000}"/>
    <cellStyle name="Normal 3 6 4" xfId="153" xr:uid="{00000000-0005-0000-0000-000066020000}"/>
    <cellStyle name="Normal 3 6 4 2" xfId="409" xr:uid="{00000000-0005-0000-0000-000067020000}"/>
    <cellStyle name="Normal 3 6 4 3" xfId="629" xr:uid="{00000000-0005-0000-0000-000068020000}"/>
    <cellStyle name="Normal 3 6 5" xfId="170" xr:uid="{00000000-0005-0000-0000-000069020000}"/>
    <cellStyle name="Normal 3 6 6" xfId="212" xr:uid="{00000000-0005-0000-0000-00006A020000}"/>
    <cellStyle name="Normal 3 6 7" xfId="486" xr:uid="{00000000-0005-0000-0000-00006B020000}"/>
    <cellStyle name="Normal 3 7" xfId="68" xr:uid="{00000000-0005-0000-0000-00006C020000}"/>
    <cellStyle name="Normal 3 7 2" xfId="245" xr:uid="{00000000-0005-0000-0000-00006D020000}"/>
    <cellStyle name="Normal 3 7 2 2" xfId="336" xr:uid="{00000000-0005-0000-0000-00006E020000}"/>
    <cellStyle name="Normal 3 7 2 2 2" xfId="602" xr:uid="{00000000-0005-0000-0000-00006F020000}"/>
    <cellStyle name="Normal 3 7 2 3" xfId="519" xr:uid="{00000000-0005-0000-0000-000070020000}"/>
    <cellStyle name="Normal 3 7 3" xfId="307" xr:uid="{00000000-0005-0000-0000-000071020000}"/>
    <cellStyle name="Normal 3 7 3 2" xfId="573" xr:uid="{00000000-0005-0000-0000-000072020000}"/>
    <cellStyle name="Normal 3 7 4" xfId="413" xr:uid="{00000000-0005-0000-0000-000073020000}"/>
    <cellStyle name="Normal 3 7 4 2" xfId="633" xr:uid="{00000000-0005-0000-0000-000074020000}"/>
    <cellStyle name="Normal 3 7 5" xfId="216" xr:uid="{00000000-0005-0000-0000-000075020000}"/>
    <cellStyle name="Normal 3 7 6" xfId="490" xr:uid="{00000000-0005-0000-0000-000076020000}"/>
    <cellStyle name="Normal 3 8" xfId="94" xr:uid="{00000000-0005-0000-0000-000077020000}"/>
    <cellStyle name="Normal 3 8 2" xfId="290" xr:uid="{00000000-0005-0000-0000-000078020000}"/>
    <cellStyle name="Normal 3 8 2 2" xfId="556" xr:uid="{00000000-0005-0000-0000-000079020000}"/>
    <cellStyle name="Normal 3 8 3" xfId="198" xr:uid="{00000000-0005-0000-0000-00007A020000}"/>
    <cellStyle name="Normal 3 8 4" xfId="473" xr:uid="{00000000-0005-0000-0000-00007B020000}"/>
    <cellStyle name="Normal 3 9" xfId="121" xr:uid="{00000000-0005-0000-0000-00007C020000}"/>
    <cellStyle name="Normal 3 9 2" xfId="319" xr:uid="{00000000-0005-0000-0000-00007D020000}"/>
    <cellStyle name="Normal 3 9 2 2" xfId="585" xr:uid="{00000000-0005-0000-0000-00007E020000}"/>
    <cellStyle name="Normal 3 9 3" xfId="228" xr:uid="{00000000-0005-0000-0000-00007F020000}"/>
    <cellStyle name="Normal 3 9 4" xfId="502" xr:uid="{00000000-0005-0000-0000-000080020000}"/>
    <cellStyle name="Normal 4" xfId="15" xr:uid="{00000000-0005-0000-0000-000081020000}"/>
    <cellStyle name="Normal 4 2" xfId="28" xr:uid="{00000000-0005-0000-0000-000082020000}"/>
    <cellStyle name="Normal 5" xfId="18" xr:uid="{00000000-0005-0000-0000-000083020000}"/>
    <cellStyle name="Normal 6" xfId="83" xr:uid="{00000000-0005-0000-0000-000084020000}"/>
    <cellStyle name="Normal 7" xfId="117" xr:uid="{00000000-0005-0000-0000-000085020000}"/>
    <cellStyle name="Normal 7 2" xfId="256" xr:uid="{00000000-0005-0000-0000-000086020000}"/>
    <cellStyle name="Normal 8" xfId="119" xr:uid="{00000000-0005-0000-0000-000087020000}"/>
    <cellStyle name="Normal 8 2" xfId="347" xr:uid="{00000000-0005-0000-0000-000088020000}"/>
    <cellStyle name="Normal 8 3" xfId="257" xr:uid="{00000000-0005-0000-0000-000089020000}"/>
    <cellStyle name="Normal 9" xfId="137" xr:uid="{00000000-0005-0000-0000-00008A020000}"/>
    <cellStyle name="Normal 9 2" xfId="261" xr:uid="{00000000-0005-0000-0000-00008B020000}"/>
    <cellStyle name="Normal_3crit_2002-03.xls" xfId="11" xr:uid="{00000000-0005-0000-0000-00008C020000}"/>
    <cellStyle name="Normal_Rendement impôts-2004-SJIC" xfId="669" xr:uid="{B208038E-C546-437C-9FDA-410398BE66CF}"/>
    <cellStyle name="Pourcentage" xfId="12" builtinId="5"/>
    <cellStyle name="Pourcentage 2" xfId="13" xr:uid="{00000000-0005-0000-0000-000091020000}"/>
    <cellStyle name="Pourcentage 3" xfId="138" xr:uid="{00000000-0005-0000-0000-000092020000}"/>
    <cellStyle name="Pourcentage 3 2" xfId="265" xr:uid="{00000000-0005-0000-0000-000093020000}"/>
    <cellStyle name="Pourcentage 4" xfId="259" xr:uid="{00000000-0005-0000-0000-000094020000}"/>
    <cellStyle name="Satisfaisant 2" xfId="381" xr:uid="{00000000-0005-0000-0000-000095020000}"/>
    <cellStyle name="Sortie 2" xfId="382" xr:uid="{00000000-0005-0000-0000-000096020000}"/>
    <cellStyle name="Texte explicatif 2" xfId="383" xr:uid="{00000000-0005-0000-0000-000097020000}"/>
    <cellStyle name="Titre 2" xfId="384" xr:uid="{00000000-0005-0000-0000-000098020000}"/>
    <cellStyle name="Titre 1 2" xfId="385" xr:uid="{00000000-0005-0000-0000-000099020000}"/>
    <cellStyle name="Titre 2 2" xfId="386" xr:uid="{00000000-0005-0000-0000-00009A020000}"/>
    <cellStyle name="Titre 3 2" xfId="387" xr:uid="{00000000-0005-0000-0000-00009B020000}"/>
    <cellStyle name="Titre 4 2" xfId="388" xr:uid="{00000000-0005-0000-0000-00009C020000}"/>
    <cellStyle name="Total 2" xfId="389" xr:uid="{00000000-0005-0000-0000-00009D020000}"/>
    <cellStyle name="Vérification 2" xfId="390" xr:uid="{00000000-0005-0000-0000-00009E020000}"/>
  </cellStyles>
  <dxfs count="12">
    <dxf>
      <fill>
        <patternFill>
          <bgColor rgb="FF00B050"/>
        </patternFill>
      </fill>
    </dxf>
    <dxf>
      <fill>
        <patternFill>
          <bgColor rgb="FF00B050"/>
        </patternFill>
      </fill>
    </dxf>
    <dxf>
      <fill>
        <patternFill>
          <bgColor rgb="FF00B050"/>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ill>
        <patternFill>
          <bgColor rgb="FF00B050"/>
        </patternFill>
      </fill>
    </dxf>
  </dxfs>
  <tableStyles count="0" defaultTableStyle="TableStyleMedium9" defaultPivotStyle="PivotStyleLight16"/>
  <colors>
    <mruColors>
      <color rgb="FF9999FF"/>
      <color rgb="FFFFFFCC"/>
      <color rgb="FFBF5201"/>
      <color rgb="FF00DE64"/>
      <color rgb="FF05FF76"/>
      <color rgb="FF23CF33"/>
      <color rgb="FFD973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190500</xdr:colOff>
      <xdr:row>1</xdr:row>
      <xdr:rowOff>66675</xdr:rowOff>
    </xdr:from>
    <xdr:to>
      <xdr:col>4</xdr:col>
      <xdr:colOff>2333626</xdr:colOff>
      <xdr:row>4</xdr:row>
      <xdr:rowOff>95250</xdr:rowOff>
    </xdr:to>
    <xdr:sp macro="" textlink="">
      <xdr:nvSpPr>
        <xdr:cNvPr id="2" name="Rectangle 1">
          <a:extLst>
            <a:ext uri="{FF2B5EF4-FFF2-40B4-BE49-F238E27FC236}">
              <a16:creationId xmlns:a16="http://schemas.microsoft.com/office/drawing/2014/main" id="{634A99FE-E27A-4E37-980D-F57506F2D091}"/>
            </a:ext>
          </a:extLst>
        </xdr:cNvPr>
        <xdr:cNvSpPr/>
      </xdr:nvSpPr>
      <xdr:spPr bwMode="auto">
        <a:xfrm>
          <a:off x="4714875" y="457200"/>
          <a:ext cx="2143126" cy="742950"/>
        </a:xfrm>
        <a:prstGeom prst="rect">
          <a:avLst/>
        </a:prstGeom>
        <a:solidFill>
          <a:schemeClr val="accent3">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lang="fr-CH" sz="1100" b="1"/>
            <a:t>Veuillez</a:t>
          </a:r>
          <a:r>
            <a:rPr lang="fr-CH" sz="1100" b="1" baseline="0"/>
            <a:t> cliquer sur la cellule C3 pour saisir le nom de votre commune ou la selectionner au moyen de la flèche en bas à droite de la cellule</a:t>
          </a:r>
          <a:endParaRPr lang="fr-CH" sz="1100" b="1"/>
        </a:p>
      </xdr:txBody>
    </xdr:sp>
    <xdr:clientData/>
  </xdr:twoCellAnchor>
  <xdr:twoCellAnchor>
    <xdr:from>
      <xdr:col>5</xdr:col>
      <xdr:colOff>38100</xdr:colOff>
      <xdr:row>6</xdr:row>
      <xdr:rowOff>282575</xdr:rowOff>
    </xdr:from>
    <xdr:to>
      <xdr:col>7</xdr:col>
      <xdr:colOff>361950</xdr:colOff>
      <xdr:row>12</xdr:row>
      <xdr:rowOff>63500</xdr:rowOff>
    </xdr:to>
    <xdr:sp macro="" textlink="">
      <xdr:nvSpPr>
        <xdr:cNvPr id="3" name="Rectangle 2">
          <a:extLst>
            <a:ext uri="{FF2B5EF4-FFF2-40B4-BE49-F238E27FC236}">
              <a16:creationId xmlns:a16="http://schemas.microsoft.com/office/drawing/2014/main" id="{8F06444E-AF3A-4038-94D8-A11615111A08}"/>
            </a:ext>
          </a:extLst>
        </xdr:cNvPr>
        <xdr:cNvSpPr/>
      </xdr:nvSpPr>
      <xdr:spPr bwMode="auto">
        <a:xfrm>
          <a:off x="6934200" y="2054225"/>
          <a:ext cx="1981200" cy="838200"/>
        </a:xfrm>
        <a:prstGeom prst="rect">
          <a:avLst/>
        </a:prstGeom>
        <a:solidFill>
          <a:schemeClr val="accent3">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marL="0" indent="0" algn="ctr"/>
          <a:r>
            <a:rPr lang="fr-CH" sz="1100" b="1">
              <a:latin typeface="+mn-lt"/>
              <a:ea typeface="+mn-ea"/>
              <a:cs typeface="+mn-cs"/>
            </a:rPr>
            <a:t>En</a:t>
          </a:r>
          <a:r>
            <a:rPr lang="fr-CH" sz="1100" b="1" baseline="0">
              <a:latin typeface="+mn-lt"/>
              <a:ea typeface="+mn-ea"/>
              <a:cs typeface="+mn-cs"/>
            </a:rPr>
            <a:t> cas de corrections, nous vous prions d'indiquer les nouveaux montants dans les cellules grises.</a:t>
          </a:r>
        </a:p>
        <a:p>
          <a:pPr marL="0" indent="0" algn="ctr"/>
          <a:endParaRPr lang="fr-CH" sz="1100" b="1">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s%20Communales/1.%20P&#233;r&#233;quations/2021/D&#233;compte/1.%20D&#233;compte%20d&#233;finitif/0412%20-%20Envoi%20validation%20des%20rendements/Rendements%20imp&#244;t%20&#224;%20valid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s%20Communales/1.%20P&#233;r&#233;quations/2022/2.%20D&#233;compte/1.%20D&#233;compte%20d&#233;finitif/Population/Population%20au%2031%20d&#233;cembre%202022%20pour%20correctif%20selon%20Stat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ètres"/>
      <sheetName val="A) Base RI"/>
      <sheetName val="Validation Rend. Imp."/>
    </sheetNames>
    <sheetDataSet>
      <sheetData sheetId="0">
        <row r="64">
          <cell r="A64" t="str">
            <v>Aclens</v>
          </cell>
          <cell r="B64">
            <v>5621</v>
          </cell>
        </row>
        <row r="65">
          <cell r="A65" t="str">
            <v>Agiez</v>
          </cell>
          <cell r="B65">
            <v>5742</v>
          </cell>
        </row>
        <row r="66">
          <cell r="A66" t="str">
            <v>Aigle</v>
          </cell>
          <cell r="B66">
            <v>5401</v>
          </cell>
        </row>
        <row r="67">
          <cell r="A67" t="str">
            <v>Allaman</v>
          </cell>
          <cell r="B67">
            <v>5851</v>
          </cell>
        </row>
        <row r="68">
          <cell r="A68" t="str">
            <v>Apples</v>
          </cell>
          <cell r="B68">
            <v>5421</v>
          </cell>
        </row>
        <row r="69">
          <cell r="A69" t="str">
            <v>Arnex-sur-Nyon</v>
          </cell>
          <cell r="B69">
            <v>5701</v>
          </cell>
        </row>
        <row r="70">
          <cell r="A70" t="str">
            <v>Arnex-sur-Orbe</v>
          </cell>
          <cell r="B70">
            <v>5743</v>
          </cell>
        </row>
        <row r="71">
          <cell r="A71" t="str">
            <v>Arzier-Le Muids</v>
          </cell>
          <cell r="B71">
            <v>5702</v>
          </cell>
        </row>
        <row r="72">
          <cell r="A72" t="str">
            <v>Assens</v>
          </cell>
          <cell r="B72">
            <v>5511</v>
          </cell>
        </row>
        <row r="73">
          <cell r="A73" t="str">
            <v>Aubonne</v>
          </cell>
          <cell r="B73">
            <v>5422</v>
          </cell>
        </row>
        <row r="74">
          <cell r="A74" t="str">
            <v>Avenches</v>
          </cell>
          <cell r="B74">
            <v>5451</v>
          </cell>
        </row>
        <row r="75">
          <cell r="A75" t="str">
            <v>Ballaigues</v>
          </cell>
          <cell r="B75">
            <v>5744</v>
          </cell>
        </row>
        <row r="76">
          <cell r="A76" t="str">
            <v>Ballens</v>
          </cell>
          <cell r="B76">
            <v>5423</v>
          </cell>
        </row>
        <row r="77">
          <cell r="A77" t="str">
            <v>Bassins</v>
          </cell>
          <cell r="B77">
            <v>5703</v>
          </cell>
        </row>
        <row r="78">
          <cell r="A78" t="str">
            <v>Baulmes</v>
          </cell>
          <cell r="B78">
            <v>5745</v>
          </cell>
        </row>
        <row r="79">
          <cell r="A79" t="str">
            <v>Bavois</v>
          </cell>
          <cell r="B79">
            <v>5746</v>
          </cell>
        </row>
        <row r="80">
          <cell r="A80" t="str">
            <v>Begnins</v>
          </cell>
          <cell r="B80">
            <v>5704</v>
          </cell>
        </row>
        <row r="81">
          <cell r="A81" t="str">
            <v>Belmont-sur-Lausanne</v>
          </cell>
          <cell r="B81">
            <v>5581</v>
          </cell>
        </row>
        <row r="82">
          <cell r="A82" t="str">
            <v>Belmont-sur-Yverdon</v>
          </cell>
          <cell r="B82">
            <v>5902</v>
          </cell>
        </row>
        <row r="83">
          <cell r="A83" t="str">
            <v>Bercher</v>
          </cell>
          <cell r="B83">
            <v>5512</v>
          </cell>
        </row>
        <row r="84">
          <cell r="A84" t="str">
            <v>Berolle</v>
          </cell>
          <cell r="B84">
            <v>5424</v>
          </cell>
        </row>
        <row r="85">
          <cell r="A85" t="str">
            <v>Bettens</v>
          </cell>
          <cell r="B85">
            <v>5471</v>
          </cell>
        </row>
        <row r="86">
          <cell r="A86" t="str">
            <v>Bex</v>
          </cell>
          <cell r="B86">
            <v>5402</v>
          </cell>
        </row>
        <row r="87">
          <cell r="A87" t="str">
            <v>Bière</v>
          </cell>
          <cell r="B87">
            <v>5425</v>
          </cell>
        </row>
        <row r="88">
          <cell r="A88" t="str">
            <v>Bioley-Magnoux</v>
          </cell>
          <cell r="B88">
            <v>5903</v>
          </cell>
        </row>
        <row r="89">
          <cell r="A89" t="str">
            <v>Bioley-Orjulaz</v>
          </cell>
          <cell r="B89">
            <v>5513</v>
          </cell>
        </row>
        <row r="90">
          <cell r="A90" t="str">
            <v>Blonay</v>
          </cell>
          <cell r="B90">
            <v>5881</v>
          </cell>
        </row>
        <row r="91">
          <cell r="A91" t="str">
            <v>Bofflens</v>
          </cell>
          <cell r="B91">
            <v>5747</v>
          </cell>
        </row>
        <row r="92">
          <cell r="A92" t="str">
            <v>Bogis-Bossey</v>
          </cell>
          <cell r="B92">
            <v>5705</v>
          </cell>
        </row>
        <row r="93">
          <cell r="A93" t="str">
            <v>Bonvillars</v>
          </cell>
          <cell r="B93">
            <v>5551</v>
          </cell>
        </row>
        <row r="94">
          <cell r="A94" t="str">
            <v>Borex</v>
          </cell>
          <cell r="B94">
            <v>5706</v>
          </cell>
        </row>
        <row r="95">
          <cell r="A95" t="str">
            <v>Bottens</v>
          </cell>
          <cell r="B95">
            <v>5514</v>
          </cell>
        </row>
        <row r="96">
          <cell r="A96" t="str">
            <v>Bougy-Villars</v>
          </cell>
          <cell r="B96">
            <v>5426</v>
          </cell>
        </row>
        <row r="97">
          <cell r="A97" t="str">
            <v>Boulens</v>
          </cell>
          <cell r="B97">
            <v>5661</v>
          </cell>
        </row>
        <row r="98">
          <cell r="A98" t="str">
            <v>Bourg-en-Lavaux</v>
          </cell>
          <cell r="B98">
            <v>5613</v>
          </cell>
        </row>
        <row r="99">
          <cell r="A99" t="str">
            <v>Bournens</v>
          </cell>
          <cell r="B99">
            <v>5472</v>
          </cell>
        </row>
        <row r="100">
          <cell r="A100" t="str">
            <v>Boussens</v>
          </cell>
          <cell r="B100">
            <v>5473</v>
          </cell>
        </row>
        <row r="101">
          <cell r="A101" t="str">
            <v>Bremblens</v>
          </cell>
          <cell r="B101">
            <v>5622</v>
          </cell>
        </row>
        <row r="102">
          <cell r="A102" t="str">
            <v>Bretigny-sur-Morrens</v>
          </cell>
          <cell r="B102">
            <v>5515</v>
          </cell>
        </row>
        <row r="103">
          <cell r="A103" t="str">
            <v>Bretonnières</v>
          </cell>
          <cell r="B103">
            <v>5748</v>
          </cell>
        </row>
        <row r="104">
          <cell r="A104" t="str">
            <v>Buchillon</v>
          </cell>
          <cell r="B104">
            <v>5623</v>
          </cell>
        </row>
        <row r="105">
          <cell r="A105" t="str">
            <v>Bullet</v>
          </cell>
          <cell r="B105">
            <v>5552</v>
          </cell>
        </row>
        <row r="106">
          <cell r="A106" t="str">
            <v>Bursinel</v>
          </cell>
          <cell r="B106">
            <v>5852</v>
          </cell>
        </row>
        <row r="107">
          <cell r="A107" t="str">
            <v>Bursins</v>
          </cell>
          <cell r="B107">
            <v>5853</v>
          </cell>
        </row>
        <row r="108">
          <cell r="A108" t="str">
            <v>Burtigny</v>
          </cell>
          <cell r="B108">
            <v>5854</v>
          </cell>
        </row>
        <row r="109">
          <cell r="A109" t="str">
            <v>Bussigny</v>
          </cell>
          <cell r="B109">
            <v>5624</v>
          </cell>
        </row>
        <row r="110">
          <cell r="A110" t="str">
            <v>Bussy-Chardonney</v>
          </cell>
          <cell r="B110">
            <v>5625</v>
          </cell>
        </row>
        <row r="111">
          <cell r="A111" t="str">
            <v>Bussy-sur-Moudon</v>
          </cell>
          <cell r="B111">
            <v>5663</v>
          </cell>
        </row>
        <row r="112">
          <cell r="A112" t="str">
            <v>Chamblon</v>
          </cell>
          <cell r="B112">
            <v>5904</v>
          </cell>
        </row>
        <row r="113">
          <cell r="A113" t="str">
            <v>Champagne</v>
          </cell>
          <cell r="B113">
            <v>5553</v>
          </cell>
        </row>
        <row r="114">
          <cell r="A114" t="str">
            <v>Champtauroz</v>
          </cell>
          <cell r="B114">
            <v>5812</v>
          </cell>
        </row>
        <row r="115">
          <cell r="A115" t="str">
            <v>Champvent</v>
          </cell>
          <cell r="B115">
            <v>5905</v>
          </cell>
        </row>
        <row r="116">
          <cell r="A116" t="str">
            <v>Chardonne</v>
          </cell>
          <cell r="B116">
            <v>5882</v>
          </cell>
        </row>
        <row r="117">
          <cell r="A117" t="str">
            <v>Château-d'Oex</v>
          </cell>
          <cell r="B117">
            <v>5841</v>
          </cell>
        </row>
        <row r="118">
          <cell r="A118" t="str">
            <v>Chavannes-de-Bogis</v>
          </cell>
          <cell r="B118">
            <v>5707</v>
          </cell>
        </row>
        <row r="119">
          <cell r="A119" t="str">
            <v>Chavannes-des-Bois</v>
          </cell>
          <cell r="B119">
            <v>5708</v>
          </cell>
        </row>
        <row r="120">
          <cell r="A120" t="str">
            <v>Chavannes-le-Chêne</v>
          </cell>
          <cell r="B120">
            <v>5907</v>
          </cell>
        </row>
        <row r="121">
          <cell r="A121" t="str">
            <v>Chavannes-le-Veyron</v>
          </cell>
          <cell r="B121">
            <v>5475</v>
          </cell>
        </row>
        <row r="122">
          <cell r="A122" t="str">
            <v>Chavannes-près-Renens</v>
          </cell>
          <cell r="B122">
            <v>5627</v>
          </cell>
        </row>
        <row r="123">
          <cell r="A123" t="str">
            <v>Chavannes-sur-Moudon</v>
          </cell>
          <cell r="B123">
            <v>5665</v>
          </cell>
        </row>
        <row r="124">
          <cell r="A124" t="str">
            <v>Chavornay</v>
          </cell>
          <cell r="B124">
            <v>5749</v>
          </cell>
        </row>
        <row r="125">
          <cell r="A125" t="str">
            <v>Chêne-Pâquier</v>
          </cell>
          <cell r="B125">
            <v>5908</v>
          </cell>
        </row>
        <row r="126">
          <cell r="A126" t="str">
            <v>Cheseaux-Noréaz</v>
          </cell>
          <cell r="B126">
            <v>5909</v>
          </cell>
        </row>
        <row r="127">
          <cell r="A127" t="str">
            <v>Cheseaux-sur-Lausanne</v>
          </cell>
          <cell r="B127">
            <v>5582</v>
          </cell>
        </row>
        <row r="128">
          <cell r="A128" t="str">
            <v>Chéserex</v>
          </cell>
          <cell r="B128">
            <v>5709</v>
          </cell>
        </row>
        <row r="129">
          <cell r="A129" t="str">
            <v>Chessel</v>
          </cell>
          <cell r="B129">
            <v>5403</v>
          </cell>
        </row>
        <row r="130">
          <cell r="A130" t="str">
            <v>Chevilly</v>
          </cell>
          <cell r="B130">
            <v>5476</v>
          </cell>
        </row>
        <row r="131">
          <cell r="A131" t="str">
            <v>Chevroux</v>
          </cell>
          <cell r="B131">
            <v>5813</v>
          </cell>
        </row>
        <row r="132">
          <cell r="A132" t="str">
            <v>Chexbres</v>
          </cell>
          <cell r="B132">
            <v>5601</v>
          </cell>
        </row>
        <row r="133">
          <cell r="A133" t="str">
            <v>Chigny</v>
          </cell>
          <cell r="B133">
            <v>5628</v>
          </cell>
        </row>
        <row r="134">
          <cell r="A134" t="str">
            <v>Clarmont</v>
          </cell>
          <cell r="B134">
            <v>5629</v>
          </cell>
        </row>
        <row r="135">
          <cell r="A135" t="str">
            <v>Coinsins</v>
          </cell>
          <cell r="B135">
            <v>5710</v>
          </cell>
        </row>
        <row r="136">
          <cell r="A136" t="str">
            <v>Commugny</v>
          </cell>
          <cell r="B136">
            <v>5711</v>
          </cell>
        </row>
        <row r="137">
          <cell r="A137" t="str">
            <v>Concise</v>
          </cell>
          <cell r="B137">
            <v>5554</v>
          </cell>
        </row>
        <row r="138">
          <cell r="A138" t="str">
            <v>Coppet</v>
          </cell>
          <cell r="B138">
            <v>5712</v>
          </cell>
        </row>
        <row r="139">
          <cell r="A139" t="str">
            <v>Corbeyrier</v>
          </cell>
          <cell r="B139">
            <v>5404</v>
          </cell>
        </row>
        <row r="140">
          <cell r="A140" t="str">
            <v>Corcelles-le-Jorat</v>
          </cell>
          <cell r="B140">
            <v>5785</v>
          </cell>
        </row>
        <row r="141">
          <cell r="A141" t="str">
            <v>Corcelles-près-Concise</v>
          </cell>
          <cell r="B141">
            <v>5555</v>
          </cell>
        </row>
        <row r="142">
          <cell r="A142" t="str">
            <v>Corcelles-près-Payerne</v>
          </cell>
          <cell r="B142">
            <v>5816</v>
          </cell>
        </row>
        <row r="143">
          <cell r="A143" t="str">
            <v>Corseaux</v>
          </cell>
          <cell r="B143">
            <v>5883</v>
          </cell>
        </row>
        <row r="144">
          <cell r="A144" t="str">
            <v>Corsier-sur-Vevey</v>
          </cell>
          <cell r="B144">
            <v>5884</v>
          </cell>
        </row>
        <row r="145">
          <cell r="A145" t="str">
            <v>Cossonay</v>
          </cell>
          <cell r="B145">
            <v>5477</v>
          </cell>
        </row>
        <row r="146">
          <cell r="A146" t="str">
            <v>Cottens</v>
          </cell>
          <cell r="B146">
            <v>5478</v>
          </cell>
        </row>
        <row r="147">
          <cell r="A147" t="str">
            <v>Crans</v>
          </cell>
          <cell r="B147">
            <v>5713</v>
          </cell>
        </row>
        <row r="148">
          <cell r="A148" t="str">
            <v>Crassier</v>
          </cell>
          <cell r="B148">
            <v>5714</v>
          </cell>
        </row>
        <row r="149">
          <cell r="A149" t="str">
            <v>Crissier</v>
          </cell>
          <cell r="B149">
            <v>5583</v>
          </cell>
        </row>
        <row r="150">
          <cell r="A150" t="str">
            <v>Cronay</v>
          </cell>
          <cell r="B150">
            <v>5910</v>
          </cell>
        </row>
        <row r="151">
          <cell r="A151" t="str">
            <v>Croy</v>
          </cell>
          <cell r="B151">
            <v>5752</v>
          </cell>
        </row>
        <row r="152">
          <cell r="A152" t="str">
            <v>Cuarnens</v>
          </cell>
          <cell r="B152">
            <v>5479</v>
          </cell>
        </row>
        <row r="153">
          <cell r="A153" t="str">
            <v>Cuarny</v>
          </cell>
          <cell r="B153">
            <v>5911</v>
          </cell>
        </row>
        <row r="154">
          <cell r="A154" t="str">
            <v>Cudrefin</v>
          </cell>
          <cell r="B154">
            <v>5456</v>
          </cell>
        </row>
        <row r="155">
          <cell r="A155" t="str">
            <v>Cugy</v>
          </cell>
          <cell r="B155">
            <v>5516</v>
          </cell>
        </row>
        <row r="156">
          <cell r="A156" t="str">
            <v>Curtilles</v>
          </cell>
          <cell r="B156">
            <v>5669</v>
          </cell>
        </row>
        <row r="157">
          <cell r="A157" t="str">
            <v>Daillens</v>
          </cell>
          <cell r="B157">
            <v>5480</v>
          </cell>
        </row>
        <row r="158">
          <cell r="A158" t="str">
            <v>Démoret</v>
          </cell>
          <cell r="B158">
            <v>5912</v>
          </cell>
        </row>
        <row r="159">
          <cell r="A159" t="str">
            <v>Denens</v>
          </cell>
          <cell r="B159">
            <v>5631</v>
          </cell>
        </row>
        <row r="160">
          <cell r="A160" t="str">
            <v>Denges</v>
          </cell>
          <cell r="B160">
            <v>5632</v>
          </cell>
        </row>
        <row r="161">
          <cell r="A161" t="str">
            <v>Dizy</v>
          </cell>
          <cell r="B161">
            <v>5481</v>
          </cell>
        </row>
        <row r="162">
          <cell r="A162" t="str">
            <v>Dompierre</v>
          </cell>
          <cell r="B162">
            <v>5671</v>
          </cell>
        </row>
        <row r="163">
          <cell r="A163" t="str">
            <v>Donneloye</v>
          </cell>
          <cell r="B163">
            <v>5913</v>
          </cell>
        </row>
        <row r="164">
          <cell r="A164" t="str">
            <v>Duillier</v>
          </cell>
          <cell r="B164">
            <v>5715</v>
          </cell>
        </row>
        <row r="165">
          <cell r="A165" t="str">
            <v>Dully</v>
          </cell>
          <cell r="B165">
            <v>5855</v>
          </cell>
        </row>
        <row r="166">
          <cell r="A166" t="str">
            <v>Echallens</v>
          </cell>
          <cell r="B166">
            <v>5518</v>
          </cell>
        </row>
        <row r="167">
          <cell r="A167" t="str">
            <v>Echandens</v>
          </cell>
          <cell r="B167">
            <v>5633</v>
          </cell>
        </row>
        <row r="168">
          <cell r="A168" t="str">
            <v>Echichens</v>
          </cell>
          <cell r="B168">
            <v>5634</v>
          </cell>
        </row>
        <row r="169">
          <cell r="A169" t="str">
            <v>Eclépens</v>
          </cell>
          <cell r="B169">
            <v>5482</v>
          </cell>
        </row>
        <row r="170">
          <cell r="A170" t="str">
            <v>Ecublens</v>
          </cell>
          <cell r="B170">
            <v>5635</v>
          </cell>
        </row>
        <row r="171">
          <cell r="A171" t="str">
            <v>Epalinges</v>
          </cell>
          <cell r="B171">
            <v>5584</v>
          </cell>
        </row>
        <row r="172">
          <cell r="A172" t="str">
            <v>Ependes</v>
          </cell>
          <cell r="B172">
            <v>5914</v>
          </cell>
        </row>
        <row r="173">
          <cell r="A173" t="str">
            <v>Essertes</v>
          </cell>
          <cell r="B173">
            <v>5788</v>
          </cell>
        </row>
        <row r="174">
          <cell r="A174" t="str">
            <v>Essertines-sur-Rolle</v>
          </cell>
          <cell r="B174">
            <v>5856</v>
          </cell>
        </row>
        <row r="175">
          <cell r="A175" t="str">
            <v>Essertines-sur-Yverdon</v>
          </cell>
          <cell r="B175">
            <v>5520</v>
          </cell>
        </row>
        <row r="176">
          <cell r="A176" t="str">
            <v>Etagnières</v>
          </cell>
          <cell r="B176">
            <v>5521</v>
          </cell>
        </row>
        <row r="177">
          <cell r="A177" t="str">
            <v>Etoy</v>
          </cell>
          <cell r="B177">
            <v>5636</v>
          </cell>
        </row>
        <row r="178">
          <cell r="A178" t="str">
            <v>Eysins</v>
          </cell>
          <cell r="B178">
            <v>5716</v>
          </cell>
        </row>
        <row r="179">
          <cell r="A179" t="str">
            <v>Faoug</v>
          </cell>
          <cell r="B179">
            <v>5458</v>
          </cell>
        </row>
        <row r="180">
          <cell r="A180" t="str">
            <v>Féchy</v>
          </cell>
          <cell r="B180">
            <v>5427</v>
          </cell>
        </row>
        <row r="181">
          <cell r="A181" t="str">
            <v>Ferreyres</v>
          </cell>
          <cell r="B181">
            <v>5483</v>
          </cell>
        </row>
        <row r="182">
          <cell r="A182" t="str">
            <v>Fey</v>
          </cell>
          <cell r="B182">
            <v>5522</v>
          </cell>
        </row>
        <row r="183">
          <cell r="A183" t="str">
            <v>Fiez</v>
          </cell>
          <cell r="B183">
            <v>5556</v>
          </cell>
        </row>
        <row r="184">
          <cell r="A184" t="str">
            <v>Fontaines-sur-Grandson</v>
          </cell>
          <cell r="B184">
            <v>5557</v>
          </cell>
        </row>
        <row r="185">
          <cell r="A185" t="str">
            <v>Forel (Lavaux)</v>
          </cell>
          <cell r="B185">
            <v>5604</v>
          </cell>
        </row>
        <row r="186">
          <cell r="A186" t="str">
            <v>Founex</v>
          </cell>
          <cell r="B186">
            <v>5717</v>
          </cell>
        </row>
        <row r="187">
          <cell r="A187" t="str">
            <v>Froideville</v>
          </cell>
          <cell r="B187">
            <v>5523</v>
          </cell>
        </row>
        <row r="188">
          <cell r="A188" t="str">
            <v>Genolier</v>
          </cell>
          <cell r="B188">
            <v>5718</v>
          </cell>
        </row>
        <row r="189">
          <cell r="A189" t="str">
            <v>Giez</v>
          </cell>
          <cell r="B189">
            <v>5559</v>
          </cell>
        </row>
        <row r="190">
          <cell r="A190" t="str">
            <v>Gilly</v>
          </cell>
          <cell r="B190">
            <v>5857</v>
          </cell>
        </row>
        <row r="191">
          <cell r="A191" t="str">
            <v>Gimel</v>
          </cell>
          <cell r="B191">
            <v>5428</v>
          </cell>
        </row>
        <row r="192">
          <cell r="A192" t="str">
            <v>Gingins</v>
          </cell>
          <cell r="B192">
            <v>5719</v>
          </cell>
        </row>
        <row r="193">
          <cell r="A193" t="str">
            <v>Givrins</v>
          </cell>
          <cell r="B193">
            <v>5720</v>
          </cell>
        </row>
        <row r="194">
          <cell r="A194" t="str">
            <v>Gland</v>
          </cell>
          <cell r="B194">
            <v>5721</v>
          </cell>
        </row>
        <row r="195">
          <cell r="A195" t="str">
            <v>Gollion</v>
          </cell>
          <cell r="B195">
            <v>5484</v>
          </cell>
        </row>
        <row r="196">
          <cell r="A196" t="str">
            <v>Goumoëns</v>
          </cell>
          <cell r="B196">
            <v>5541</v>
          </cell>
        </row>
        <row r="197">
          <cell r="A197" t="str">
            <v>Grancy</v>
          </cell>
          <cell r="B197">
            <v>5485</v>
          </cell>
        </row>
        <row r="198">
          <cell r="A198" t="str">
            <v>Grandcour</v>
          </cell>
          <cell r="B198">
            <v>5817</v>
          </cell>
        </row>
        <row r="199">
          <cell r="A199" t="str">
            <v>Grandevent</v>
          </cell>
          <cell r="B199">
            <v>5560</v>
          </cell>
        </row>
        <row r="200">
          <cell r="A200" t="str">
            <v>Grandson</v>
          </cell>
          <cell r="B200">
            <v>5561</v>
          </cell>
        </row>
        <row r="201">
          <cell r="A201" t="str">
            <v>Grens</v>
          </cell>
          <cell r="B201">
            <v>5722</v>
          </cell>
        </row>
        <row r="202">
          <cell r="A202" t="str">
            <v>Gryon</v>
          </cell>
          <cell r="B202">
            <v>5405</v>
          </cell>
        </row>
        <row r="203">
          <cell r="A203" t="str">
            <v>Henniez</v>
          </cell>
          <cell r="B203">
            <v>5819</v>
          </cell>
        </row>
        <row r="204">
          <cell r="A204" t="str">
            <v>Hermenches</v>
          </cell>
          <cell r="B204">
            <v>5673</v>
          </cell>
        </row>
        <row r="205">
          <cell r="A205" t="str">
            <v>Jongny</v>
          </cell>
          <cell r="B205">
            <v>5885</v>
          </cell>
        </row>
        <row r="206">
          <cell r="A206" t="str">
            <v>Jorat-Menthue</v>
          </cell>
          <cell r="B206">
            <v>5804</v>
          </cell>
        </row>
        <row r="207">
          <cell r="A207" t="str">
            <v>Jorat-Mézières</v>
          </cell>
          <cell r="B207">
            <v>5806</v>
          </cell>
        </row>
        <row r="208">
          <cell r="A208" t="str">
            <v>Jouxtens-Mézery</v>
          </cell>
          <cell r="B208">
            <v>5585</v>
          </cell>
        </row>
        <row r="209">
          <cell r="A209" t="str">
            <v>Juriens</v>
          </cell>
          <cell r="B209">
            <v>5754</v>
          </cell>
        </row>
        <row r="210">
          <cell r="A210" t="str">
            <v>La Chaux (Cossonay)</v>
          </cell>
          <cell r="B210">
            <v>5474</v>
          </cell>
        </row>
        <row r="211">
          <cell r="A211" t="str">
            <v>La Praz</v>
          </cell>
          <cell r="B211">
            <v>5758</v>
          </cell>
        </row>
        <row r="212">
          <cell r="A212" t="str">
            <v>La Rippe</v>
          </cell>
          <cell r="B212">
            <v>5726</v>
          </cell>
        </row>
        <row r="213">
          <cell r="A213" t="str">
            <v>La Sarraz</v>
          </cell>
          <cell r="B213">
            <v>5498</v>
          </cell>
        </row>
        <row r="214">
          <cell r="A214" t="str">
            <v>La Tour-de-Peilz</v>
          </cell>
          <cell r="B214">
            <v>5889</v>
          </cell>
        </row>
        <row r="215">
          <cell r="A215" t="str">
            <v>L'Abbaye</v>
          </cell>
          <cell r="B215">
            <v>5871</v>
          </cell>
        </row>
        <row r="216">
          <cell r="A216" t="str">
            <v>L'Abergement</v>
          </cell>
          <cell r="B216">
            <v>5741</v>
          </cell>
        </row>
        <row r="217">
          <cell r="A217" t="str">
            <v>Lausanne</v>
          </cell>
          <cell r="B217">
            <v>5586</v>
          </cell>
        </row>
        <row r="218">
          <cell r="A218" t="str">
            <v>Lavey-Morcles</v>
          </cell>
          <cell r="B218">
            <v>5406</v>
          </cell>
        </row>
        <row r="219">
          <cell r="A219" t="str">
            <v>Lavigny</v>
          </cell>
          <cell r="B219">
            <v>5637</v>
          </cell>
        </row>
        <row r="220">
          <cell r="A220" t="str">
            <v>Le Chenit</v>
          </cell>
          <cell r="B220">
            <v>5872</v>
          </cell>
        </row>
        <row r="221">
          <cell r="A221" t="str">
            <v>Le Lieu</v>
          </cell>
          <cell r="B221">
            <v>5873</v>
          </cell>
        </row>
        <row r="222">
          <cell r="A222" t="str">
            <v>Le Mont-sur-Lausanne</v>
          </cell>
          <cell r="B222">
            <v>5587</v>
          </cell>
        </row>
        <row r="223">
          <cell r="A223" t="str">
            <v>Le Vaud</v>
          </cell>
          <cell r="B223">
            <v>5731</v>
          </cell>
        </row>
        <row r="224">
          <cell r="A224" t="str">
            <v>Les Clées</v>
          </cell>
          <cell r="B224">
            <v>5750</v>
          </cell>
        </row>
        <row r="225">
          <cell r="A225" t="str">
            <v>Leysin</v>
          </cell>
          <cell r="B225">
            <v>5407</v>
          </cell>
        </row>
        <row r="226">
          <cell r="A226" t="str">
            <v>Lignerolle</v>
          </cell>
          <cell r="B226">
            <v>5755</v>
          </cell>
        </row>
        <row r="227">
          <cell r="A227" t="str">
            <v>L'Isle</v>
          </cell>
          <cell r="B227">
            <v>5486</v>
          </cell>
        </row>
        <row r="228">
          <cell r="A228" t="str">
            <v>Lonay</v>
          </cell>
          <cell r="B228">
            <v>5638</v>
          </cell>
        </row>
        <row r="229">
          <cell r="A229" t="str">
            <v>Longirod</v>
          </cell>
          <cell r="B229">
            <v>5429</v>
          </cell>
        </row>
        <row r="230">
          <cell r="A230" t="str">
            <v>Lovatens</v>
          </cell>
          <cell r="B230">
            <v>5674</v>
          </cell>
        </row>
        <row r="231">
          <cell r="A231" t="str">
            <v>Lucens</v>
          </cell>
          <cell r="B231">
            <v>5675</v>
          </cell>
        </row>
        <row r="232">
          <cell r="A232" t="str">
            <v>Luins</v>
          </cell>
          <cell r="B232">
            <v>5858</v>
          </cell>
        </row>
        <row r="233">
          <cell r="A233" t="str">
            <v>Lully</v>
          </cell>
          <cell r="B233">
            <v>5639</v>
          </cell>
        </row>
        <row r="234">
          <cell r="A234" t="str">
            <v>Lussery-Villars</v>
          </cell>
          <cell r="B234">
            <v>5487</v>
          </cell>
        </row>
        <row r="235">
          <cell r="A235" t="str">
            <v>Lussy-sur-Morges</v>
          </cell>
          <cell r="B235">
            <v>5640</v>
          </cell>
        </row>
        <row r="236">
          <cell r="A236" t="str">
            <v>Lutry</v>
          </cell>
          <cell r="B236">
            <v>5606</v>
          </cell>
        </row>
        <row r="237">
          <cell r="A237" t="str">
            <v>Maracon</v>
          </cell>
          <cell r="B237">
            <v>5790</v>
          </cell>
        </row>
        <row r="238">
          <cell r="A238" t="str">
            <v>Marchissy</v>
          </cell>
          <cell r="B238">
            <v>5430</v>
          </cell>
        </row>
        <row r="239">
          <cell r="A239" t="str">
            <v>Mathod</v>
          </cell>
          <cell r="B239">
            <v>5919</v>
          </cell>
        </row>
        <row r="240">
          <cell r="A240" t="str">
            <v>Mauborget</v>
          </cell>
          <cell r="B240">
            <v>5562</v>
          </cell>
        </row>
        <row r="241">
          <cell r="A241" t="str">
            <v>Mauraz</v>
          </cell>
          <cell r="B241">
            <v>5488</v>
          </cell>
        </row>
        <row r="242">
          <cell r="A242" t="str">
            <v>Mex</v>
          </cell>
          <cell r="B242">
            <v>5489</v>
          </cell>
        </row>
        <row r="243">
          <cell r="A243" t="str">
            <v>Mies</v>
          </cell>
          <cell r="B243">
            <v>5723</v>
          </cell>
        </row>
        <row r="244">
          <cell r="A244" t="str">
            <v>Missy</v>
          </cell>
          <cell r="B244">
            <v>5821</v>
          </cell>
        </row>
        <row r="245">
          <cell r="A245" t="str">
            <v>Moiry</v>
          </cell>
          <cell r="B245">
            <v>5490</v>
          </cell>
        </row>
        <row r="246">
          <cell r="A246" t="str">
            <v>Mollens</v>
          </cell>
          <cell r="B246">
            <v>5431</v>
          </cell>
        </row>
        <row r="247">
          <cell r="A247" t="str">
            <v>Molondin</v>
          </cell>
          <cell r="B247">
            <v>5921</v>
          </cell>
        </row>
        <row r="248">
          <cell r="A248" t="str">
            <v>Montagny-près-Yverdon</v>
          </cell>
          <cell r="B248">
            <v>5922</v>
          </cell>
        </row>
        <row r="249">
          <cell r="A249" t="str">
            <v>Montanaire</v>
          </cell>
          <cell r="B249">
            <v>5693</v>
          </cell>
        </row>
        <row r="250">
          <cell r="A250" t="str">
            <v>Montcherand</v>
          </cell>
          <cell r="B250">
            <v>5756</v>
          </cell>
        </row>
        <row r="251">
          <cell r="A251" t="str">
            <v>Montilliez</v>
          </cell>
          <cell r="B251">
            <v>5540</v>
          </cell>
        </row>
        <row r="252">
          <cell r="A252" t="str">
            <v>Mont-la-Ville</v>
          </cell>
          <cell r="B252">
            <v>5491</v>
          </cell>
        </row>
        <row r="253">
          <cell r="A253" t="str">
            <v>Montpreveyres</v>
          </cell>
          <cell r="B253">
            <v>5792</v>
          </cell>
        </row>
        <row r="254">
          <cell r="A254" t="str">
            <v>Montreux</v>
          </cell>
          <cell r="B254">
            <v>5886</v>
          </cell>
        </row>
        <row r="255">
          <cell r="A255" t="str">
            <v>Montricher</v>
          </cell>
          <cell r="B255">
            <v>5492</v>
          </cell>
        </row>
        <row r="256">
          <cell r="A256" t="str">
            <v>Mont-sur-Rolle</v>
          </cell>
          <cell r="B256">
            <v>5859</v>
          </cell>
        </row>
        <row r="257">
          <cell r="A257" t="str">
            <v>Morges</v>
          </cell>
          <cell r="B257">
            <v>5642</v>
          </cell>
        </row>
        <row r="258">
          <cell r="A258" t="str">
            <v>Morrens</v>
          </cell>
          <cell r="B258">
            <v>5527</v>
          </cell>
        </row>
        <row r="259">
          <cell r="A259" t="str">
            <v>Moudon</v>
          </cell>
          <cell r="B259">
            <v>5678</v>
          </cell>
        </row>
        <row r="260">
          <cell r="A260" t="str">
            <v>Mutrux</v>
          </cell>
          <cell r="B260">
            <v>5563</v>
          </cell>
        </row>
        <row r="261">
          <cell r="A261" t="str">
            <v>Novalles</v>
          </cell>
          <cell r="B261">
            <v>5564</v>
          </cell>
        </row>
        <row r="262">
          <cell r="A262" t="str">
            <v>Noville</v>
          </cell>
          <cell r="B262">
            <v>5408</v>
          </cell>
        </row>
        <row r="263">
          <cell r="A263" t="str">
            <v>Nyon</v>
          </cell>
          <cell r="B263">
            <v>5724</v>
          </cell>
        </row>
        <row r="264">
          <cell r="A264" t="str">
            <v>Ogens</v>
          </cell>
          <cell r="B264">
            <v>5680</v>
          </cell>
        </row>
        <row r="265">
          <cell r="A265" t="str">
            <v>Ollon</v>
          </cell>
          <cell r="B265">
            <v>5409</v>
          </cell>
        </row>
        <row r="266">
          <cell r="A266" t="str">
            <v>Onnens</v>
          </cell>
          <cell r="B266">
            <v>5565</v>
          </cell>
        </row>
        <row r="267">
          <cell r="A267" t="str">
            <v>Oppens</v>
          </cell>
          <cell r="B267">
            <v>5923</v>
          </cell>
        </row>
        <row r="268">
          <cell r="A268" t="str">
            <v>Orbe</v>
          </cell>
          <cell r="B268">
            <v>5757</v>
          </cell>
        </row>
        <row r="269">
          <cell r="A269" t="str">
            <v>Orges</v>
          </cell>
          <cell r="B269">
            <v>5924</v>
          </cell>
        </row>
        <row r="270">
          <cell r="A270" t="str">
            <v>Ormont-Dessous</v>
          </cell>
          <cell r="B270">
            <v>5410</v>
          </cell>
        </row>
        <row r="271">
          <cell r="A271" t="str">
            <v>Ormont-Dessus</v>
          </cell>
          <cell r="B271">
            <v>5411</v>
          </cell>
        </row>
        <row r="272">
          <cell r="A272" t="str">
            <v>Orny</v>
          </cell>
          <cell r="B272">
            <v>5493</v>
          </cell>
        </row>
        <row r="273">
          <cell r="A273" t="str">
            <v>Oron</v>
          </cell>
          <cell r="B273">
            <v>5805</v>
          </cell>
        </row>
        <row r="274">
          <cell r="A274" t="str">
            <v>Orzens</v>
          </cell>
          <cell r="B274">
            <v>5925</v>
          </cell>
        </row>
        <row r="275">
          <cell r="A275" t="str">
            <v>Oulens-sous-Echallens</v>
          </cell>
          <cell r="B275">
            <v>5529</v>
          </cell>
        </row>
        <row r="276">
          <cell r="A276" t="str">
            <v>Pailly</v>
          </cell>
          <cell r="B276">
            <v>5530</v>
          </cell>
        </row>
        <row r="277">
          <cell r="A277" t="str">
            <v>Pampigny</v>
          </cell>
          <cell r="B277">
            <v>5494</v>
          </cell>
        </row>
        <row r="278">
          <cell r="A278" t="str">
            <v>Paudex</v>
          </cell>
          <cell r="B278">
            <v>5588</v>
          </cell>
        </row>
        <row r="279">
          <cell r="A279" t="str">
            <v>Payerne</v>
          </cell>
          <cell r="B279">
            <v>5822</v>
          </cell>
        </row>
        <row r="280">
          <cell r="A280" t="str">
            <v>Penthalaz</v>
          </cell>
          <cell r="B280">
            <v>5495</v>
          </cell>
        </row>
        <row r="281">
          <cell r="A281" t="str">
            <v>Penthaz</v>
          </cell>
          <cell r="B281">
            <v>5496</v>
          </cell>
        </row>
        <row r="282">
          <cell r="A282" t="str">
            <v>Penthéréaz</v>
          </cell>
          <cell r="B282">
            <v>5531</v>
          </cell>
        </row>
        <row r="283">
          <cell r="A283" t="str">
            <v>Perroy</v>
          </cell>
          <cell r="B283">
            <v>5860</v>
          </cell>
        </row>
        <row r="284">
          <cell r="A284" t="str">
            <v>Poliez-Pittet</v>
          </cell>
          <cell r="B284">
            <v>5533</v>
          </cell>
        </row>
        <row r="285">
          <cell r="A285" t="str">
            <v>Pompaples</v>
          </cell>
          <cell r="B285">
            <v>5497</v>
          </cell>
        </row>
        <row r="286">
          <cell r="A286" t="str">
            <v>Pomy</v>
          </cell>
          <cell r="B286">
            <v>5926</v>
          </cell>
        </row>
        <row r="287">
          <cell r="A287" t="str">
            <v>Prangins</v>
          </cell>
          <cell r="B287">
            <v>5725</v>
          </cell>
        </row>
        <row r="288">
          <cell r="A288" t="str">
            <v>Premier</v>
          </cell>
          <cell r="B288">
            <v>5759</v>
          </cell>
        </row>
        <row r="289">
          <cell r="A289" t="str">
            <v>Préverenges</v>
          </cell>
          <cell r="B289">
            <v>5643</v>
          </cell>
        </row>
        <row r="290">
          <cell r="A290" t="str">
            <v>Prévonloup</v>
          </cell>
          <cell r="B290">
            <v>5683</v>
          </cell>
        </row>
        <row r="291">
          <cell r="A291" t="str">
            <v>Prilly</v>
          </cell>
          <cell r="B291">
            <v>5589</v>
          </cell>
        </row>
        <row r="292">
          <cell r="A292" t="str">
            <v>Provence</v>
          </cell>
          <cell r="B292">
            <v>5566</v>
          </cell>
        </row>
        <row r="293">
          <cell r="A293" t="str">
            <v>Puidoux</v>
          </cell>
          <cell r="B293">
            <v>5607</v>
          </cell>
        </row>
        <row r="294">
          <cell r="A294" t="str">
            <v>Pully</v>
          </cell>
          <cell r="B294">
            <v>5590</v>
          </cell>
        </row>
        <row r="295">
          <cell r="A295" t="str">
            <v>Rances</v>
          </cell>
          <cell r="B295">
            <v>5760</v>
          </cell>
        </row>
        <row r="296">
          <cell r="A296" t="str">
            <v>Renens</v>
          </cell>
          <cell r="B296">
            <v>5591</v>
          </cell>
        </row>
        <row r="297">
          <cell r="A297" t="str">
            <v>Rennaz</v>
          </cell>
          <cell r="B297">
            <v>5412</v>
          </cell>
        </row>
        <row r="298">
          <cell r="A298" t="str">
            <v>Reverolle</v>
          </cell>
          <cell r="B298">
            <v>5644</v>
          </cell>
        </row>
        <row r="299">
          <cell r="A299" t="str">
            <v>Rivaz</v>
          </cell>
          <cell r="B299">
            <v>5609</v>
          </cell>
        </row>
        <row r="300">
          <cell r="A300" t="str">
            <v>Roche</v>
          </cell>
          <cell r="B300">
            <v>5413</v>
          </cell>
        </row>
        <row r="301">
          <cell r="A301" t="str">
            <v>Rolle</v>
          </cell>
          <cell r="B301">
            <v>5861</v>
          </cell>
        </row>
        <row r="302">
          <cell r="A302" t="str">
            <v>Romainmôtier-Envy</v>
          </cell>
          <cell r="B302">
            <v>5761</v>
          </cell>
        </row>
        <row r="303">
          <cell r="A303" t="str">
            <v>Romanel-sur-Lausanne</v>
          </cell>
          <cell r="B303">
            <v>5592</v>
          </cell>
        </row>
        <row r="304">
          <cell r="A304" t="str">
            <v>Romanel-sur-Morges</v>
          </cell>
          <cell r="B304">
            <v>5645</v>
          </cell>
        </row>
        <row r="305">
          <cell r="A305" t="str">
            <v>Ropraz</v>
          </cell>
          <cell r="B305">
            <v>5798</v>
          </cell>
        </row>
        <row r="306">
          <cell r="A306" t="str">
            <v>Rossenges</v>
          </cell>
          <cell r="B306">
            <v>5684</v>
          </cell>
        </row>
        <row r="307">
          <cell r="A307" t="str">
            <v>Rossinière</v>
          </cell>
          <cell r="B307">
            <v>5842</v>
          </cell>
        </row>
        <row r="308">
          <cell r="A308" t="str">
            <v>Rougemont</v>
          </cell>
          <cell r="B308">
            <v>5843</v>
          </cell>
        </row>
        <row r="309">
          <cell r="A309" t="str">
            <v>Rovray</v>
          </cell>
          <cell r="B309">
            <v>5928</v>
          </cell>
        </row>
        <row r="310">
          <cell r="A310" t="str">
            <v>Rueyres</v>
          </cell>
          <cell r="B310">
            <v>5534</v>
          </cell>
        </row>
        <row r="311">
          <cell r="A311" t="str">
            <v>Saint-Barthélemy</v>
          </cell>
          <cell r="B311">
            <v>5535</v>
          </cell>
        </row>
        <row r="312">
          <cell r="A312" t="str">
            <v>Saint-Cergue</v>
          </cell>
          <cell r="B312">
            <v>5727</v>
          </cell>
        </row>
        <row r="313">
          <cell r="A313" t="str">
            <v>Sainte-Croix</v>
          </cell>
          <cell r="B313">
            <v>5568</v>
          </cell>
        </row>
        <row r="314">
          <cell r="A314" t="str">
            <v>Saint-George</v>
          </cell>
          <cell r="B314">
            <v>5434</v>
          </cell>
        </row>
        <row r="315">
          <cell r="A315" t="str">
            <v>Saint-Légier-La Chiésaz</v>
          </cell>
          <cell r="B315">
            <v>5888</v>
          </cell>
        </row>
        <row r="316">
          <cell r="A316" t="str">
            <v>Saint-Livres</v>
          </cell>
          <cell r="B316">
            <v>5435</v>
          </cell>
        </row>
        <row r="317">
          <cell r="A317" t="str">
            <v>Saint-Oyens</v>
          </cell>
          <cell r="B317">
            <v>5436</v>
          </cell>
        </row>
        <row r="318">
          <cell r="A318" t="str">
            <v>Saint-Prex</v>
          </cell>
          <cell r="B318">
            <v>5646</v>
          </cell>
        </row>
        <row r="319">
          <cell r="A319" t="str">
            <v>Saint-Sulpice</v>
          </cell>
          <cell r="B319">
            <v>5648</v>
          </cell>
        </row>
        <row r="320">
          <cell r="A320" t="str">
            <v>Saubraz</v>
          </cell>
          <cell r="B320">
            <v>5437</v>
          </cell>
        </row>
        <row r="321">
          <cell r="A321" t="str">
            <v>Savigny</v>
          </cell>
          <cell r="B321">
            <v>5611</v>
          </cell>
        </row>
        <row r="322">
          <cell r="A322" t="str">
            <v>Senarclens</v>
          </cell>
          <cell r="B322">
            <v>5499</v>
          </cell>
        </row>
        <row r="323">
          <cell r="A323" t="str">
            <v>Sergey</v>
          </cell>
          <cell r="B323">
            <v>5762</v>
          </cell>
        </row>
        <row r="324">
          <cell r="A324" t="str">
            <v>Servion</v>
          </cell>
          <cell r="B324">
            <v>5799</v>
          </cell>
        </row>
        <row r="325">
          <cell r="A325" t="str">
            <v>Sévery</v>
          </cell>
          <cell r="B325">
            <v>5500</v>
          </cell>
        </row>
        <row r="326">
          <cell r="A326" t="str">
            <v>Signy-Avenex</v>
          </cell>
          <cell r="B326">
            <v>5728</v>
          </cell>
        </row>
        <row r="327">
          <cell r="A327" t="str">
            <v>St-Saphorin (Lavaux)</v>
          </cell>
          <cell r="B327">
            <v>5610</v>
          </cell>
        </row>
        <row r="328">
          <cell r="A328" t="str">
            <v>Suchy</v>
          </cell>
          <cell r="B328">
            <v>5929</v>
          </cell>
        </row>
        <row r="329">
          <cell r="A329" t="str">
            <v>Sullens</v>
          </cell>
          <cell r="B329">
            <v>5501</v>
          </cell>
        </row>
        <row r="330">
          <cell r="A330" t="str">
            <v>Suscévaz</v>
          </cell>
          <cell r="B330">
            <v>5930</v>
          </cell>
        </row>
        <row r="331">
          <cell r="A331" t="str">
            <v>Syens</v>
          </cell>
          <cell r="B331">
            <v>5688</v>
          </cell>
        </row>
        <row r="332">
          <cell r="A332" t="str">
            <v>Tannay</v>
          </cell>
          <cell r="B332">
            <v>5729</v>
          </cell>
        </row>
        <row r="333">
          <cell r="A333" t="str">
            <v>Tartegnin</v>
          </cell>
          <cell r="B333">
            <v>5862</v>
          </cell>
        </row>
        <row r="334">
          <cell r="A334" t="str">
            <v>Tévenon</v>
          </cell>
          <cell r="B334">
            <v>5571</v>
          </cell>
        </row>
        <row r="335">
          <cell r="A335" t="str">
            <v>Tolochenaz</v>
          </cell>
          <cell r="B335">
            <v>5649</v>
          </cell>
        </row>
        <row r="336">
          <cell r="A336" t="str">
            <v>Trélex</v>
          </cell>
          <cell r="B336">
            <v>5730</v>
          </cell>
        </row>
        <row r="337">
          <cell r="A337" t="str">
            <v>Trey</v>
          </cell>
          <cell r="B337">
            <v>5827</v>
          </cell>
        </row>
        <row r="338">
          <cell r="A338" t="str">
            <v>Treycovagnes</v>
          </cell>
          <cell r="B338">
            <v>5931</v>
          </cell>
        </row>
        <row r="339">
          <cell r="A339" t="str">
            <v>Treytorrens (Payerne)</v>
          </cell>
          <cell r="B339">
            <v>5828</v>
          </cell>
        </row>
        <row r="340">
          <cell r="A340" t="str">
            <v>Ursins</v>
          </cell>
          <cell r="B340">
            <v>5932</v>
          </cell>
        </row>
        <row r="341">
          <cell r="A341" t="str">
            <v>Valbroye</v>
          </cell>
          <cell r="B341">
            <v>5831</v>
          </cell>
        </row>
        <row r="342">
          <cell r="A342" t="str">
            <v>Valeyres-sous-Montagny</v>
          </cell>
          <cell r="B342">
            <v>5933</v>
          </cell>
        </row>
        <row r="343">
          <cell r="A343" t="str">
            <v>Valeyres-sous-Rances</v>
          </cell>
          <cell r="B343">
            <v>5763</v>
          </cell>
        </row>
        <row r="344">
          <cell r="A344" t="str">
            <v>Valeyres-sous-Ursins</v>
          </cell>
          <cell r="B344">
            <v>5934</v>
          </cell>
        </row>
        <row r="345">
          <cell r="A345" t="str">
            <v>Vallorbe</v>
          </cell>
          <cell r="B345">
            <v>5764</v>
          </cell>
        </row>
        <row r="346">
          <cell r="A346" t="str">
            <v>Vaulion</v>
          </cell>
          <cell r="B346">
            <v>5765</v>
          </cell>
        </row>
        <row r="347">
          <cell r="A347" t="str">
            <v>Vaux-sur-Morges</v>
          </cell>
          <cell r="B347">
            <v>5650</v>
          </cell>
        </row>
        <row r="348">
          <cell r="A348" t="str">
            <v>Vevey</v>
          </cell>
          <cell r="B348">
            <v>5890</v>
          </cell>
        </row>
        <row r="349">
          <cell r="A349" t="str">
            <v>Veytaux</v>
          </cell>
          <cell r="B349">
            <v>5891</v>
          </cell>
        </row>
        <row r="350">
          <cell r="A350" t="str">
            <v>Vich</v>
          </cell>
          <cell r="B350">
            <v>5732</v>
          </cell>
        </row>
        <row r="351">
          <cell r="A351" t="str">
            <v>Villars-Epeney</v>
          </cell>
          <cell r="B351">
            <v>5935</v>
          </cell>
        </row>
        <row r="352">
          <cell r="A352" t="str">
            <v>Villars-le-Comte</v>
          </cell>
          <cell r="B352">
            <v>5690</v>
          </cell>
        </row>
        <row r="353">
          <cell r="A353" t="str">
            <v>Villars-le-Terroir</v>
          </cell>
          <cell r="B353">
            <v>5537</v>
          </cell>
        </row>
        <row r="354">
          <cell r="A354" t="str">
            <v>Villars-Sainte-Croix</v>
          </cell>
          <cell r="B354">
            <v>5651</v>
          </cell>
        </row>
        <row r="355">
          <cell r="A355" t="str">
            <v>Villars-sous-Yens</v>
          </cell>
          <cell r="B355">
            <v>5652</v>
          </cell>
        </row>
        <row r="356">
          <cell r="A356" t="str">
            <v>Villarzel</v>
          </cell>
          <cell r="B356">
            <v>5830</v>
          </cell>
        </row>
        <row r="357">
          <cell r="A357" t="str">
            <v>Villeneuve</v>
          </cell>
          <cell r="B357">
            <v>5414</v>
          </cell>
        </row>
        <row r="358">
          <cell r="A358" t="str">
            <v>Vinzel</v>
          </cell>
          <cell r="B358">
            <v>5863</v>
          </cell>
        </row>
        <row r="359">
          <cell r="A359" t="str">
            <v>Vuarrens</v>
          </cell>
          <cell r="B359">
            <v>5539</v>
          </cell>
        </row>
        <row r="360">
          <cell r="A360" t="str">
            <v>Vucherens</v>
          </cell>
          <cell r="B360">
            <v>5692</v>
          </cell>
        </row>
        <row r="361">
          <cell r="A361" t="str">
            <v>Vufflens-la-Ville</v>
          </cell>
          <cell r="B361">
            <v>5503</v>
          </cell>
        </row>
        <row r="362">
          <cell r="A362" t="str">
            <v>Vufflens-le-Château</v>
          </cell>
          <cell r="B362">
            <v>5653</v>
          </cell>
        </row>
        <row r="363">
          <cell r="A363" t="str">
            <v>Vugelles-La Mothe</v>
          </cell>
          <cell r="B363">
            <v>5937</v>
          </cell>
        </row>
        <row r="364">
          <cell r="A364" t="str">
            <v>Vuiteboeuf</v>
          </cell>
          <cell r="B364">
            <v>5766</v>
          </cell>
        </row>
        <row r="365">
          <cell r="A365" t="str">
            <v>Vulliens</v>
          </cell>
          <cell r="B365">
            <v>5803</v>
          </cell>
        </row>
        <row r="366">
          <cell r="A366" t="str">
            <v>Vullierens</v>
          </cell>
          <cell r="B366">
            <v>5654</v>
          </cell>
        </row>
        <row r="367">
          <cell r="A367" t="str">
            <v>Vully-les-Lacs</v>
          </cell>
          <cell r="B367">
            <v>5464</v>
          </cell>
        </row>
        <row r="368">
          <cell r="A368" t="str">
            <v>Yens</v>
          </cell>
          <cell r="B368">
            <v>5655</v>
          </cell>
        </row>
        <row r="369">
          <cell r="A369" t="str">
            <v>Yverdon-les-Bains</v>
          </cell>
          <cell r="B369">
            <v>5938</v>
          </cell>
        </row>
        <row r="370">
          <cell r="A370" t="str">
            <v>Yvonand</v>
          </cell>
          <cell r="B370">
            <v>5939</v>
          </cell>
        </row>
        <row r="371">
          <cell r="A371" t="str">
            <v>Yvorne</v>
          </cell>
          <cell r="B371">
            <v>5415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communes corrigées"/>
      <sheetName val="2022 toutes communes"/>
    </sheetNames>
    <sheetDataSet>
      <sheetData sheetId="0"/>
      <sheetData sheetId="1">
        <row r="9">
          <cell r="B9">
            <v>5401</v>
          </cell>
          <cell r="C9" t="str">
            <v>Aigle</v>
          </cell>
          <cell r="D9">
            <v>10937</v>
          </cell>
        </row>
        <row r="10">
          <cell r="B10">
            <v>5402</v>
          </cell>
          <cell r="C10" t="str">
            <v>Bex</v>
          </cell>
          <cell r="D10">
            <v>8151</v>
          </cell>
        </row>
        <row r="11">
          <cell r="B11">
            <v>5403</v>
          </cell>
          <cell r="C11" t="str">
            <v>Chessel</v>
          </cell>
          <cell r="D11">
            <v>528</v>
          </cell>
        </row>
        <row r="12">
          <cell r="B12">
            <v>5404</v>
          </cell>
          <cell r="C12" t="str">
            <v>Corbeyrier</v>
          </cell>
          <cell r="D12">
            <v>440</v>
          </cell>
        </row>
        <row r="13">
          <cell r="B13">
            <v>5405</v>
          </cell>
          <cell r="C13" t="str">
            <v>Gryon</v>
          </cell>
          <cell r="D13">
            <v>1389</v>
          </cell>
        </row>
        <row r="14">
          <cell r="B14">
            <v>5406</v>
          </cell>
          <cell r="C14" t="str">
            <v>Lavey-Morcles</v>
          </cell>
          <cell r="D14">
            <v>979</v>
          </cell>
        </row>
        <row r="15">
          <cell r="B15">
            <v>5407</v>
          </cell>
          <cell r="C15" t="str">
            <v>Leysin</v>
          </cell>
          <cell r="D15">
            <v>3743</v>
          </cell>
        </row>
        <row r="16">
          <cell r="B16">
            <v>5408</v>
          </cell>
          <cell r="C16" t="str">
            <v>Noville</v>
          </cell>
          <cell r="D16">
            <v>1169</v>
          </cell>
        </row>
        <row r="17">
          <cell r="B17">
            <v>5409</v>
          </cell>
          <cell r="C17" t="str">
            <v>Ollon</v>
          </cell>
          <cell r="D17">
            <v>7967</v>
          </cell>
        </row>
        <row r="18">
          <cell r="B18">
            <v>5410</v>
          </cell>
          <cell r="C18" t="str">
            <v>Ormont-Dessous</v>
          </cell>
          <cell r="D18">
            <v>1178</v>
          </cell>
        </row>
        <row r="19">
          <cell r="B19">
            <v>5411</v>
          </cell>
          <cell r="C19" t="str">
            <v>Ormont-Dessus</v>
          </cell>
          <cell r="D19">
            <v>1425</v>
          </cell>
        </row>
        <row r="20">
          <cell r="B20">
            <v>5412</v>
          </cell>
          <cell r="C20" t="str">
            <v>Rennaz</v>
          </cell>
          <cell r="D20">
            <v>929</v>
          </cell>
        </row>
        <row r="21">
          <cell r="B21">
            <v>5413</v>
          </cell>
          <cell r="C21" t="str">
            <v>Roche</v>
          </cell>
          <cell r="D21">
            <v>1940</v>
          </cell>
        </row>
        <row r="22">
          <cell r="B22">
            <v>5414</v>
          </cell>
          <cell r="C22" t="str">
            <v>Villeneuve</v>
          </cell>
          <cell r="D22">
            <v>5979</v>
          </cell>
        </row>
        <row r="23">
          <cell r="B23">
            <v>5415</v>
          </cell>
          <cell r="C23" t="str">
            <v>Yvorne</v>
          </cell>
          <cell r="D23">
            <v>1088</v>
          </cell>
        </row>
        <row r="24">
          <cell r="B24"/>
          <cell r="C24"/>
          <cell r="D24">
            <v>45963</v>
          </cell>
        </row>
        <row r="25">
          <cell r="B25">
            <v>5451</v>
          </cell>
          <cell r="C25" t="str">
            <v>Avenches</v>
          </cell>
          <cell r="D25">
            <v>4696</v>
          </cell>
        </row>
        <row r="26">
          <cell r="B26">
            <v>5663</v>
          </cell>
          <cell r="C26" t="str">
            <v>Bussy-sur-Moudon</v>
          </cell>
          <cell r="D26">
            <v>246</v>
          </cell>
        </row>
        <row r="27">
          <cell r="B27">
            <v>5812</v>
          </cell>
          <cell r="C27" t="str">
            <v>Champtauroz</v>
          </cell>
          <cell r="D27">
            <v>169</v>
          </cell>
        </row>
        <row r="28">
          <cell r="B28">
            <v>5665</v>
          </cell>
          <cell r="C28" t="str">
            <v>Chavannes-sur-Moudon</v>
          </cell>
          <cell r="D28">
            <v>218</v>
          </cell>
        </row>
        <row r="29">
          <cell r="B29">
            <v>5813</v>
          </cell>
          <cell r="C29" t="str">
            <v>Chevroux</v>
          </cell>
          <cell r="D29">
            <v>522</v>
          </cell>
        </row>
        <row r="30">
          <cell r="B30">
            <v>5785</v>
          </cell>
          <cell r="C30" t="str">
            <v>Corcelles-le-Jorat</v>
          </cell>
          <cell r="D30">
            <v>485</v>
          </cell>
        </row>
        <row r="31">
          <cell r="B31">
            <v>5816</v>
          </cell>
          <cell r="C31" t="str">
            <v>Corcelles-près-Payerne</v>
          </cell>
          <cell r="D31">
            <v>2856</v>
          </cell>
        </row>
        <row r="32">
          <cell r="B32">
            <v>5456</v>
          </cell>
          <cell r="C32" t="str">
            <v>Cudrefin</v>
          </cell>
          <cell r="D32">
            <v>1876</v>
          </cell>
        </row>
        <row r="33">
          <cell r="B33">
            <v>5669</v>
          </cell>
          <cell r="C33" t="str">
            <v>Curtilles</v>
          </cell>
          <cell r="D33">
            <v>294</v>
          </cell>
        </row>
        <row r="34">
          <cell r="B34">
            <v>5671</v>
          </cell>
          <cell r="C34" t="str">
            <v>Dompierre</v>
          </cell>
          <cell r="D34">
            <v>248</v>
          </cell>
        </row>
        <row r="35">
          <cell r="B35">
            <v>5458</v>
          </cell>
          <cell r="C35" t="str">
            <v>Faoug</v>
          </cell>
          <cell r="D35">
            <v>903</v>
          </cell>
        </row>
        <row r="36">
          <cell r="B36">
            <v>5817</v>
          </cell>
          <cell r="C36" t="str">
            <v>Grandcour</v>
          </cell>
          <cell r="D36">
            <v>1001</v>
          </cell>
        </row>
        <row r="37">
          <cell r="B37">
            <v>5819</v>
          </cell>
          <cell r="C37" t="str">
            <v>Henniez</v>
          </cell>
          <cell r="D37">
            <v>414</v>
          </cell>
        </row>
        <row r="38">
          <cell r="B38">
            <v>5673</v>
          </cell>
          <cell r="C38" t="str">
            <v>Hermenches</v>
          </cell>
          <cell r="D38">
            <v>374</v>
          </cell>
        </row>
        <row r="39">
          <cell r="B39">
            <v>5674</v>
          </cell>
          <cell r="C39" t="str">
            <v>Lovatens</v>
          </cell>
          <cell r="D39">
            <v>143</v>
          </cell>
        </row>
        <row r="40">
          <cell r="B40">
            <v>5675</v>
          </cell>
          <cell r="C40" t="str">
            <v>Lucens</v>
          </cell>
          <cell r="D40">
            <v>4420</v>
          </cell>
        </row>
        <row r="41">
          <cell r="B41">
            <v>5821</v>
          </cell>
          <cell r="C41" t="str">
            <v>Missy</v>
          </cell>
          <cell r="D41">
            <v>387</v>
          </cell>
        </row>
        <row r="42">
          <cell r="B42">
            <v>5678</v>
          </cell>
          <cell r="C42" t="str">
            <v>Moudon</v>
          </cell>
          <cell r="D42">
            <v>6132</v>
          </cell>
        </row>
        <row r="43">
          <cell r="B43">
            <v>5822</v>
          </cell>
          <cell r="C43" t="str">
            <v>Payerne</v>
          </cell>
          <cell r="D43">
            <v>10372</v>
          </cell>
        </row>
        <row r="44">
          <cell r="B44">
            <v>5683</v>
          </cell>
          <cell r="C44" t="str">
            <v>Prévonloup</v>
          </cell>
          <cell r="D44">
            <v>220</v>
          </cell>
        </row>
        <row r="45">
          <cell r="B45">
            <v>5798</v>
          </cell>
          <cell r="C45" t="str">
            <v>Ropraz</v>
          </cell>
          <cell r="D45">
            <v>529</v>
          </cell>
        </row>
        <row r="46">
          <cell r="B46">
            <v>5684</v>
          </cell>
          <cell r="C46" t="str">
            <v>Rossenges</v>
          </cell>
          <cell r="D46">
            <v>93</v>
          </cell>
        </row>
        <row r="47">
          <cell r="B47">
            <v>5688</v>
          </cell>
          <cell r="C47" t="str">
            <v>Syens</v>
          </cell>
          <cell r="D47">
            <v>164</v>
          </cell>
        </row>
        <row r="48">
          <cell r="B48">
            <v>5827</v>
          </cell>
          <cell r="C48" t="str">
            <v>Trey</v>
          </cell>
          <cell r="D48">
            <v>302</v>
          </cell>
        </row>
        <row r="49">
          <cell r="B49">
            <v>5828</v>
          </cell>
          <cell r="C49" t="str">
            <v>Treytorrens</v>
          </cell>
          <cell r="D49">
            <v>105</v>
          </cell>
        </row>
        <row r="50">
          <cell r="B50">
            <v>5831</v>
          </cell>
          <cell r="C50" t="str">
            <v>Valbroye</v>
          </cell>
          <cell r="D50">
            <v>3361</v>
          </cell>
        </row>
        <row r="51">
          <cell r="B51">
            <v>5690</v>
          </cell>
          <cell r="C51" t="str">
            <v>Villars-le-Comte</v>
          </cell>
          <cell r="D51">
            <v>138</v>
          </cell>
        </row>
        <row r="52">
          <cell r="B52">
            <v>5830</v>
          </cell>
          <cell r="C52" t="str">
            <v>Villarzel</v>
          </cell>
          <cell r="D52">
            <v>486</v>
          </cell>
        </row>
        <row r="53">
          <cell r="B53">
            <v>5692</v>
          </cell>
          <cell r="C53" t="str">
            <v>Vucherens</v>
          </cell>
          <cell r="D53">
            <v>637</v>
          </cell>
        </row>
        <row r="54">
          <cell r="B54">
            <v>5803</v>
          </cell>
          <cell r="C54" t="str">
            <v>Vulliens</v>
          </cell>
          <cell r="D54">
            <v>632</v>
          </cell>
        </row>
        <row r="55">
          <cell r="B55">
            <v>5464</v>
          </cell>
          <cell r="C55" t="str">
            <v>Vully-les-Lacs</v>
          </cell>
          <cell r="D55">
            <v>3540</v>
          </cell>
        </row>
        <row r="56">
          <cell r="B56"/>
          <cell r="C56"/>
          <cell r="D56">
            <v>47155</v>
          </cell>
        </row>
        <row r="57">
          <cell r="B57">
            <v>5511</v>
          </cell>
          <cell r="C57" t="str">
            <v>Assens</v>
          </cell>
          <cell r="D57">
            <v>1669</v>
          </cell>
        </row>
        <row r="58">
          <cell r="B58">
            <v>5512</v>
          </cell>
          <cell r="C58" t="str">
            <v>Bercher</v>
          </cell>
          <cell r="D58">
            <v>1359</v>
          </cell>
        </row>
        <row r="59">
          <cell r="B59">
            <v>5471</v>
          </cell>
          <cell r="C59" t="str">
            <v>Bettens</v>
          </cell>
          <cell r="D59">
            <v>650</v>
          </cell>
        </row>
        <row r="60">
          <cell r="B60">
            <v>5514</v>
          </cell>
          <cell r="C60" t="str">
            <v>Bottens</v>
          </cell>
          <cell r="D60">
            <v>1356</v>
          </cell>
        </row>
        <row r="61">
          <cell r="B61">
            <v>5661</v>
          </cell>
          <cell r="C61" t="str">
            <v>Boulens</v>
          </cell>
          <cell r="D61">
            <v>383</v>
          </cell>
        </row>
        <row r="62">
          <cell r="B62">
            <v>5472</v>
          </cell>
          <cell r="C62" t="str">
            <v>Bournens</v>
          </cell>
          <cell r="D62">
            <v>514</v>
          </cell>
        </row>
        <row r="63">
          <cell r="B63">
            <v>5473</v>
          </cell>
          <cell r="C63" t="str">
            <v>Boussens</v>
          </cell>
          <cell r="D63">
            <v>1009</v>
          </cell>
        </row>
        <row r="64">
          <cell r="B64">
            <v>5515</v>
          </cell>
          <cell r="C64" t="str">
            <v>Bretigny-sur-Morrens</v>
          </cell>
          <cell r="D64">
            <v>878</v>
          </cell>
        </row>
        <row r="65">
          <cell r="B65">
            <v>5516</v>
          </cell>
          <cell r="C65" t="str">
            <v>Cugy</v>
          </cell>
          <cell r="D65">
            <v>2697</v>
          </cell>
        </row>
        <row r="66">
          <cell r="B66">
            <v>5480</v>
          </cell>
          <cell r="C66" t="str">
            <v>Daillens</v>
          </cell>
          <cell r="D66">
            <v>1057</v>
          </cell>
        </row>
        <row r="67">
          <cell r="B67">
            <v>5518</v>
          </cell>
          <cell r="C67" t="str">
            <v>Echallens</v>
          </cell>
          <cell r="D67">
            <v>5816</v>
          </cell>
        </row>
        <row r="68">
          <cell r="B68">
            <v>5520</v>
          </cell>
          <cell r="C68" t="str">
            <v>Essertines-sur-Yverdon</v>
          </cell>
          <cell r="D68">
            <v>1081</v>
          </cell>
        </row>
        <row r="69">
          <cell r="B69">
            <v>5521</v>
          </cell>
          <cell r="C69" t="str">
            <v>Etagnières</v>
          </cell>
          <cell r="D69">
            <v>1154</v>
          </cell>
        </row>
        <row r="70">
          <cell r="B70">
            <v>5522</v>
          </cell>
          <cell r="C70" t="str">
            <v>Fey</v>
          </cell>
          <cell r="D70">
            <v>736</v>
          </cell>
        </row>
        <row r="71">
          <cell r="B71">
            <v>5523</v>
          </cell>
          <cell r="C71" t="str">
            <v>Froideville</v>
          </cell>
          <cell r="D71">
            <v>2720</v>
          </cell>
        </row>
        <row r="72">
          <cell r="B72">
            <v>5541</v>
          </cell>
          <cell r="C72" t="str">
            <v>Goumoëns</v>
          </cell>
          <cell r="D72">
            <v>1175</v>
          </cell>
        </row>
        <row r="73">
          <cell r="B73">
            <v>5804</v>
          </cell>
          <cell r="C73" t="str">
            <v>Jorat-Menthue</v>
          </cell>
          <cell r="D73">
            <v>1565</v>
          </cell>
        </row>
        <row r="74">
          <cell r="B74">
            <v>5487</v>
          </cell>
          <cell r="C74" t="str">
            <v>Lussery-Villars</v>
          </cell>
          <cell r="D74">
            <v>482</v>
          </cell>
        </row>
        <row r="75">
          <cell r="B75">
            <v>5489</v>
          </cell>
          <cell r="C75" t="str">
            <v>Mex</v>
          </cell>
          <cell r="D75">
            <v>817</v>
          </cell>
        </row>
        <row r="76">
          <cell r="B76">
            <v>5693</v>
          </cell>
          <cell r="C76" t="str">
            <v>Montanaire</v>
          </cell>
          <cell r="D76">
            <v>2820</v>
          </cell>
        </row>
        <row r="77">
          <cell r="B77">
            <v>5540</v>
          </cell>
          <cell r="C77" t="str">
            <v>Montilliez</v>
          </cell>
          <cell r="D77">
            <v>1895</v>
          </cell>
        </row>
        <row r="78">
          <cell r="B78">
            <v>5527</v>
          </cell>
          <cell r="C78" t="str">
            <v>Morrens</v>
          </cell>
          <cell r="D78">
            <v>1172</v>
          </cell>
        </row>
        <row r="79">
          <cell r="B79">
            <v>5680</v>
          </cell>
          <cell r="C79" t="str">
            <v>Ogens</v>
          </cell>
          <cell r="D79">
            <v>324</v>
          </cell>
        </row>
        <row r="80">
          <cell r="B80">
            <v>5923</v>
          </cell>
          <cell r="C80" t="str">
            <v>Oppens</v>
          </cell>
          <cell r="D80">
            <v>202</v>
          </cell>
        </row>
        <row r="81">
          <cell r="B81">
            <v>5529</v>
          </cell>
          <cell r="C81" t="str">
            <v>Oulens-sous-Echallens</v>
          </cell>
          <cell r="D81">
            <v>606</v>
          </cell>
        </row>
        <row r="82">
          <cell r="B82">
            <v>5530</v>
          </cell>
          <cell r="C82" t="str">
            <v>Pailly</v>
          </cell>
          <cell r="D82">
            <v>566</v>
          </cell>
        </row>
        <row r="83">
          <cell r="B83">
            <v>5495</v>
          </cell>
          <cell r="C83" t="str">
            <v>Penthalaz</v>
          </cell>
          <cell r="D83">
            <v>3214</v>
          </cell>
        </row>
        <row r="84">
          <cell r="B84">
            <v>5496</v>
          </cell>
          <cell r="C84" t="str">
            <v>Penthaz</v>
          </cell>
          <cell r="D84">
            <v>1923</v>
          </cell>
        </row>
        <row r="85">
          <cell r="B85">
            <v>5531</v>
          </cell>
          <cell r="C85" t="str">
            <v>Penthéréaz</v>
          </cell>
          <cell r="D85">
            <v>433</v>
          </cell>
        </row>
        <row r="86">
          <cell r="B86">
            <v>5533</v>
          </cell>
          <cell r="C86" t="str">
            <v>Poliez-Pittet</v>
          </cell>
          <cell r="D86">
            <v>848</v>
          </cell>
        </row>
        <row r="87">
          <cell r="B87">
            <v>5534</v>
          </cell>
          <cell r="C87" t="str">
            <v>Rueyres</v>
          </cell>
          <cell r="D87">
            <v>303</v>
          </cell>
        </row>
        <row r="88">
          <cell r="B88">
            <v>5535</v>
          </cell>
          <cell r="C88" t="str">
            <v>Saint-Barthélemy</v>
          </cell>
          <cell r="D88">
            <v>814</v>
          </cell>
        </row>
        <row r="89">
          <cell r="B89">
            <v>5501</v>
          </cell>
          <cell r="C89" t="str">
            <v>Sullens</v>
          </cell>
          <cell r="D89">
            <v>1169</v>
          </cell>
        </row>
        <row r="90">
          <cell r="B90">
            <v>5537</v>
          </cell>
          <cell r="C90" t="str">
            <v>Villars-le-Terroir</v>
          </cell>
          <cell r="D90">
            <v>1308</v>
          </cell>
        </row>
        <row r="91">
          <cell r="B91">
            <v>5539</v>
          </cell>
          <cell r="C91" t="str">
            <v>Vuarrens</v>
          </cell>
          <cell r="D91">
            <v>1106</v>
          </cell>
        </row>
        <row r="92">
          <cell r="B92">
            <v>5503</v>
          </cell>
          <cell r="C92" t="str">
            <v>Vufflens-la-Ville</v>
          </cell>
          <cell r="D92">
            <v>1334</v>
          </cell>
        </row>
        <row r="93">
          <cell r="B93"/>
          <cell r="C93"/>
          <cell r="D93">
            <v>94580</v>
          </cell>
        </row>
        <row r="94">
          <cell r="B94">
            <v>5871</v>
          </cell>
          <cell r="C94" t="str">
            <v>L'Abbaye</v>
          </cell>
          <cell r="D94">
            <v>1534</v>
          </cell>
        </row>
        <row r="95">
          <cell r="B95">
            <v>5741</v>
          </cell>
          <cell r="C95" t="str">
            <v>L'Abergement</v>
          </cell>
          <cell r="D95">
            <v>260</v>
          </cell>
        </row>
        <row r="96">
          <cell r="B96">
            <v>5742</v>
          </cell>
          <cell r="C96" t="str">
            <v>Agiez</v>
          </cell>
          <cell r="D96">
            <v>381</v>
          </cell>
        </row>
        <row r="97">
          <cell r="B97">
            <v>5743</v>
          </cell>
          <cell r="C97" t="str">
            <v>Arnex-sur-Orbe</v>
          </cell>
          <cell r="D97">
            <v>692</v>
          </cell>
        </row>
        <row r="98">
          <cell r="B98">
            <v>5744</v>
          </cell>
          <cell r="C98" t="str">
            <v>Ballaigues</v>
          </cell>
          <cell r="D98">
            <v>1152</v>
          </cell>
        </row>
        <row r="99">
          <cell r="B99">
            <v>5745</v>
          </cell>
          <cell r="C99" t="str">
            <v>Baulmes</v>
          </cell>
          <cell r="D99">
            <v>1132</v>
          </cell>
        </row>
        <row r="100">
          <cell r="B100">
            <v>5746</v>
          </cell>
          <cell r="C100" t="str">
            <v>Bavois</v>
          </cell>
          <cell r="D100">
            <v>1009</v>
          </cell>
        </row>
        <row r="101">
          <cell r="B101">
            <v>5902</v>
          </cell>
          <cell r="C101" t="str">
            <v>Belmont-sur-Yverdon</v>
          </cell>
          <cell r="D101">
            <v>434</v>
          </cell>
        </row>
        <row r="102">
          <cell r="B102">
            <v>5903</v>
          </cell>
          <cell r="C102" t="str">
            <v>Bioley-Magnoux</v>
          </cell>
          <cell r="D102">
            <v>247</v>
          </cell>
        </row>
        <row r="103">
          <cell r="B103">
            <v>5747</v>
          </cell>
          <cell r="C103" t="str">
            <v>Bofflens</v>
          </cell>
          <cell r="D103">
            <v>204</v>
          </cell>
        </row>
        <row r="104">
          <cell r="B104">
            <v>5551</v>
          </cell>
          <cell r="C104" t="str">
            <v>Bonvillars</v>
          </cell>
          <cell r="D104">
            <v>501</v>
          </cell>
        </row>
        <row r="105">
          <cell r="B105">
            <v>5748</v>
          </cell>
          <cell r="C105" t="str">
            <v>Bretonnières</v>
          </cell>
          <cell r="D105">
            <v>264</v>
          </cell>
        </row>
        <row r="106">
          <cell r="B106">
            <v>5552</v>
          </cell>
          <cell r="C106" t="str">
            <v>Bullet</v>
          </cell>
          <cell r="D106">
            <v>651</v>
          </cell>
        </row>
        <row r="107">
          <cell r="B107">
            <v>5904</v>
          </cell>
          <cell r="C107" t="str">
            <v>Chamblon</v>
          </cell>
          <cell r="D107">
            <v>567</v>
          </cell>
        </row>
        <row r="108">
          <cell r="B108">
            <v>5553</v>
          </cell>
          <cell r="C108" t="str">
            <v>Champagne</v>
          </cell>
          <cell r="D108">
            <v>1077</v>
          </cell>
        </row>
        <row r="109">
          <cell r="B109">
            <v>5905</v>
          </cell>
          <cell r="C109" t="str">
            <v>Champvent</v>
          </cell>
          <cell r="D109">
            <v>734</v>
          </cell>
        </row>
        <row r="110">
          <cell r="B110">
            <v>5907</v>
          </cell>
          <cell r="C110" t="str">
            <v>Chavannes-le-Chêne</v>
          </cell>
          <cell r="D110">
            <v>316</v>
          </cell>
        </row>
        <row r="111">
          <cell r="B111">
            <v>5749</v>
          </cell>
          <cell r="C111" t="str">
            <v>Chavornay</v>
          </cell>
          <cell r="D111">
            <v>5405</v>
          </cell>
        </row>
        <row r="112">
          <cell r="B112">
            <v>5908</v>
          </cell>
          <cell r="C112" t="str">
            <v>Chêne-Pâquier</v>
          </cell>
          <cell r="D112">
            <v>163</v>
          </cell>
        </row>
        <row r="113">
          <cell r="B113">
            <v>5872</v>
          </cell>
          <cell r="C113" t="str">
            <v>Le Chenit</v>
          </cell>
          <cell r="D113">
            <v>4613</v>
          </cell>
        </row>
        <row r="114">
          <cell r="B114">
            <v>5909</v>
          </cell>
          <cell r="C114" t="str">
            <v>Cheseaux-Noréaz</v>
          </cell>
          <cell r="D114">
            <v>734</v>
          </cell>
        </row>
        <row r="115">
          <cell r="B115">
            <v>5750</v>
          </cell>
          <cell r="C115" t="str">
            <v>Les Clées</v>
          </cell>
          <cell r="D115">
            <v>186</v>
          </cell>
        </row>
        <row r="116">
          <cell r="B116">
            <v>5554</v>
          </cell>
          <cell r="C116" t="str">
            <v>Concise</v>
          </cell>
          <cell r="D116">
            <v>1002</v>
          </cell>
        </row>
        <row r="117">
          <cell r="B117">
            <v>5555</v>
          </cell>
          <cell r="C117" t="str">
            <v>Corcelles-près-Concise</v>
          </cell>
          <cell r="D117">
            <v>412</v>
          </cell>
        </row>
        <row r="118">
          <cell r="B118">
            <v>5910</v>
          </cell>
          <cell r="C118" t="str">
            <v>Cronay</v>
          </cell>
          <cell r="D118">
            <v>410</v>
          </cell>
        </row>
        <row r="119">
          <cell r="B119">
            <v>5752</v>
          </cell>
          <cell r="C119" t="str">
            <v>Croy</v>
          </cell>
          <cell r="D119">
            <v>386</v>
          </cell>
        </row>
        <row r="120">
          <cell r="B120">
            <v>5911</v>
          </cell>
          <cell r="C120" t="str">
            <v>Cuarny</v>
          </cell>
          <cell r="D120">
            <v>236</v>
          </cell>
        </row>
        <row r="121">
          <cell r="B121">
            <v>5912</v>
          </cell>
          <cell r="C121" t="str">
            <v>Démoret</v>
          </cell>
          <cell r="D121">
            <v>167</v>
          </cell>
        </row>
        <row r="122">
          <cell r="B122">
            <v>5913</v>
          </cell>
          <cell r="C122" t="str">
            <v>Donneloye</v>
          </cell>
          <cell r="D122">
            <v>905</v>
          </cell>
        </row>
        <row r="123">
          <cell r="B123">
            <v>5914</v>
          </cell>
          <cell r="C123" t="str">
            <v>Ependes</v>
          </cell>
          <cell r="D123">
            <v>372</v>
          </cell>
        </row>
        <row r="124">
          <cell r="B124">
            <v>5556</v>
          </cell>
          <cell r="C124" t="str">
            <v>Fiez</v>
          </cell>
          <cell r="D124">
            <v>436</v>
          </cell>
        </row>
        <row r="125">
          <cell r="B125">
            <v>5557</v>
          </cell>
          <cell r="C125" t="str">
            <v>Fontaines-sur-Grandson</v>
          </cell>
          <cell r="D125">
            <v>214</v>
          </cell>
        </row>
        <row r="126">
          <cell r="B126">
            <v>5559</v>
          </cell>
          <cell r="C126" t="str">
            <v>Giez</v>
          </cell>
          <cell r="D126">
            <v>450</v>
          </cell>
        </row>
        <row r="127">
          <cell r="B127">
            <v>5560</v>
          </cell>
          <cell r="C127" t="str">
            <v>Grandevent</v>
          </cell>
          <cell r="D127">
            <v>237</v>
          </cell>
        </row>
        <row r="128">
          <cell r="B128">
            <v>5561</v>
          </cell>
          <cell r="C128" t="str">
            <v>Grandson</v>
          </cell>
          <cell r="D128">
            <v>3358</v>
          </cell>
        </row>
        <row r="129">
          <cell r="B129">
            <v>5754</v>
          </cell>
          <cell r="C129" t="str">
            <v>Juriens</v>
          </cell>
          <cell r="D129">
            <v>346</v>
          </cell>
        </row>
        <row r="130">
          <cell r="B130">
            <v>5873</v>
          </cell>
          <cell r="C130" t="str">
            <v>Le Lieu</v>
          </cell>
          <cell r="D130">
            <v>886</v>
          </cell>
        </row>
        <row r="131">
          <cell r="B131">
            <v>5755</v>
          </cell>
          <cell r="C131" t="str">
            <v>Lignerolle</v>
          </cell>
          <cell r="D131">
            <v>447</v>
          </cell>
        </row>
        <row r="132">
          <cell r="B132">
            <v>5919</v>
          </cell>
          <cell r="C132" t="str">
            <v>Mathod</v>
          </cell>
          <cell r="D132">
            <v>684</v>
          </cell>
        </row>
        <row r="133">
          <cell r="B133">
            <v>5562</v>
          </cell>
          <cell r="C133" t="str">
            <v>Mauborget</v>
          </cell>
          <cell r="D133">
            <v>138</v>
          </cell>
        </row>
        <row r="134">
          <cell r="B134">
            <v>5921</v>
          </cell>
          <cell r="C134" t="str">
            <v>Molondin</v>
          </cell>
          <cell r="D134">
            <v>257</v>
          </cell>
        </row>
        <row r="135">
          <cell r="B135">
            <v>5922</v>
          </cell>
          <cell r="C135" t="str">
            <v>Montagny-près-Yverdon</v>
          </cell>
          <cell r="D135">
            <v>770</v>
          </cell>
        </row>
        <row r="136">
          <cell r="B136">
            <v>5756</v>
          </cell>
          <cell r="C136" t="str">
            <v>Montcherand</v>
          </cell>
          <cell r="D136">
            <v>496</v>
          </cell>
        </row>
        <row r="137">
          <cell r="B137">
            <v>5563</v>
          </cell>
          <cell r="C137" t="str">
            <v>Mutrux</v>
          </cell>
          <cell r="D137">
            <v>151</v>
          </cell>
        </row>
        <row r="138">
          <cell r="B138">
            <v>5564</v>
          </cell>
          <cell r="C138" t="str">
            <v>Novalles</v>
          </cell>
          <cell r="D138">
            <v>99</v>
          </cell>
        </row>
        <row r="139">
          <cell r="B139">
            <v>5565</v>
          </cell>
          <cell r="C139" t="str">
            <v>Onnens</v>
          </cell>
          <cell r="D139">
            <v>496</v>
          </cell>
        </row>
        <row r="140">
          <cell r="B140">
            <v>5757</v>
          </cell>
          <cell r="C140" t="str">
            <v>Orbe</v>
          </cell>
          <cell r="D140">
            <v>7617</v>
          </cell>
        </row>
        <row r="141">
          <cell r="B141">
            <v>5924</v>
          </cell>
          <cell r="C141" t="str">
            <v>Orges</v>
          </cell>
          <cell r="D141">
            <v>407</v>
          </cell>
        </row>
        <row r="142">
          <cell r="B142">
            <v>5925</v>
          </cell>
          <cell r="C142" t="str">
            <v>Orzens</v>
          </cell>
          <cell r="D142">
            <v>212</v>
          </cell>
        </row>
        <row r="143">
          <cell r="B143">
            <v>5926</v>
          </cell>
          <cell r="C143" t="str">
            <v>Pomy</v>
          </cell>
          <cell r="D143">
            <v>868</v>
          </cell>
        </row>
        <row r="144">
          <cell r="B144">
            <v>5758</v>
          </cell>
          <cell r="C144" t="str">
            <v>La Praz</v>
          </cell>
          <cell r="D144">
            <v>183</v>
          </cell>
        </row>
        <row r="145">
          <cell r="B145">
            <v>5759</v>
          </cell>
          <cell r="C145" t="str">
            <v>Premier</v>
          </cell>
          <cell r="D145">
            <v>236</v>
          </cell>
        </row>
        <row r="146">
          <cell r="B146">
            <v>5566</v>
          </cell>
          <cell r="C146" t="str">
            <v>Provence</v>
          </cell>
          <cell r="D146">
            <v>403</v>
          </cell>
        </row>
        <row r="147">
          <cell r="B147">
            <v>5760</v>
          </cell>
          <cell r="C147" t="str">
            <v>Rances</v>
          </cell>
          <cell r="D147">
            <v>521</v>
          </cell>
        </row>
        <row r="148">
          <cell r="B148">
            <v>5761</v>
          </cell>
          <cell r="C148" t="str">
            <v>Romainmôtier-Envy</v>
          </cell>
          <cell r="D148">
            <v>559</v>
          </cell>
        </row>
        <row r="149">
          <cell r="B149">
            <v>5928</v>
          </cell>
          <cell r="C149" t="str">
            <v>Rovray</v>
          </cell>
          <cell r="D149">
            <v>197</v>
          </cell>
        </row>
        <row r="150">
          <cell r="B150">
            <v>5568</v>
          </cell>
          <cell r="C150" t="str">
            <v>Sainte-Croix</v>
          </cell>
          <cell r="D150">
            <v>4869</v>
          </cell>
        </row>
        <row r="151">
          <cell r="B151">
            <v>5762</v>
          </cell>
          <cell r="C151" t="str">
            <v>Sergey</v>
          </cell>
          <cell r="D151">
            <v>140</v>
          </cell>
        </row>
        <row r="152">
          <cell r="B152">
            <v>5929</v>
          </cell>
          <cell r="C152" t="str">
            <v>Suchy</v>
          </cell>
          <cell r="D152">
            <v>671</v>
          </cell>
        </row>
        <row r="153">
          <cell r="B153">
            <v>5930</v>
          </cell>
          <cell r="C153" t="str">
            <v>Suscévaz</v>
          </cell>
          <cell r="D153">
            <v>220</v>
          </cell>
        </row>
        <row r="154">
          <cell r="B154">
            <v>5571</v>
          </cell>
          <cell r="C154" t="str">
            <v>Tévenon</v>
          </cell>
          <cell r="D154">
            <v>867</v>
          </cell>
        </row>
        <row r="155">
          <cell r="B155">
            <v>5931</v>
          </cell>
          <cell r="C155" t="str">
            <v>Treycovagnes</v>
          </cell>
          <cell r="D155">
            <v>520</v>
          </cell>
        </row>
        <row r="156">
          <cell r="B156">
            <v>5932</v>
          </cell>
          <cell r="C156" t="str">
            <v>Ursins</v>
          </cell>
          <cell r="D156">
            <v>230</v>
          </cell>
        </row>
        <row r="157">
          <cell r="B157">
            <v>5933</v>
          </cell>
          <cell r="C157" t="str">
            <v>Valeyres-sous-Montagny</v>
          </cell>
          <cell r="D157">
            <v>703</v>
          </cell>
        </row>
        <row r="158">
          <cell r="B158">
            <v>5763</v>
          </cell>
          <cell r="C158" t="str">
            <v>Valeyres-sous-Rances</v>
          </cell>
          <cell r="D158">
            <v>606</v>
          </cell>
        </row>
        <row r="159">
          <cell r="B159">
            <v>5934</v>
          </cell>
          <cell r="C159" t="str">
            <v>Valeyres-sous-Ursins</v>
          </cell>
          <cell r="D159">
            <v>241</v>
          </cell>
        </row>
        <row r="160">
          <cell r="B160">
            <v>5764</v>
          </cell>
          <cell r="C160" t="str">
            <v>Vallorbe</v>
          </cell>
          <cell r="D160">
            <v>3987</v>
          </cell>
        </row>
        <row r="161">
          <cell r="B161">
            <v>5765</v>
          </cell>
          <cell r="C161" t="str">
            <v>Vaulion</v>
          </cell>
          <cell r="D161">
            <v>483</v>
          </cell>
        </row>
        <row r="162">
          <cell r="B162">
            <v>5935</v>
          </cell>
          <cell r="C162" t="str">
            <v>Villars-Epeney</v>
          </cell>
          <cell r="D162">
            <v>92</v>
          </cell>
        </row>
        <row r="163">
          <cell r="B163">
            <v>5937</v>
          </cell>
          <cell r="C163" t="str">
            <v>Vugelles-La Mothe</v>
          </cell>
          <cell r="D163">
            <v>137</v>
          </cell>
        </row>
        <row r="164">
          <cell r="B164">
            <v>5766</v>
          </cell>
          <cell r="C164" t="str">
            <v>Vuiteboeuf</v>
          </cell>
          <cell r="D164">
            <v>592</v>
          </cell>
        </row>
        <row r="165">
          <cell r="B165">
            <v>5938</v>
          </cell>
          <cell r="C165" t="str">
            <v>Yverdon-les-Bains</v>
          </cell>
          <cell r="D165">
            <v>29877</v>
          </cell>
        </row>
        <row r="166">
          <cell r="B166">
            <v>5939</v>
          </cell>
          <cell r="C166" t="str">
            <v>Yvonand</v>
          </cell>
          <cell r="D166">
            <v>3531</v>
          </cell>
        </row>
        <row r="167">
          <cell r="B167"/>
          <cell r="C167"/>
          <cell r="D167">
            <v>170426</v>
          </cell>
        </row>
        <row r="168">
          <cell r="B168">
            <v>5582</v>
          </cell>
          <cell r="C168" t="str">
            <v>Cheseaux-sur-Lausanne</v>
          </cell>
          <cell r="D168">
            <v>4525</v>
          </cell>
        </row>
        <row r="169">
          <cell r="B169">
            <v>5584</v>
          </cell>
          <cell r="C169" t="str">
            <v>Epalinges</v>
          </cell>
          <cell r="D169">
            <v>9825</v>
          </cell>
        </row>
        <row r="170">
          <cell r="B170">
            <v>5585</v>
          </cell>
          <cell r="C170" t="str">
            <v>Jouxtens-Mézery</v>
          </cell>
          <cell r="D170">
            <v>1468</v>
          </cell>
        </row>
        <row r="171">
          <cell r="B171">
            <v>5586</v>
          </cell>
          <cell r="C171" t="str">
            <v>Lausanne</v>
          </cell>
          <cell r="D171">
            <v>141513</v>
          </cell>
        </row>
        <row r="172">
          <cell r="B172">
            <v>5587</v>
          </cell>
          <cell r="C172" t="str">
            <v>Le Mont-sur-Lausanne</v>
          </cell>
          <cell r="D172">
            <v>9297</v>
          </cell>
        </row>
        <row r="173">
          <cell r="B173">
            <v>5592</v>
          </cell>
          <cell r="C173" t="str">
            <v>Romanel-sur-Lausanne</v>
          </cell>
          <cell r="D173">
            <v>3798</v>
          </cell>
        </row>
        <row r="174">
          <cell r="B174"/>
          <cell r="C174"/>
          <cell r="D174">
            <v>64479</v>
          </cell>
        </row>
        <row r="175">
          <cell r="B175">
            <v>5581</v>
          </cell>
          <cell r="C175" t="str">
            <v>Belmont-sur-Lausanne</v>
          </cell>
          <cell r="D175">
            <v>3835</v>
          </cell>
        </row>
        <row r="176">
          <cell r="B176">
            <v>5613</v>
          </cell>
          <cell r="C176" t="str">
            <v>Bourg-en-Lavaux</v>
          </cell>
          <cell r="D176">
            <v>5389</v>
          </cell>
        </row>
        <row r="177">
          <cell r="B177">
            <v>5601</v>
          </cell>
          <cell r="C177" t="str">
            <v>Chexbres</v>
          </cell>
          <cell r="D177">
            <v>2204</v>
          </cell>
        </row>
        <row r="178">
          <cell r="B178">
            <v>5604</v>
          </cell>
          <cell r="C178" t="str">
            <v>Forel (Lavaux)</v>
          </cell>
          <cell r="D178">
            <v>2067</v>
          </cell>
        </row>
        <row r="179">
          <cell r="B179">
            <v>5806</v>
          </cell>
          <cell r="C179" t="str">
            <v>Jorat-Mézières</v>
          </cell>
          <cell r="D179">
            <v>3110</v>
          </cell>
        </row>
        <row r="180">
          <cell r="B180">
            <v>5606</v>
          </cell>
          <cell r="C180" t="str">
            <v>Lutry</v>
          </cell>
          <cell r="D180">
            <v>10713</v>
          </cell>
        </row>
        <row r="181">
          <cell r="B181">
            <v>5790</v>
          </cell>
          <cell r="C181" t="str">
            <v>Maracon</v>
          </cell>
          <cell r="D181">
            <v>544</v>
          </cell>
        </row>
        <row r="182">
          <cell r="B182">
            <v>5792</v>
          </cell>
          <cell r="C182" t="str">
            <v>Montpreveyres</v>
          </cell>
          <cell r="D182">
            <v>661</v>
          </cell>
        </row>
        <row r="183">
          <cell r="B183">
            <v>5805</v>
          </cell>
          <cell r="C183" t="str">
            <v>Oron</v>
          </cell>
          <cell r="D183">
            <v>6119</v>
          </cell>
        </row>
        <row r="184">
          <cell r="B184">
            <v>5588</v>
          </cell>
          <cell r="C184" t="str">
            <v>Paudex</v>
          </cell>
          <cell r="D184">
            <v>1550</v>
          </cell>
        </row>
        <row r="185">
          <cell r="B185">
            <v>5607</v>
          </cell>
          <cell r="C185" t="str">
            <v>Puidoux</v>
          </cell>
          <cell r="D185">
            <v>2991</v>
          </cell>
        </row>
        <row r="186">
          <cell r="B186">
            <v>5590</v>
          </cell>
          <cell r="C186" t="str">
            <v>Pully</v>
          </cell>
          <cell r="D186">
            <v>19005</v>
          </cell>
        </row>
        <row r="187">
          <cell r="B187">
            <v>5609</v>
          </cell>
          <cell r="C187" t="str">
            <v>Rivaz</v>
          </cell>
          <cell r="D187">
            <v>332</v>
          </cell>
        </row>
        <row r="188">
          <cell r="B188">
            <v>5610</v>
          </cell>
          <cell r="C188" t="str">
            <v>St-Saphorin (Lavaux)</v>
          </cell>
          <cell r="D188">
            <v>402</v>
          </cell>
        </row>
        <row r="189">
          <cell r="B189">
            <v>5611</v>
          </cell>
          <cell r="C189" t="str">
            <v>Savigny</v>
          </cell>
          <cell r="D189">
            <v>3421</v>
          </cell>
        </row>
        <row r="190">
          <cell r="B190">
            <v>5799</v>
          </cell>
          <cell r="C190" t="str">
            <v>Servion</v>
          </cell>
          <cell r="D190">
            <v>2136</v>
          </cell>
        </row>
        <row r="191">
          <cell r="B191"/>
          <cell r="C191"/>
          <cell r="D191">
            <v>87249</v>
          </cell>
        </row>
        <row r="192">
          <cell r="B192">
            <v>5621</v>
          </cell>
          <cell r="C192" t="str">
            <v>Aclens</v>
          </cell>
          <cell r="D192">
            <v>557</v>
          </cell>
        </row>
        <row r="193">
          <cell r="B193">
            <v>5851</v>
          </cell>
          <cell r="C193" t="str">
            <v>Allaman</v>
          </cell>
          <cell r="D193">
            <v>420</v>
          </cell>
        </row>
        <row r="194">
          <cell r="B194">
            <v>5422</v>
          </cell>
          <cell r="C194" t="str">
            <v>Aubonne</v>
          </cell>
          <cell r="D194">
            <v>3792</v>
          </cell>
        </row>
        <row r="195">
          <cell r="B195">
            <v>5423</v>
          </cell>
          <cell r="C195" t="str">
            <v>Ballens</v>
          </cell>
          <cell r="D195">
            <v>590</v>
          </cell>
        </row>
        <row r="196">
          <cell r="B196">
            <v>5424</v>
          </cell>
          <cell r="C196" t="str">
            <v>Berolle</v>
          </cell>
          <cell r="D196">
            <v>303</v>
          </cell>
        </row>
        <row r="197">
          <cell r="B197">
            <v>5425</v>
          </cell>
          <cell r="C197" t="str">
            <v>Bière</v>
          </cell>
          <cell r="D197">
            <v>1683</v>
          </cell>
        </row>
        <row r="198">
          <cell r="B198">
            <v>5426</v>
          </cell>
          <cell r="C198" t="str">
            <v>Bougy-Villars</v>
          </cell>
          <cell r="D198">
            <v>506</v>
          </cell>
        </row>
        <row r="199">
          <cell r="B199">
            <v>5622</v>
          </cell>
          <cell r="C199" t="str">
            <v>Bremblens</v>
          </cell>
          <cell r="D199">
            <v>604</v>
          </cell>
        </row>
        <row r="200">
          <cell r="B200">
            <v>5623</v>
          </cell>
          <cell r="C200" t="str">
            <v>Buchillon</v>
          </cell>
          <cell r="D200">
            <v>670</v>
          </cell>
        </row>
        <row r="201">
          <cell r="B201">
            <v>5474</v>
          </cell>
          <cell r="C201" t="str">
            <v>La Chaux (Cossonay)</v>
          </cell>
          <cell r="D201">
            <v>412</v>
          </cell>
        </row>
        <row r="202">
          <cell r="B202">
            <v>5475</v>
          </cell>
          <cell r="C202" t="str">
            <v>Chavannes-le-Veyron</v>
          </cell>
          <cell r="D202">
            <v>163</v>
          </cell>
        </row>
        <row r="203">
          <cell r="B203">
            <v>5476</v>
          </cell>
          <cell r="C203" t="str">
            <v>Chevilly</v>
          </cell>
          <cell r="D203">
            <v>331</v>
          </cell>
        </row>
        <row r="204">
          <cell r="B204">
            <v>5628</v>
          </cell>
          <cell r="C204" t="str">
            <v>Chigny</v>
          </cell>
          <cell r="D204">
            <v>419</v>
          </cell>
        </row>
        <row r="205">
          <cell r="B205">
            <v>5629</v>
          </cell>
          <cell r="C205" t="str">
            <v>Clarmont</v>
          </cell>
          <cell r="D205">
            <v>213</v>
          </cell>
        </row>
        <row r="206">
          <cell r="B206">
            <v>5477</v>
          </cell>
          <cell r="C206" t="str">
            <v>Cossonay</v>
          </cell>
          <cell r="D206">
            <v>4389</v>
          </cell>
        </row>
        <row r="207">
          <cell r="B207">
            <v>5479</v>
          </cell>
          <cell r="C207" t="str">
            <v>Cuarnens</v>
          </cell>
          <cell r="D207">
            <v>545</v>
          </cell>
        </row>
        <row r="208">
          <cell r="B208">
            <v>5631</v>
          </cell>
          <cell r="C208" t="str">
            <v>Denens</v>
          </cell>
          <cell r="D208">
            <v>715</v>
          </cell>
        </row>
        <row r="209">
          <cell r="B209">
            <v>5632</v>
          </cell>
          <cell r="C209" t="str">
            <v>Denges</v>
          </cell>
          <cell r="D209">
            <v>1778</v>
          </cell>
        </row>
        <row r="210">
          <cell r="B210">
            <v>5481</v>
          </cell>
          <cell r="C210" t="str">
            <v>Dizy</v>
          </cell>
          <cell r="D210">
            <v>232</v>
          </cell>
        </row>
        <row r="211">
          <cell r="B211">
            <v>5633</v>
          </cell>
          <cell r="C211" t="str">
            <v>Echandens</v>
          </cell>
          <cell r="D211">
            <v>2891</v>
          </cell>
        </row>
        <row r="212">
          <cell r="B212">
            <v>5634</v>
          </cell>
          <cell r="C212" t="str">
            <v>Echichens</v>
          </cell>
          <cell r="D212">
            <v>3211</v>
          </cell>
        </row>
        <row r="213">
          <cell r="B213">
            <v>5482</v>
          </cell>
          <cell r="C213" t="str">
            <v>Eclépens</v>
          </cell>
          <cell r="D213">
            <v>1199</v>
          </cell>
        </row>
        <row r="214">
          <cell r="B214">
            <v>5636</v>
          </cell>
          <cell r="C214" t="str">
            <v>Etoy</v>
          </cell>
          <cell r="D214">
            <v>2938</v>
          </cell>
        </row>
        <row r="215">
          <cell r="B215">
            <v>5427</v>
          </cell>
          <cell r="C215" t="str">
            <v>Féchy</v>
          </cell>
          <cell r="D215">
            <v>887</v>
          </cell>
        </row>
        <row r="216">
          <cell r="B216">
            <v>5483</v>
          </cell>
          <cell r="C216" t="str">
            <v>Ferreyres</v>
          </cell>
          <cell r="D216">
            <v>308</v>
          </cell>
        </row>
        <row r="217">
          <cell r="B217">
            <v>5428</v>
          </cell>
          <cell r="C217" t="str">
            <v>Gimel</v>
          </cell>
          <cell r="D217">
            <v>2414</v>
          </cell>
        </row>
        <row r="218">
          <cell r="B218">
            <v>5484</v>
          </cell>
          <cell r="C218" t="str">
            <v>Gollion</v>
          </cell>
          <cell r="D218">
            <v>1033</v>
          </cell>
        </row>
        <row r="219">
          <cell r="B219">
            <v>5485</v>
          </cell>
          <cell r="C219" t="str">
            <v>Grancy</v>
          </cell>
          <cell r="D219">
            <v>489</v>
          </cell>
        </row>
        <row r="220">
          <cell r="B220">
            <v>5656</v>
          </cell>
          <cell r="C220" t="str">
            <v>Hautemorges</v>
          </cell>
          <cell r="D220">
            <v>4257</v>
          </cell>
        </row>
        <row r="221">
          <cell r="B221">
            <v>5486</v>
          </cell>
          <cell r="C221" t="str">
            <v>L'Isle</v>
          </cell>
          <cell r="D221">
            <v>1095</v>
          </cell>
        </row>
        <row r="222">
          <cell r="B222">
            <v>5637</v>
          </cell>
          <cell r="C222" t="str">
            <v>Lavigny</v>
          </cell>
          <cell r="D222">
            <v>1038</v>
          </cell>
        </row>
        <row r="223">
          <cell r="B223">
            <v>5638</v>
          </cell>
          <cell r="C223" t="str">
            <v>Lonay</v>
          </cell>
          <cell r="D223">
            <v>2675</v>
          </cell>
        </row>
        <row r="224">
          <cell r="B224">
            <v>5639</v>
          </cell>
          <cell r="C224" t="str">
            <v>Lully</v>
          </cell>
          <cell r="D224">
            <v>825</v>
          </cell>
        </row>
        <row r="225">
          <cell r="B225">
            <v>5640</v>
          </cell>
          <cell r="C225" t="str">
            <v>Lussy-sur-Morges</v>
          </cell>
          <cell r="D225">
            <v>730</v>
          </cell>
        </row>
        <row r="226">
          <cell r="B226">
            <v>5488</v>
          </cell>
          <cell r="C226" t="str">
            <v>Mauraz</v>
          </cell>
          <cell r="D226">
            <v>65</v>
          </cell>
        </row>
        <row r="227">
          <cell r="B227">
            <v>5490</v>
          </cell>
          <cell r="C227" t="str">
            <v>Moiry</v>
          </cell>
          <cell r="D227">
            <v>296</v>
          </cell>
        </row>
        <row r="228">
          <cell r="B228">
            <v>5431</v>
          </cell>
          <cell r="C228" t="str">
            <v>Mollens</v>
          </cell>
          <cell r="D228">
            <v>324</v>
          </cell>
        </row>
        <row r="229">
          <cell r="B229">
            <v>5491</v>
          </cell>
          <cell r="C229" t="str">
            <v>Mont-la-Ville</v>
          </cell>
          <cell r="D229">
            <v>502</v>
          </cell>
        </row>
        <row r="230">
          <cell r="B230">
            <v>5492</v>
          </cell>
          <cell r="C230" t="str">
            <v>Montricher</v>
          </cell>
          <cell r="D230">
            <v>978</v>
          </cell>
        </row>
        <row r="231">
          <cell r="B231">
            <v>5642</v>
          </cell>
          <cell r="C231" t="str">
            <v>Morges</v>
          </cell>
          <cell r="D231">
            <v>17530</v>
          </cell>
        </row>
        <row r="232">
          <cell r="B232">
            <v>5493</v>
          </cell>
          <cell r="C232" t="str">
            <v>Orny</v>
          </cell>
          <cell r="D232">
            <v>484</v>
          </cell>
        </row>
        <row r="233">
          <cell r="B233">
            <v>5497</v>
          </cell>
          <cell r="C233" t="str">
            <v>Pompaples</v>
          </cell>
          <cell r="D233">
            <v>860</v>
          </cell>
        </row>
        <row r="234">
          <cell r="B234">
            <v>5643</v>
          </cell>
          <cell r="C234" t="str">
            <v>Préverenges</v>
          </cell>
          <cell r="D234">
            <v>5209</v>
          </cell>
        </row>
        <row r="235">
          <cell r="B235">
            <v>5645</v>
          </cell>
          <cell r="C235" t="str">
            <v>Romanel-sur-Morges</v>
          </cell>
          <cell r="D235">
            <v>458</v>
          </cell>
        </row>
        <row r="236">
          <cell r="B236">
            <v>5435</v>
          </cell>
          <cell r="C236" t="str">
            <v>Saint-Livres</v>
          </cell>
          <cell r="D236">
            <v>697</v>
          </cell>
        </row>
        <row r="237">
          <cell r="B237">
            <v>5436</v>
          </cell>
          <cell r="C237" t="str">
            <v>Saint-Oyens</v>
          </cell>
          <cell r="D237">
            <v>456</v>
          </cell>
        </row>
        <row r="238">
          <cell r="B238">
            <v>5646</v>
          </cell>
          <cell r="C238" t="str">
            <v>Saint-Prex</v>
          </cell>
          <cell r="D238">
            <v>5876</v>
          </cell>
        </row>
        <row r="239">
          <cell r="B239">
            <v>5498</v>
          </cell>
          <cell r="C239" t="str">
            <v>La Sarraz</v>
          </cell>
          <cell r="D239">
            <v>2608</v>
          </cell>
        </row>
        <row r="240">
          <cell r="B240">
            <v>5437</v>
          </cell>
          <cell r="C240" t="str">
            <v>Saubraz</v>
          </cell>
          <cell r="D240">
            <v>449</v>
          </cell>
        </row>
        <row r="241">
          <cell r="B241">
            <v>5499</v>
          </cell>
          <cell r="C241" t="str">
            <v>Senarclens</v>
          </cell>
          <cell r="D241">
            <v>496</v>
          </cell>
        </row>
        <row r="242">
          <cell r="B242">
            <v>5649</v>
          </cell>
          <cell r="C242" t="str">
            <v>Tolochenaz</v>
          </cell>
          <cell r="D242">
            <v>1890</v>
          </cell>
        </row>
        <row r="243">
          <cell r="B243">
            <v>5650</v>
          </cell>
          <cell r="C243" t="str">
            <v>Vaux-sur-Morges</v>
          </cell>
          <cell r="D243">
            <v>185</v>
          </cell>
        </row>
        <row r="244">
          <cell r="B244">
            <v>5652</v>
          </cell>
          <cell r="C244" t="str">
            <v>Villars-sous-Yens</v>
          </cell>
          <cell r="D244">
            <v>615</v>
          </cell>
        </row>
        <row r="245">
          <cell r="B245">
            <v>5653</v>
          </cell>
          <cell r="C245" t="str">
            <v>Vufflens-le-Château</v>
          </cell>
          <cell r="D245">
            <v>884</v>
          </cell>
        </row>
        <row r="246">
          <cell r="B246">
            <v>5654</v>
          </cell>
          <cell r="C246" t="str">
            <v>Vullierens</v>
          </cell>
          <cell r="D246">
            <v>562</v>
          </cell>
        </row>
        <row r="247">
          <cell r="B247">
            <v>5655</v>
          </cell>
          <cell r="C247" t="str">
            <v>Yens</v>
          </cell>
          <cell r="D247">
            <v>1513</v>
          </cell>
        </row>
        <row r="248">
          <cell r="B248"/>
          <cell r="C248"/>
          <cell r="D248">
            <v>105290</v>
          </cell>
        </row>
        <row r="249">
          <cell r="B249">
            <v>5701</v>
          </cell>
          <cell r="C249" t="str">
            <v>Arnex-sur-Nyon</v>
          </cell>
          <cell r="D249">
            <v>240</v>
          </cell>
        </row>
        <row r="250">
          <cell r="B250">
            <v>5702</v>
          </cell>
          <cell r="C250" t="str">
            <v>Arzier-Le Muids</v>
          </cell>
          <cell r="D250">
            <v>2954</v>
          </cell>
        </row>
        <row r="251">
          <cell r="B251">
            <v>5703</v>
          </cell>
          <cell r="C251" t="str">
            <v>Bassins</v>
          </cell>
          <cell r="D251">
            <v>1478</v>
          </cell>
        </row>
        <row r="252">
          <cell r="B252">
            <v>5704</v>
          </cell>
          <cell r="C252" t="str">
            <v>Begnins</v>
          </cell>
          <cell r="D252">
            <v>1938</v>
          </cell>
        </row>
        <row r="253">
          <cell r="B253">
            <v>5705</v>
          </cell>
          <cell r="C253" t="str">
            <v>Bogis-Bossey</v>
          </cell>
          <cell r="D253">
            <v>923</v>
          </cell>
        </row>
        <row r="254">
          <cell r="B254">
            <v>5706</v>
          </cell>
          <cell r="C254" t="str">
            <v>Borex</v>
          </cell>
          <cell r="D254">
            <v>1131</v>
          </cell>
        </row>
        <row r="255">
          <cell r="B255">
            <v>5852</v>
          </cell>
          <cell r="C255" t="str">
            <v>Bursinel</v>
          </cell>
          <cell r="D255">
            <v>503</v>
          </cell>
        </row>
        <row r="256">
          <cell r="B256">
            <v>5853</v>
          </cell>
          <cell r="C256" t="str">
            <v>Bursins</v>
          </cell>
          <cell r="D256">
            <v>766</v>
          </cell>
        </row>
        <row r="257">
          <cell r="B257">
            <v>5854</v>
          </cell>
          <cell r="C257" t="str">
            <v>Burtigny</v>
          </cell>
          <cell r="D257">
            <v>414</v>
          </cell>
        </row>
        <row r="258">
          <cell r="B258">
            <v>5707</v>
          </cell>
          <cell r="C258" t="str">
            <v>Chavannes-de-Bogis</v>
          </cell>
          <cell r="D258">
            <v>1314</v>
          </cell>
        </row>
        <row r="259">
          <cell r="B259">
            <v>5708</v>
          </cell>
          <cell r="C259" t="str">
            <v>Chavannes-des-Bois</v>
          </cell>
          <cell r="D259">
            <v>1019</v>
          </cell>
        </row>
        <row r="260">
          <cell r="B260">
            <v>5709</v>
          </cell>
          <cell r="C260" t="str">
            <v>Chéserex</v>
          </cell>
          <cell r="D260">
            <v>1251</v>
          </cell>
        </row>
        <row r="261">
          <cell r="B261">
            <v>5710</v>
          </cell>
          <cell r="C261" t="str">
            <v>Coinsins</v>
          </cell>
          <cell r="D261">
            <v>499</v>
          </cell>
        </row>
        <row r="262">
          <cell r="B262">
            <v>5711</v>
          </cell>
          <cell r="C262" t="str">
            <v>Commugny</v>
          </cell>
          <cell r="D262">
            <v>2983</v>
          </cell>
        </row>
        <row r="263">
          <cell r="B263">
            <v>5712</v>
          </cell>
          <cell r="C263" t="str">
            <v>Coppet</v>
          </cell>
          <cell r="D263">
            <v>3184</v>
          </cell>
        </row>
        <row r="264">
          <cell r="B264">
            <v>5713</v>
          </cell>
          <cell r="C264" t="str">
            <v>Crans</v>
          </cell>
          <cell r="D264">
            <v>2357</v>
          </cell>
        </row>
        <row r="265">
          <cell r="B265">
            <v>5714</v>
          </cell>
          <cell r="C265" t="str">
            <v>Crassier</v>
          </cell>
          <cell r="D265">
            <v>1233</v>
          </cell>
        </row>
        <row r="266">
          <cell r="B266">
            <v>5715</v>
          </cell>
          <cell r="C266" t="str">
            <v>Duillier</v>
          </cell>
          <cell r="D266">
            <v>1116</v>
          </cell>
        </row>
        <row r="267">
          <cell r="B267">
            <v>5855</v>
          </cell>
          <cell r="C267" t="str">
            <v>Dully</v>
          </cell>
          <cell r="D267">
            <v>631</v>
          </cell>
        </row>
        <row r="268">
          <cell r="B268">
            <v>5856</v>
          </cell>
          <cell r="C268" t="str">
            <v>Essertines-sur-Rolle</v>
          </cell>
          <cell r="D268">
            <v>749</v>
          </cell>
        </row>
        <row r="269">
          <cell r="B269">
            <v>5716</v>
          </cell>
          <cell r="C269" t="str">
            <v>Eysins</v>
          </cell>
          <cell r="D269">
            <v>1768</v>
          </cell>
        </row>
        <row r="270">
          <cell r="B270">
            <v>5717</v>
          </cell>
          <cell r="C270" t="str">
            <v>Founex</v>
          </cell>
          <cell r="D270">
            <v>3763</v>
          </cell>
        </row>
        <row r="271">
          <cell r="B271">
            <v>5718</v>
          </cell>
          <cell r="C271" t="str">
            <v>Genolier</v>
          </cell>
          <cell r="D271">
            <v>2026</v>
          </cell>
        </row>
        <row r="272">
          <cell r="B272">
            <v>5857</v>
          </cell>
          <cell r="C272" t="str">
            <v>Gilly</v>
          </cell>
          <cell r="D272">
            <v>1446</v>
          </cell>
        </row>
        <row r="273">
          <cell r="B273">
            <v>5719</v>
          </cell>
          <cell r="C273" t="str">
            <v>Gingins</v>
          </cell>
          <cell r="D273">
            <v>1270</v>
          </cell>
        </row>
        <row r="274">
          <cell r="B274">
            <v>5720</v>
          </cell>
          <cell r="C274" t="str">
            <v>Givrins</v>
          </cell>
          <cell r="D274">
            <v>1024</v>
          </cell>
        </row>
        <row r="275">
          <cell r="B275">
            <v>5721</v>
          </cell>
          <cell r="C275" t="str">
            <v>Gland</v>
          </cell>
          <cell r="D275">
            <v>13686</v>
          </cell>
        </row>
        <row r="276">
          <cell r="B276">
            <v>5722</v>
          </cell>
          <cell r="C276" t="str">
            <v>Grens</v>
          </cell>
          <cell r="D276">
            <v>400</v>
          </cell>
        </row>
        <row r="277">
          <cell r="B277">
            <v>5429</v>
          </cell>
          <cell r="C277" t="str">
            <v>Longirod</v>
          </cell>
          <cell r="D277">
            <v>541</v>
          </cell>
        </row>
        <row r="278">
          <cell r="B278">
            <v>5858</v>
          </cell>
          <cell r="C278" t="str">
            <v>Luins</v>
          </cell>
          <cell r="D278">
            <v>618</v>
          </cell>
        </row>
        <row r="279">
          <cell r="B279">
            <v>5430</v>
          </cell>
          <cell r="C279" t="str">
            <v>Marchissy</v>
          </cell>
          <cell r="D279">
            <v>499</v>
          </cell>
        </row>
        <row r="280">
          <cell r="B280">
            <v>5723</v>
          </cell>
          <cell r="C280" t="str">
            <v>Mies</v>
          </cell>
          <cell r="D280">
            <v>2226</v>
          </cell>
        </row>
        <row r="281">
          <cell r="B281">
            <v>5859</v>
          </cell>
          <cell r="C281" t="str">
            <v>Mont-sur-Rolle</v>
          </cell>
          <cell r="D281">
            <v>2759</v>
          </cell>
        </row>
        <row r="282">
          <cell r="B282">
            <v>5724</v>
          </cell>
          <cell r="C282" t="str">
            <v>Nyon</v>
          </cell>
          <cell r="D282">
            <v>22461</v>
          </cell>
        </row>
        <row r="283">
          <cell r="B283">
            <v>5860</v>
          </cell>
          <cell r="C283" t="str">
            <v>Perroy</v>
          </cell>
          <cell r="D283">
            <v>1542</v>
          </cell>
        </row>
        <row r="284">
          <cell r="B284">
            <v>5725</v>
          </cell>
          <cell r="C284" t="str">
            <v>Prangins</v>
          </cell>
          <cell r="D284">
            <v>4277</v>
          </cell>
        </row>
        <row r="285">
          <cell r="B285">
            <v>5726</v>
          </cell>
          <cell r="C285" t="str">
            <v>La Rippe</v>
          </cell>
          <cell r="D285">
            <v>1197</v>
          </cell>
        </row>
        <row r="286">
          <cell r="B286">
            <v>5861</v>
          </cell>
          <cell r="C286" t="str">
            <v>Rolle</v>
          </cell>
          <cell r="D286">
            <v>6321</v>
          </cell>
        </row>
        <row r="287">
          <cell r="B287">
            <v>5727</v>
          </cell>
          <cell r="C287" t="str">
            <v>Saint-Cergue</v>
          </cell>
          <cell r="D287">
            <v>2786</v>
          </cell>
        </row>
        <row r="288">
          <cell r="B288">
            <v>5434</v>
          </cell>
          <cell r="C288" t="str">
            <v>Saint-George</v>
          </cell>
          <cell r="D288">
            <v>1069</v>
          </cell>
        </row>
        <row r="289">
          <cell r="B289">
            <v>5728</v>
          </cell>
          <cell r="C289" t="str">
            <v>Signy-Avenex</v>
          </cell>
          <cell r="D289">
            <v>583</v>
          </cell>
        </row>
        <row r="290">
          <cell r="B290">
            <v>5729</v>
          </cell>
          <cell r="C290" t="str">
            <v>Tannay</v>
          </cell>
          <cell r="D290">
            <v>1720</v>
          </cell>
        </row>
        <row r="291">
          <cell r="B291">
            <v>5862</v>
          </cell>
          <cell r="C291" t="str">
            <v>Tartegnin</v>
          </cell>
          <cell r="D291">
            <v>249</v>
          </cell>
        </row>
        <row r="292">
          <cell r="B292">
            <v>5730</v>
          </cell>
          <cell r="C292" t="str">
            <v>Trélex</v>
          </cell>
          <cell r="D292">
            <v>1427</v>
          </cell>
        </row>
        <row r="293">
          <cell r="B293">
            <v>5731</v>
          </cell>
          <cell r="C293" t="str">
            <v>Le Vaud</v>
          </cell>
          <cell r="D293">
            <v>1411</v>
          </cell>
        </row>
        <row r="294">
          <cell r="B294">
            <v>5732</v>
          </cell>
          <cell r="C294" t="str">
            <v>Vich</v>
          </cell>
          <cell r="D294">
            <v>1160</v>
          </cell>
        </row>
        <row r="295">
          <cell r="B295">
            <v>5863</v>
          </cell>
          <cell r="C295" t="str">
            <v>Vinzel</v>
          </cell>
          <cell r="D295">
            <v>378</v>
          </cell>
        </row>
        <row r="296">
          <cell r="B296"/>
          <cell r="C296"/>
          <cell r="D296">
            <v>80855</v>
          </cell>
        </row>
        <row r="297">
          <cell r="B297">
            <v>5624</v>
          </cell>
          <cell r="C297" t="str">
            <v>Bussigny</v>
          </cell>
          <cell r="D297">
            <v>10392</v>
          </cell>
        </row>
        <row r="298">
          <cell r="B298">
            <v>5627</v>
          </cell>
          <cell r="C298" t="str">
            <v>Chavannes-près-Renens</v>
          </cell>
          <cell r="D298">
            <v>8725</v>
          </cell>
        </row>
        <row r="299">
          <cell r="B299">
            <v>5583</v>
          </cell>
          <cell r="C299" t="str">
            <v>Crissier</v>
          </cell>
          <cell r="D299">
            <v>9161</v>
          </cell>
        </row>
        <row r="300">
          <cell r="B300">
            <v>5635</v>
          </cell>
          <cell r="C300" t="str">
            <v>Ecublens</v>
          </cell>
          <cell r="D300">
            <v>13129</v>
          </cell>
        </row>
        <row r="301">
          <cell r="B301">
            <v>5589</v>
          </cell>
          <cell r="C301" t="str">
            <v>Prilly</v>
          </cell>
          <cell r="D301">
            <v>12318</v>
          </cell>
        </row>
        <row r="302">
          <cell r="B302">
            <v>5591</v>
          </cell>
          <cell r="C302" t="str">
            <v>Renens</v>
          </cell>
          <cell r="D302">
            <v>21116</v>
          </cell>
        </row>
        <row r="303">
          <cell r="B303">
            <v>5648</v>
          </cell>
          <cell r="C303" t="str">
            <v>Saint-Sulpice</v>
          </cell>
          <cell r="D303">
            <v>5036</v>
          </cell>
        </row>
        <row r="304">
          <cell r="B304">
            <v>5651</v>
          </cell>
          <cell r="C304" t="str">
            <v>Villars-Sainte-Croix</v>
          </cell>
          <cell r="D304">
            <v>978</v>
          </cell>
        </row>
        <row r="305">
          <cell r="B305"/>
          <cell r="C305"/>
          <cell r="D305">
            <v>86952</v>
          </cell>
        </row>
        <row r="306">
          <cell r="B306">
            <v>5892</v>
          </cell>
          <cell r="C306" t="str">
            <v>Blonay - Saint-Légier</v>
          </cell>
          <cell r="D306">
            <v>12123</v>
          </cell>
        </row>
        <row r="307">
          <cell r="B307">
            <v>5882</v>
          </cell>
          <cell r="C307" t="str">
            <v>Chardonne</v>
          </cell>
          <cell r="D307">
            <v>3192</v>
          </cell>
        </row>
        <row r="308">
          <cell r="B308">
            <v>5841</v>
          </cell>
          <cell r="C308" t="str">
            <v>Château-d'Oex</v>
          </cell>
          <cell r="D308">
            <v>3568</v>
          </cell>
        </row>
        <row r="309">
          <cell r="B309">
            <v>5883</v>
          </cell>
          <cell r="C309" t="str">
            <v>Corseaux</v>
          </cell>
          <cell r="D309">
            <v>2307</v>
          </cell>
        </row>
        <row r="310">
          <cell r="B310">
            <v>5884</v>
          </cell>
          <cell r="C310" t="str">
            <v>Corsier-sur-Vevey</v>
          </cell>
          <cell r="D310">
            <v>3366</v>
          </cell>
        </row>
        <row r="311">
          <cell r="B311">
            <v>5885</v>
          </cell>
          <cell r="C311" t="str">
            <v>Jongny</v>
          </cell>
          <cell r="D311">
            <v>1842</v>
          </cell>
        </row>
        <row r="312">
          <cell r="B312">
            <v>5886</v>
          </cell>
          <cell r="C312" t="str">
            <v>Montreux</v>
          </cell>
          <cell r="D312">
            <v>26081</v>
          </cell>
        </row>
        <row r="313">
          <cell r="B313">
            <v>5842</v>
          </cell>
          <cell r="C313" t="str">
            <v>Rossinière</v>
          </cell>
          <cell r="D313">
            <v>534</v>
          </cell>
        </row>
        <row r="314">
          <cell r="B314">
            <v>5843</v>
          </cell>
          <cell r="C314" t="str">
            <v>Rougemont</v>
          </cell>
          <cell r="D314">
            <v>826</v>
          </cell>
        </row>
        <row r="315">
          <cell r="B315">
            <v>5889</v>
          </cell>
          <cell r="C315" t="str">
            <v>La Tour-de-Peilz</v>
          </cell>
          <cell r="D315">
            <v>12400</v>
          </cell>
        </row>
        <row r="316">
          <cell r="B316">
            <v>5890</v>
          </cell>
          <cell r="C316" t="str">
            <v>Vevey</v>
          </cell>
          <cell r="D316">
            <v>19743</v>
          </cell>
        </row>
        <row r="317">
          <cell r="B317">
            <v>5891</v>
          </cell>
          <cell r="C317" t="str">
            <v>Veytaux</v>
          </cell>
          <cell r="D317">
            <v>970</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17AA1-60A5-488A-A872-466268BDE675}">
  <sheetPr codeName="Feuil3"/>
  <dimension ref="A1:C19"/>
  <sheetViews>
    <sheetView tabSelected="1" zoomScaleNormal="100" workbookViewId="0"/>
  </sheetViews>
  <sheetFormatPr baseColWidth="10" defaultColWidth="11" defaultRowHeight="12.75" x14ac:dyDescent="0.2"/>
  <cols>
    <col min="1" max="1" width="38" style="388" customWidth="1"/>
    <col min="2" max="2" width="43.625" style="250" customWidth="1"/>
    <col min="3" max="3" width="43.625" style="249" customWidth="1"/>
    <col min="4" max="16384" width="11" style="249"/>
  </cols>
  <sheetData>
    <row r="1" spans="1:3" ht="26.45" customHeight="1" x14ac:dyDescent="0.2">
      <c r="A1" s="413" t="s">
        <v>397</v>
      </c>
    </row>
    <row r="2" spans="1:3" ht="24" customHeight="1" x14ac:dyDescent="0.2">
      <c r="A2" s="389" t="s">
        <v>550</v>
      </c>
      <c r="B2" s="671" t="s">
        <v>412</v>
      </c>
      <c r="C2" s="672"/>
    </row>
    <row r="3" spans="1:3" ht="24" customHeight="1" x14ac:dyDescent="0.2">
      <c r="A3" s="390" t="s">
        <v>523</v>
      </c>
      <c r="B3" s="673" t="s">
        <v>443</v>
      </c>
      <c r="C3" s="673"/>
    </row>
    <row r="4" spans="1:3" ht="24" customHeight="1" x14ac:dyDescent="0.2">
      <c r="A4" s="390" t="s">
        <v>400</v>
      </c>
      <c r="B4" s="673" t="s">
        <v>489</v>
      </c>
      <c r="C4" s="673"/>
    </row>
    <row r="5" spans="1:3" ht="24" customHeight="1" x14ac:dyDescent="0.2">
      <c r="A5" s="391" t="s">
        <v>411</v>
      </c>
      <c r="B5" s="674" t="s">
        <v>444</v>
      </c>
      <c r="C5" s="675"/>
    </row>
    <row r="6" spans="1:3" ht="7.5" customHeight="1" x14ac:dyDescent="0.2"/>
    <row r="7" spans="1:3" ht="45" customHeight="1" x14ac:dyDescent="0.2">
      <c r="A7" s="442" t="s">
        <v>426</v>
      </c>
      <c r="B7" s="676" t="s">
        <v>541</v>
      </c>
      <c r="C7" s="677"/>
    </row>
    <row r="8" spans="1:3" ht="24" customHeight="1" x14ac:dyDescent="0.2">
      <c r="A8" s="392" t="s">
        <v>540</v>
      </c>
      <c r="B8" s="669" t="s">
        <v>542</v>
      </c>
      <c r="C8" s="670"/>
    </row>
    <row r="9" spans="1:3" ht="7.5" customHeight="1" x14ac:dyDescent="0.2"/>
    <row r="10" spans="1:3" ht="45" customHeight="1" x14ac:dyDescent="0.2">
      <c r="A10" s="452" t="s">
        <v>549</v>
      </c>
      <c r="B10" s="659" t="s">
        <v>543</v>
      </c>
      <c r="C10" s="660"/>
    </row>
    <row r="11" spans="1:3" ht="30" customHeight="1" x14ac:dyDescent="0.2">
      <c r="A11" s="432" t="s">
        <v>257</v>
      </c>
      <c r="B11" s="661" t="s">
        <v>398</v>
      </c>
      <c r="C11" s="662"/>
    </row>
    <row r="12" spans="1:3" ht="30" customHeight="1" x14ac:dyDescent="0.2">
      <c r="A12" s="433" t="s">
        <v>545</v>
      </c>
      <c r="B12" s="663" t="s">
        <v>442</v>
      </c>
      <c r="C12" s="663"/>
    </row>
    <row r="13" spans="1:3" ht="30" customHeight="1" x14ac:dyDescent="0.2">
      <c r="A13" s="433" t="s">
        <v>544</v>
      </c>
      <c r="B13" s="664" t="s">
        <v>399</v>
      </c>
      <c r="C13" s="663"/>
    </row>
    <row r="14" spans="1:3" ht="24" customHeight="1" x14ac:dyDescent="0.2">
      <c r="A14" s="461" t="s">
        <v>401</v>
      </c>
      <c r="B14" s="462" t="s">
        <v>402</v>
      </c>
      <c r="C14" s="463" t="s">
        <v>403</v>
      </c>
    </row>
    <row r="15" spans="1:3" ht="7.5" customHeight="1" x14ac:dyDescent="0.2"/>
    <row r="16" spans="1:3" ht="24" customHeight="1" x14ac:dyDescent="0.2">
      <c r="A16" s="393" t="s">
        <v>410</v>
      </c>
      <c r="B16" s="665" t="s">
        <v>546</v>
      </c>
      <c r="C16" s="666"/>
    </row>
    <row r="17" spans="1:3" ht="7.5" customHeight="1" x14ac:dyDescent="0.2">
      <c r="B17" s="251"/>
    </row>
    <row r="18" spans="1:3" ht="24" customHeight="1" x14ac:dyDescent="0.2">
      <c r="A18" s="389" t="s">
        <v>428</v>
      </c>
      <c r="B18" s="667" t="s">
        <v>547</v>
      </c>
      <c r="C18" s="668"/>
    </row>
    <row r="19" spans="1:3" ht="24" customHeight="1" x14ac:dyDescent="0.2">
      <c r="A19" s="391" t="s">
        <v>404</v>
      </c>
      <c r="B19" s="657" t="s">
        <v>551</v>
      </c>
      <c r="C19" s="658"/>
    </row>
  </sheetData>
  <mergeCells count="13">
    <mergeCell ref="B8:C8"/>
    <mergeCell ref="B2:C2"/>
    <mergeCell ref="B3:C3"/>
    <mergeCell ref="B4:C4"/>
    <mergeCell ref="B5:C5"/>
    <mergeCell ref="B7:C7"/>
    <mergeCell ref="B19:C19"/>
    <mergeCell ref="B10:C10"/>
    <mergeCell ref="B11:C11"/>
    <mergeCell ref="B12:C12"/>
    <mergeCell ref="B13:C13"/>
    <mergeCell ref="B16:C16"/>
    <mergeCell ref="B18:C18"/>
  </mergeCells>
  <hyperlinks>
    <hyperlink ref="A2" location="Paramètres!A1" display="Paramétrage du système" xr:uid="{BBC8A613-61B5-4A5C-8539-BACDC2EB90C1}"/>
    <hyperlink ref="A3" location="Recherche!A1" display="Résumé par commune" xr:uid="{914287E3-17F7-433D-B4A0-0185864640C0}"/>
    <hyperlink ref="A4" location="Données!A1" display="Données saisies" xr:uid="{13B56647-1FE3-41F8-B3FD-A2001CD5863F}"/>
    <hyperlink ref="A5" location="VPI!A1" display="Valeur du point d'impôt péréquatif (VPI)" xr:uid="{EF64F556-BDED-4A47-92A9-01649819B5F2}"/>
    <hyperlink ref="A8" location="Ecrêtage!A1" display="Détail écrêtage" xr:uid="{30313161-3EA3-413C-A1FF-1AA5DF37EBA6}"/>
    <hyperlink ref="A11" location="Population!A1" display="Population" xr:uid="{EB7AF72B-EF98-4405-8D9C-5649DEA917C0}"/>
    <hyperlink ref="A12" location="Solidarité!A1" display="Solidarité" xr:uid="{B4DEC7AC-11F5-433C-AAFF-E84C5E8125E3}"/>
    <hyperlink ref="A13" location="DT!A1" display="Dépenses thématiques (DT)" xr:uid="{BC6E28BE-1F7A-44E2-B13B-DF9AFD02365B}"/>
    <hyperlink ref="A14" location="Effort!A1" display="Plafond de l'effort" xr:uid="{E66483E2-EF22-4C79-995E-014AC22AF508}"/>
    <hyperlink ref="B14" location="Aide!A1" display="Plafond de l'aide" xr:uid="{7F6E5FE6-8556-4E3B-AA4A-1A5388348FAA}"/>
    <hyperlink ref="A16" location="'Facture policière'!A1" display="Facture policière" xr:uid="{27A18F56-0333-42B2-B4AC-6E784EE84614}"/>
    <hyperlink ref="A18" location="Synthèse!A1" display="Synthèse" xr:uid="{7FC7A801-78C4-4FE0-81C4-0E3F6B07D24F}"/>
    <hyperlink ref="A19" location="'Décompte vs acomptes'!A1" display="Acomptes vs Décompte" xr:uid="{FD8DF11C-672C-4310-A721-79361D41A756}"/>
    <hyperlink ref="C14" location="Taux!A1" display="Plafond du taux" xr:uid="{BC18F71E-E60D-4300-B8D3-91E894DB1FEB}"/>
    <hyperlink ref="A7" location="PCS!A1" display="Participation à la cohésion sociale (PCS)" xr:uid="{E3489D3D-B727-448F-9585-ADA813A95D36}"/>
    <hyperlink ref="A10" location="'Péréquation directe'!A1" display="Péréquation directe" xr:uid="{5FA54ED3-C648-4139-9448-FE897237670D}"/>
  </hyperlinks>
  <pageMargins left="0.25" right="0.25"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9">
    <tabColor theme="6" tint="0.39997558519241921"/>
  </sheetPr>
  <dimension ref="A1:L320"/>
  <sheetViews>
    <sheetView workbookViewId="0">
      <pane ySplit="8" topLeftCell="A9" activePane="bottomLeft" state="frozen"/>
      <selection activeCell="D32" sqref="D32"/>
      <selection pane="bottomLeft" activeCell="A9" sqref="A9"/>
    </sheetView>
  </sheetViews>
  <sheetFormatPr baseColWidth="10" defaultColWidth="11" defaultRowHeight="15" x14ac:dyDescent="0.25"/>
  <cols>
    <col min="1" max="1" width="7.25" style="11" customWidth="1"/>
    <col min="2" max="2" width="20.25" style="11" bestFit="1" customWidth="1"/>
    <col min="3" max="3" width="10.375" style="11" customWidth="1"/>
    <col min="4" max="10" width="10" style="11" customWidth="1"/>
    <col min="11" max="11" width="13" style="11" customWidth="1"/>
    <col min="12" max="12" width="3.625" style="11" customWidth="1"/>
    <col min="13" max="16384" width="11" style="11"/>
  </cols>
  <sheetData>
    <row r="1" spans="1:12" s="256" customFormat="1" ht="26.25" x14ac:dyDescent="0.4">
      <c r="A1" s="254" t="s">
        <v>357</v>
      </c>
      <c r="B1" s="255"/>
      <c r="C1" s="258"/>
      <c r="G1" s="374" t="s">
        <v>405</v>
      </c>
      <c r="H1" s="278" t="s">
        <v>397</v>
      </c>
      <c r="I1" s="439" t="s">
        <v>406</v>
      </c>
    </row>
    <row r="2" spans="1:12" s="202" customFormat="1" ht="15.75" customHeight="1" x14ac:dyDescent="0.25">
      <c r="A2" s="327" t="str">
        <f>Paramètres!B4</f>
        <v>Décompte 2022</v>
      </c>
      <c r="B2" s="32"/>
      <c r="C2" s="204"/>
      <c r="L2" s="354"/>
    </row>
    <row r="3" spans="1:12" x14ac:dyDescent="0.25">
      <c r="A3" s="22"/>
      <c r="B3" s="40"/>
      <c r="L3" s="354"/>
    </row>
    <row r="4" spans="1:12" ht="18.75" customHeight="1" x14ac:dyDescent="0.25">
      <c r="A4" s="22"/>
      <c r="B4" s="40"/>
      <c r="C4" s="765" t="s">
        <v>259</v>
      </c>
      <c r="D4" s="766"/>
      <c r="E4" s="766"/>
      <c r="F4" s="766"/>
      <c r="G4" s="766"/>
      <c r="H4" s="766"/>
      <c r="I4" s="766"/>
      <c r="J4" s="767"/>
      <c r="L4" s="354"/>
    </row>
    <row r="5" spans="1:12" x14ac:dyDescent="0.25">
      <c r="C5" s="78" t="s">
        <v>258</v>
      </c>
      <c r="D5" s="66">
        <f>Paramètres!B28</f>
        <v>0</v>
      </c>
      <c r="E5" s="66">
        <f>Paramètres!C28</f>
        <v>1000</v>
      </c>
      <c r="F5" s="66">
        <f>Paramètres!D28</f>
        <v>3000</v>
      </c>
      <c r="G5" s="66">
        <f>Paramètres!E28</f>
        <v>5000</v>
      </c>
      <c r="H5" s="66">
        <f>Paramètres!F28</f>
        <v>9000</v>
      </c>
      <c r="I5" s="66">
        <f>Paramètres!G28</f>
        <v>12000</v>
      </c>
      <c r="J5" s="66">
        <f>Paramètres!H28</f>
        <v>15000</v>
      </c>
      <c r="L5" s="354"/>
    </row>
    <row r="6" spans="1:12" x14ac:dyDescent="0.25">
      <c r="C6" s="69" t="s">
        <v>260</v>
      </c>
      <c r="D6" s="66">
        <f>Paramètres!B29</f>
        <v>1000</v>
      </c>
      <c r="E6" s="66">
        <f>Paramètres!C29</f>
        <v>3000</v>
      </c>
      <c r="F6" s="66">
        <f>Paramètres!D29</f>
        <v>5000</v>
      </c>
      <c r="G6" s="66">
        <f>Paramètres!E29</f>
        <v>9000</v>
      </c>
      <c r="H6" s="66">
        <f>Paramètres!F29</f>
        <v>12000</v>
      </c>
      <c r="I6" s="66">
        <f>Paramètres!G29</f>
        <v>15000</v>
      </c>
      <c r="J6" s="66"/>
    </row>
    <row r="7" spans="1:12" ht="30" customHeight="1" x14ac:dyDescent="0.25">
      <c r="A7" s="762" t="s">
        <v>44</v>
      </c>
      <c r="B7" s="762" t="s">
        <v>84</v>
      </c>
      <c r="C7" s="762" t="s">
        <v>257</v>
      </c>
      <c r="D7" s="765" t="s">
        <v>261</v>
      </c>
      <c r="E7" s="766"/>
      <c r="F7" s="766"/>
      <c r="G7" s="766"/>
      <c r="H7" s="766"/>
      <c r="I7" s="766"/>
      <c r="J7" s="767"/>
      <c r="K7" s="762" t="s">
        <v>500</v>
      </c>
    </row>
    <row r="8" spans="1:12" x14ac:dyDescent="0.25">
      <c r="A8" s="763"/>
      <c r="B8" s="764"/>
      <c r="C8" s="764"/>
      <c r="D8" s="159">
        <f>Paramètres!B33</f>
        <v>129.02414486921526</v>
      </c>
      <c r="E8" s="159">
        <f>Paramètres!C33</f>
        <v>361.26760563380276</v>
      </c>
      <c r="F8" s="159">
        <f>Paramètres!D33</f>
        <v>516.09657947686105</v>
      </c>
      <c r="G8" s="159">
        <f>Paramètres!E33</f>
        <v>619.31589537223329</v>
      </c>
      <c r="H8" s="159">
        <f>Paramètres!F33</f>
        <v>877.36418511066393</v>
      </c>
      <c r="I8" s="159">
        <f>Paramètres!G33</f>
        <v>1032.1931589537221</v>
      </c>
      <c r="J8" s="159">
        <f>Paramètres!H33</f>
        <v>1083.8028169014083</v>
      </c>
      <c r="K8" s="764"/>
    </row>
    <row r="9" spans="1:12" x14ac:dyDescent="0.25">
      <c r="A9" s="36">
        <f>Données!A6</f>
        <v>5401</v>
      </c>
      <c r="B9" s="168" t="str">
        <f>Données!B6</f>
        <v>Aigle</v>
      </c>
      <c r="C9" s="41">
        <f>Données!Z6</f>
        <v>10937</v>
      </c>
      <c r="D9" s="8">
        <f>IF($C9&gt;D$5,IF($C9&lt;D$6,$C9-D$5,D$6-D$5),0)</f>
        <v>1000</v>
      </c>
      <c r="E9" s="12">
        <f t="shared" ref="E9:I24" si="0">IF($C9&gt;E$5,IF($C9&lt;E$6,$C9-E$5,E$6-E$5),0)</f>
        <v>2000</v>
      </c>
      <c r="F9" s="8">
        <f t="shared" si="0"/>
        <v>2000</v>
      </c>
      <c r="G9" s="12">
        <f t="shared" si="0"/>
        <v>4000</v>
      </c>
      <c r="H9" s="31">
        <f t="shared" si="0"/>
        <v>1937</v>
      </c>
      <c r="I9" s="8">
        <f t="shared" si="0"/>
        <v>0</v>
      </c>
      <c r="J9" s="8">
        <f>IF(C9&gt;$J$5,C9-$J$5,0)</f>
        <v>0</v>
      </c>
      <c r="K9" s="72">
        <f>-((D9*D$8)+(E9*E$8)+(F9*F$8)+(G9*G$8)+(H9*H$8)+(I9*I$8)+(J9*J$8))</f>
        <v>-6060470.5231388314</v>
      </c>
    </row>
    <row r="10" spans="1:12" x14ac:dyDescent="0.25">
      <c r="A10" s="38">
        <f>Données!A7</f>
        <v>5402</v>
      </c>
      <c r="B10" s="168" t="str">
        <f>Données!B7</f>
        <v>Bex</v>
      </c>
      <c r="C10" s="8">
        <f>Données!Z7</f>
        <v>8151</v>
      </c>
      <c r="D10" s="8">
        <f t="shared" ref="D10:I64" si="1">IF($C10&gt;D$5,IF($C10&lt;D$6,$C10-D$5,D$6-D$5),0)</f>
        <v>1000</v>
      </c>
      <c r="E10" s="209">
        <f t="shared" si="0"/>
        <v>2000</v>
      </c>
      <c r="F10" s="8">
        <f t="shared" si="0"/>
        <v>2000</v>
      </c>
      <c r="G10" s="209">
        <f t="shared" si="0"/>
        <v>3151</v>
      </c>
      <c r="H10" s="31">
        <f t="shared" si="0"/>
        <v>0</v>
      </c>
      <c r="I10" s="8">
        <f t="shared" si="0"/>
        <v>0</v>
      </c>
      <c r="J10" s="8">
        <f t="shared" ref="J10:J73" si="2">IF(C10&gt;$J$5,C10-$J$5,0)</f>
        <v>0</v>
      </c>
      <c r="K10" s="72">
        <f t="shared" ref="K10:K73" si="3">-((D10*D$8)+(E10*E$8)+(F10*F$8)+(G10*G$8)+(H10*H$8)+(I10*I$8)+(J10*J$8))</f>
        <v>-3835216.9014084497</v>
      </c>
    </row>
    <row r="11" spans="1:12" s="202" customFormat="1" x14ac:dyDescent="0.25">
      <c r="A11" s="38">
        <f>Données!A8</f>
        <v>5403</v>
      </c>
      <c r="B11" s="168" t="str">
        <f>Données!B8</f>
        <v>Chessel</v>
      </c>
      <c r="C11" s="8">
        <f>Données!Z8</f>
        <v>528</v>
      </c>
      <c r="D11" s="8">
        <f t="shared" si="1"/>
        <v>528</v>
      </c>
      <c r="E11" s="221">
        <f t="shared" si="0"/>
        <v>0</v>
      </c>
      <c r="F11" s="8">
        <f t="shared" si="0"/>
        <v>0</v>
      </c>
      <c r="G11" s="221">
        <f t="shared" si="0"/>
        <v>0</v>
      </c>
      <c r="H11" s="31">
        <f t="shared" si="0"/>
        <v>0</v>
      </c>
      <c r="I11" s="8">
        <f t="shared" si="0"/>
        <v>0</v>
      </c>
      <c r="J11" s="8">
        <f t="shared" si="2"/>
        <v>0</v>
      </c>
      <c r="K11" s="72">
        <f t="shared" si="3"/>
        <v>-68124.748490945654</v>
      </c>
    </row>
    <row r="12" spans="1:12" s="202" customFormat="1" x14ac:dyDescent="0.25">
      <c r="A12" s="38">
        <f>Données!A9</f>
        <v>5404</v>
      </c>
      <c r="B12" s="168" t="str">
        <f>Données!B9</f>
        <v>Corbeyrier</v>
      </c>
      <c r="C12" s="8">
        <f>Données!Z9</f>
        <v>440</v>
      </c>
      <c r="D12" s="8">
        <f t="shared" si="1"/>
        <v>440</v>
      </c>
      <c r="E12" s="221">
        <f t="shared" si="0"/>
        <v>0</v>
      </c>
      <c r="F12" s="8">
        <f t="shared" si="0"/>
        <v>0</v>
      </c>
      <c r="G12" s="221">
        <f t="shared" si="0"/>
        <v>0</v>
      </c>
      <c r="H12" s="31">
        <f t="shared" si="0"/>
        <v>0</v>
      </c>
      <c r="I12" s="8">
        <f t="shared" si="0"/>
        <v>0</v>
      </c>
      <c r="J12" s="8">
        <f t="shared" si="2"/>
        <v>0</v>
      </c>
      <c r="K12" s="72">
        <f t="shared" si="3"/>
        <v>-56770.623742454714</v>
      </c>
    </row>
    <row r="13" spans="1:12" s="202" customFormat="1" x14ac:dyDescent="0.25">
      <c r="A13" s="38">
        <f>Données!A10</f>
        <v>5405</v>
      </c>
      <c r="B13" s="168" t="str">
        <f>Données!B10</f>
        <v>Gryon</v>
      </c>
      <c r="C13" s="8">
        <f>Données!Z10</f>
        <v>1389</v>
      </c>
      <c r="D13" s="8">
        <f t="shared" si="1"/>
        <v>1000</v>
      </c>
      <c r="E13" s="221">
        <f t="shared" si="0"/>
        <v>389</v>
      </c>
      <c r="F13" s="8">
        <f t="shared" si="0"/>
        <v>0</v>
      </c>
      <c r="G13" s="221">
        <f t="shared" si="0"/>
        <v>0</v>
      </c>
      <c r="H13" s="31">
        <f t="shared" si="0"/>
        <v>0</v>
      </c>
      <c r="I13" s="8">
        <f t="shared" si="0"/>
        <v>0</v>
      </c>
      <c r="J13" s="8">
        <f t="shared" si="2"/>
        <v>0</v>
      </c>
      <c r="K13" s="72">
        <f t="shared" si="3"/>
        <v>-269557.24346076453</v>
      </c>
    </row>
    <row r="14" spans="1:12" s="202" customFormat="1" x14ac:dyDescent="0.25">
      <c r="A14" s="38">
        <f>Données!A11</f>
        <v>5406</v>
      </c>
      <c r="B14" s="168" t="str">
        <f>Données!B11</f>
        <v>Lavey-Morcles</v>
      </c>
      <c r="C14" s="8">
        <f>Données!Z11</f>
        <v>979</v>
      </c>
      <c r="D14" s="8">
        <f t="shared" si="1"/>
        <v>979</v>
      </c>
      <c r="E14" s="221">
        <f t="shared" si="0"/>
        <v>0</v>
      </c>
      <c r="F14" s="8">
        <f t="shared" si="0"/>
        <v>0</v>
      </c>
      <c r="G14" s="221">
        <f t="shared" si="0"/>
        <v>0</v>
      </c>
      <c r="H14" s="31">
        <f t="shared" si="0"/>
        <v>0</v>
      </c>
      <c r="I14" s="8">
        <f t="shared" si="0"/>
        <v>0</v>
      </c>
      <c r="J14" s="8">
        <f t="shared" si="2"/>
        <v>0</v>
      </c>
      <c r="K14" s="72">
        <f t="shared" si="3"/>
        <v>-126314.63782696174</v>
      </c>
    </row>
    <row r="15" spans="1:12" s="202" customFormat="1" x14ac:dyDescent="0.25">
      <c r="A15" s="38">
        <f>Données!A12</f>
        <v>5407</v>
      </c>
      <c r="B15" s="168" t="str">
        <f>Données!B12</f>
        <v>Leysin</v>
      </c>
      <c r="C15" s="8">
        <f>Données!Z12</f>
        <v>3743</v>
      </c>
      <c r="D15" s="8">
        <f t="shared" si="1"/>
        <v>1000</v>
      </c>
      <c r="E15" s="221">
        <f t="shared" si="0"/>
        <v>2000</v>
      </c>
      <c r="F15" s="8">
        <f t="shared" si="0"/>
        <v>743</v>
      </c>
      <c r="G15" s="221">
        <f t="shared" si="0"/>
        <v>0</v>
      </c>
      <c r="H15" s="31">
        <f t="shared" si="0"/>
        <v>0</v>
      </c>
      <c r="I15" s="8">
        <f t="shared" si="0"/>
        <v>0</v>
      </c>
      <c r="J15" s="8">
        <f t="shared" si="2"/>
        <v>0</v>
      </c>
      <c r="K15" s="72">
        <f t="shared" si="3"/>
        <v>-1235019.1146881285</v>
      </c>
    </row>
    <row r="16" spans="1:12" s="202" customFormat="1" x14ac:dyDescent="0.25">
      <c r="A16" s="38">
        <f>Données!A13</f>
        <v>5408</v>
      </c>
      <c r="B16" s="168" t="str">
        <f>Données!B13</f>
        <v>Noville</v>
      </c>
      <c r="C16" s="8">
        <f>Données!Z13</f>
        <v>1169</v>
      </c>
      <c r="D16" s="8">
        <f t="shared" si="1"/>
        <v>1000</v>
      </c>
      <c r="E16" s="221">
        <f t="shared" si="0"/>
        <v>169</v>
      </c>
      <c r="F16" s="8">
        <f t="shared" si="0"/>
        <v>0</v>
      </c>
      <c r="G16" s="221">
        <f t="shared" si="0"/>
        <v>0</v>
      </c>
      <c r="H16" s="31">
        <f t="shared" si="0"/>
        <v>0</v>
      </c>
      <c r="I16" s="8">
        <f t="shared" si="0"/>
        <v>0</v>
      </c>
      <c r="J16" s="8">
        <f t="shared" si="2"/>
        <v>0</v>
      </c>
      <c r="K16" s="72">
        <f t="shared" si="3"/>
        <v>-190078.37022132793</v>
      </c>
    </row>
    <row r="17" spans="1:11" s="202" customFormat="1" x14ac:dyDescent="0.25">
      <c r="A17" s="38">
        <f>Données!A14</f>
        <v>5409</v>
      </c>
      <c r="B17" s="168" t="str">
        <f>Données!B14</f>
        <v>Ollon</v>
      </c>
      <c r="C17" s="8">
        <f>Données!Z14</f>
        <v>7967</v>
      </c>
      <c r="D17" s="8">
        <f t="shared" si="1"/>
        <v>1000</v>
      </c>
      <c r="E17" s="221">
        <f t="shared" si="0"/>
        <v>2000</v>
      </c>
      <c r="F17" s="8">
        <f t="shared" si="0"/>
        <v>2000</v>
      </c>
      <c r="G17" s="221">
        <f t="shared" si="0"/>
        <v>2967</v>
      </c>
      <c r="H17" s="31">
        <f t="shared" si="0"/>
        <v>0</v>
      </c>
      <c r="I17" s="8">
        <f t="shared" si="0"/>
        <v>0</v>
      </c>
      <c r="J17" s="8">
        <f t="shared" si="2"/>
        <v>0</v>
      </c>
      <c r="K17" s="72">
        <f t="shared" si="3"/>
        <v>-3721262.776659959</v>
      </c>
    </row>
    <row r="18" spans="1:11" s="202" customFormat="1" x14ac:dyDescent="0.25">
      <c r="A18" s="38">
        <f>Données!A15</f>
        <v>5410</v>
      </c>
      <c r="B18" s="168" t="str">
        <f>Données!B15</f>
        <v>Ormont-Dessous</v>
      </c>
      <c r="C18" s="8">
        <f>Données!Z15</f>
        <v>1178</v>
      </c>
      <c r="D18" s="8">
        <f t="shared" si="1"/>
        <v>1000</v>
      </c>
      <c r="E18" s="221">
        <f t="shared" si="0"/>
        <v>178</v>
      </c>
      <c r="F18" s="8">
        <f t="shared" si="0"/>
        <v>0</v>
      </c>
      <c r="G18" s="221">
        <f t="shared" si="0"/>
        <v>0</v>
      </c>
      <c r="H18" s="31">
        <f t="shared" si="0"/>
        <v>0</v>
      </c>
      <c r="I18" s="8">
        <f t="shared" si="0"/>
        <v>0</v>
      </c>
      <c r="J18" s="8">
        <f t="shared" si="2"/>
        <v>0</v>
      </c>
      <c r="K18" s="72">
        <f t="shared" si="3"/>
        <v>-193329.77867203215</v>
      </c>
    </row>
    <row r="19" spans="1:11" x14ac:dyDescent="0.25">
      <c r="A19" s="38">
        <f>Données!A16</f>
        <v>5411</v>
      </c>
      <c r="B19" s="168" t="str">
        <f>Données!B16</f>
        <v>Ormont-Dessus</v>
      </c>
      <c r="C19" s="8">
        <f>Données!Z16</f>
        <v>1425</v>
      </c>
      <c r="D19" s="8">
        <f t="shared" si="1"/>
        <v>1000</v>
      </c>
      <c r="E19" s="209">
        <f t="shared" si="0"/>
        <v>425</v>
      </c>
      <c r="F19" s="8">
        <f t="shared" si="0"/>
        <v>0</v>
      </c>
      <c r="G19" s="209">
        <f t="shared" si="0"/>
        <v>0</v>
      </c>
      <c r="H19" s="31">
        <f t="shared" si="0"/>
        <v>0</v>
      </c>
      <c r="I19" s="8">
        <f t="shared" si="0"/>
        <v>0</v>
      </c>
      <c r="J19" s="8">
        <f t="shared" si="2"/>
        <v>0</v>
      </c>
      <c r="K19" s="72">
        <f t="shared" si="3"/>
        <v>-282562.87726358144</v>
      </c>
    </row>
    <row r="20" spans="1:11" x14ac:dyDescent="0.25">
      <c r="A20" s="38">
        <f>Données!A17</f>
        <v>5412</v>
      </c>
      <c r="B20" s="168" t="str">
        <f>Données!B17</f>
        <v>Rennaz</v>
      </c>
      <c r="C20" s="8">
        <f>Données!Z17</f>
        <v>929</v>
      </c>
      <c r="D20" s="8">
        <f t="shared" si="1"/>
        <v>929</v>
      </c>
      <c r="E20" s="209">
        <f t="shared" si="0"/>
        <v>0</v>
      </c>
      <c r="F20" s="8">
        <f t="shared" si="0"/>
        <v>0</v>
      </c>
      <c r="G20" s="209">
        <f t="shared" si="0"/>
        <v>0</v>
      </c>
      <c r="H20" s="31">
        <f t="shared" si="0"/>
        <v>0</v>
      </c>
      <c r="I20" s="8">
        <f t="shared" si="0"/>
        <v>0</v>
      </c>
      <c r="J20" s="8">
        <f t="shared" si="2"/>
        <v>0</v>
      </c>
      <c r="K20" s="72">
        <f t="shared" si="3"/>
        <v>-119863.43058350097</v>
      </c>
    </row>
    <row r="21" spans="1:11" x14ac:dyDescent="0.25">
      <c r="A21" s="38">
        <f>Données!A18</f>
        <v>5413</v>
      </c>
      <c r="B21" s="168" t="str">
        <f>Données!B18</f>
        <v>Roche</v>
      </c>
      <c r="C21" s="8">
        <f>Données!Z18</f>
        <v>1940</v>
      </c>
      <c r="D21" s="8">
        <f t="shared" si="1"/>
        <v>1000</v>
      </c>
      <c r="E21" s="209">
        <f t="shared" si="0"/>
        <v>940</v>
      </c>
      <c r="F21" s="8">
        <f t="shared" si="0"/>
        <v>0</v>
      </c>
      <c r="G21" s="209">
        <f t="shared" si="0"/>
        <v>0</v>
      </c>
      <c r="H21" s="31">
        <f t="shared" si="0"/>
        <v>0</v>
      </c>
      <c r="I21" s="8">
        <f t="shared" si="0"/>
        <v>0</v>
      </c>
      <c r="J21" s="8">
        <f t="shared" si="2"/>
        <v>0</v>
      </c>
      <c r="K21" s="72">
        <f t="shared" si="3"/>
        <v>-468615.69416498987</v>
      </c>
    </row>
    <row r="22" spans="1:11" x14ac:dyDescent="0.25">
      <c r="A22" s="38">
        <f>Données!A19</f>
        <v>5414</v>
      </c>
      <c r="B22" s="168" t="str">
        <f>Données!B19</f>
        <v>Villeneuve</v>
      </c>
      <c r="C22" s="8">
        <f>Données!Z19</f>
        <v>5979</v>
      </c>
      <c r="D22" s="8">
        <f t="shared" si="1"/>
        <v>1000</v>
      </c>
      <c r="E22" s="209">
        <f t="shared" si="0"/>
        <v>2000</v>
      </c>
      <c r="F22" s="8">
        <f t="shared" si="0"/>
        <v>2000</v>
      </c>
      <c r="G22" s="209">
        <f t="shared" si="0"/>
        <v>979</v>
      </c>
      <c r="H22" s="31">
        <f t="shared" si="0"/>
        <v>0</v>
      </c>
      <c r="I22" s="8">
        <f t="shared" si="0"/>
        <v>0</v>
      </c>
      <c r="J22" s="8">
        <f t="shared" si="2"/>
        <v>0</v>
      </c>
      <c r="K22" s="72">
        <f t="shared" si="3"/>
        <v>-2490062.776659959</v>
      </c>
    </row>
    <row r="23" spans="1:11" x14ac:dyDescent="0.25">
      <c r="A23" s="38">
        <f>Données!A20</f>
        <v>5415</v>
      </c>
      <c r="B23" s="168" t="str">
        <f>Données!B20</f>
        <v>Yvorne</v>
      </c>
      <c r="C23" s="8">
        <f>Données!Z20</f>
        <v>1088</v>
      </c>
      <c r="D23" s="8">
        <f t="shared" si="1"/>
        <v>1000</v>
      </c>
      <c r="E23" s="209">
        <f t="shared" si="0"/>
        <v>88</v>
      </c>
      <c r="F23" s="8">
        <f t="shared" si="0"/>
        <v>0</v>
      </c>
      <c r="G23" s="209">
        <f t="shared" si="0"/>
        <v>0</v>
      </c>
      <c r="H23" s="31">
        <f t="shared" si="0"/>
        <v>0</v>
      </c>
      <c r="I23" s="8">
        <f t="shared" si="0"/>
        <v>0</v>
      </c>
      <c r="J23" s="8">
        <f t="shared" si="2"/>
        <v>0</v>
      </c>
      <c r="K23" s="72">
        <f t="shared" si="3"/>
        <v>-160815.69416498989</v>
      </c>
    </row>
    <row r="24" spans="1:11" x14ac:dyDescent="0.25">
      <c r="A24" s="38">
        <f>Données!A21</f>
        <v>5422</v>
      </c>
      <c r="B24" s="168" t="str">
        <f>Données!B21</f>
        <v>Aubonne</v>
      </c>
      <c r="C24" s="8">
        <f>Données!Z21</f>
        <v>3792</v>
      </c>
      <c r="D24" s="8">
        <f t="shared" si="1"/>
        <v>1000</v>
      </c>
      <c r="E24" s="209">
        <f t="shared" si="0"/>
        <v>2000</v>
      </c>
      <c r="F24" s="8">
        <f t="shared" si="0"/>
        <v>792</v>
      </c>
      <c r="G24" s="209">
        <f t="shared" si="0"/>
        <v>0</v>
      </c>
      <c r="H24" s="31">
        <f t="shared" si="0"/>
        <v>0</v>
      </c>
      <c r="I24" s="8">
        <f t="shared" si="0"/>
        <v>0</v>
      </c>
      <c r="J24" s="8">
        <f t="shared" si="2"/>
        <v>0</v>
      </c>
      <c r="K24" s="72">
        <f t="shared" si="3"/>
        <v>-1260307.8470824948</v>
      </c>
    </row>
    <row r="25" spans="1:11" x14ac:dyDescent="0.25">
      <c r="A25" s="38">
        <f>Données!A22</f>
        <v>5423</v>
      </c>
      <c r="B25" s="168" t="str">
        <f>Données!B22</f>
        <v>Ballens</v>
      </c>
      <c r="C25" s="8">
        <f>Données!Z22</f>
        <v>590</v>
      </c>
      <c r="D25" s="8">
        <f t="shared" si="1"/>
        <v>590</v>
      </c>
      <c r="E25" s="209">
        <f t="shared" si="1"/>
        <v>0</v>
      </c>
      <c r="F25" s="8">
        <f t="shared" si="1"/>
        <v>0</v>
      </c>
      <c r="G25" s="209">
        <f t="shared" si="1"/>
        <v>0</v>
      </c>
      <c r="H25" s="31">
        <f t="shared" si="1"/>
        <v>0</v>
      </c>
      <c r="I25" s="8">
        <f t="shared" si="1"/>
        <v>0</v>
      </c>
      <c r="J25" s="8">
        <f t="shared" si="2"/>
        <v>0</v>
      </c>
      <c r="K25" s="72">
        <f t="shared" si="3"/>
        <v>-76124.245472837007</v>
      </c>
    </row>
    <row r="26" spans="1:11" x14ac:dyDescent="0.25">
      <c r="A26" s="38">
        <f>Données!A23</f>
        <v>5424</v>
      </c>
      <c r="B26" s="168" t="str">
        <f>Données!B23</f>
        <v>Berolle</v>
      </c>
      <c r="C26" s="8">
        <f>Données!Z23</f>
        <v>303</v>
      </c>
      <c r="D26" s="8">
        <f t="shared" si="1"/>
        <v>303</v>
      </c>
      <c r="E26" s="209">
        <f t="shared" si="1"/>
        <v>0</v>
      </c>
      <c r="F26" s="8">
        <f t="shared" si="1"/>
        <v>0</v>
      </c>
      <c r="G26" s="209">
        <f t="shared" si="1"/>
        <v>0</v>
      </c>
      <c r="H26" s="31">
        <f t="shared" si="1"/>
        <v>0</v>
      </c>
      <c r="I26" s="8">
        <f t="shared" si="1"/>
        <v>0</v>
      </c>
      <c r="J26" s="8">
        <f t="shared" si="2"/>
        <v>0</v>
      </c>
      <c r="K26" s="72">
        <f t="shared" si="3"/>
        <v>-39094.315895372223</v>
      </c>
    </row>
    <row r="27" spans="1:11" x14ac:dyDescent="0.25">
      <c r="A27" s="38">
        <f>Données!A24</f>
        <v>5425</v>
      </c>
      <c r="B27" s="168" t="str">
        <f>Données!B24</f>
        <v>Bière</v>
      </c>
      <c r="C27" s="8">
        <f>Données!Z24</f>
        <v>1683</v>
      </c>
      <c r="D27" s="8">
        <f t="shared" si="1"/>
        <v>1000</v>
      </c>
      <c r="E27" s="209">
        <f t="shared" si="1"/>
        <v>683</v>
      </c>
      <c r="F27" s="8">
        <f t="shared" si="1"/>
        <v>0</v>
      </c>
      <c r="G27" s="209">
        <f t="shared" si="1"/>
        <v>0</v>
      </c>
      <c r="H27" s="31">
        <f t="shared" si="1"/>
        <v>0</v>
      </c>
      <c r="I27" s="8">
        <f t="shared" si="1"/>
        <v>0</v>
      </c>
      <c r="J27" s="8">
        <f t="shared" si="2"/>
        <v>0</v>
      </c>
      <c r="K27" s="72">
        <f t="shared" si="3"/>
        <v>-375769.91951710253</v>
      </c>
    </row>
    <row r="28" spans="1:11" x14ac:dyDescent="0.25">
      <c r="A28" s="38">
        <f>Données!A25</f>
        <v>5426</v>
      </c>
      <c r="B28" s="168" t="str">
        <f>Données!B25</f>
        <v>Bougy-Villars</v>
      </c>
      <c r="C28" s="8">
        <f>Données!Z25</f>
        <v>506</v>
      </c>
      <c r="D28" s="8">
        <f t="shared" si="1"/>
        <v>506</v>
      </c>
      <c r="E28" s="209">
        <f t="shared" si="1"/>
        <v>0</v>
      </c>
      <c r="F28" s="8">
        <f t="shared" si="1"/>
        <v>0</v>
      </c>
      <c r="G28" s="209">
        <f t="shared" si="1"/>
        <v>0</v>
      </c>
      <c r="H28" s="31">
        <f t="shared" si="1"/>
        <v>0</v>
      </c>
      <c r="I28" s="8">
        <f t="shared" si="1"/>
        <v>0</v>
      </c>
      <c r="J28" s="8">
        <f t="shared" si="2"/>
        <v>0</v>
      </c>
      <c r="K28" s="72">
        <f t="shared" si="3"/>
        <v>-65286.217303822923</v>
      </c>
    </row>
    <row r="29" spans="1:11" x14ac:dyDescent="0.25">
      <c r="A29" s="38">
        <f>Données!A26</f>
        <v>5427</v>
      </c>
      <c r="B29" s="168" t="str">
        <f>Données!B26</f>
        <v>Féchy</v>
      </c>
      <c r="C29" s="8">
        <f>Données!Z26</f>
        <v>887</v>
      </c>
      <c r="D29" s="8">
        <f t="shared" si="1"/>
        <v>887</v>
      </c>
      <c r="E29" s="209">
        <f t="shared" si="1"/>
        <v>0</v>
      </c>
      <c r="F29" s="8">
        <f t="shared" si="1"/>
        <v>0</v>
      </c>
      <c r="G29" s="209">
        <f t="shared" si="1"/>
        <v>0</v>
      </c>
      <c r="H29" s="31">
        <f t="shared" si="1"/>
        <v>0</v>
      </c>
      <c r="I29" s="8">
        <f t="shared" si="1"/>
        <v>0</v>
      </c>
      <c r="J29" s="8">
        <f t="shared" si="2"/>
        <v>0</v>
      </c>
      <c r="K29" s="72">
        <f t="shared" si="3"/>
        <v>-114444.41649899395</v>
      </c>
    </row>
    <row r="30" spans="1:11" x14ac:dyDescent="0.25">
      <c r="A30" s="38">
        <f>Données!A27</f>
        <v>5428</v>
      </c>
      <c r="B30" s="168" t="str">
        <f>Données!B27</f>
        <v>Gimel</v>
      </c>
      <c r="C30" s="8">
        <f>Données!Z27</f>
        <v>2414</v>
      </c>
      <c r="D30" s="8">
        <f t="shared" si="1"/>
        <v>1000</v>
      </c>
      <c r="E30" s="209">
        <f t="shared" si="1"/>
        <v>1414</v>
      </c>
      <c r="F30" s="8">
        <f t="shared" si="1"/>
        <v>0</v>
      </c>
      <c r="G30" s="209">
        <f t="shared" si="1"/>
        <v>0</v>
      </c>
      <c r="H30" s="31">
        <f t="shared" si="1"/>
        <v>0</v>
      </c>
      <c r="I30" s="8">
        <f t="shared" si="1"/>
        <v>0</v>
      </c>
      <c r="J30" s="8">
        <f t="shared" si="2"/>
        <v>0</v>
      </c>
      <c r="K30" s="72">
        <f t="shared" si="3"/>
        <v>-639856.53923541238</v>
      </c>
    </row>
    <row r="31" spans="1:11" x14ac:dyDescent="0.25">
      <c r="A31" s="38">
        <f>Données!A28</f>
        <v>5429</v>
      </c>
      <c r="B31" s="168" t="str">
        <f>Données!B28</f>
        <v>Longirod</v>
      </c>
      <c r="C31" s="8">
        <f>Données!Z28</f>
        <v>541</v>
      </c>
      <c r="D31" s="8">
        <f t="shared" si="1"/>
        <v>541</v>
      </c>
      <c r="E31" s="209">
        <f t="shared" si="1"/>
        <v>0</v>
      </c>
      <c r="F31" s="8">
        <f t="shared" si="1"/>
        <v>0</v>
      </c>
      <c r="G31" s="209">
        <f t="shared" si="1"/>
        <v>0</v>
      </c>
      <c r="H31" s="31">
        <f t="shared" si="1"/>
        <v>0</v>
      </c>
      <c r="I31" s="8">
        <f t="shared" si="1"/>
        <v>0</v>
      </c>
      <c r="J31" s="8">
        <f t="shared" si="2"/>
        <v>0</v>
      </c>
      <c r="K31" s="72">
        <f t="shared" si="3"/>
        <v>-69802.062374245463</v>
      </c>
    </row>
    <row r="32" spans="1:11" x14ac:dyDescent="0.25">
      <c r="A32" s="38">
        <f>Données!A29</f>
        <v>5430</v>
      </c>
      <c r="B32" s="168" t="str">
        <f>Données!B29</f>
        <v>Marchissy</v>
      </c>
      <c r="C32" s="8">
        <f>Données!Z29</f>
        <v>499</v>
      </c>
      <c r="D32" s="8">
        <f t="shared" si="1"/>
        <v>499</v>
      </c>
      <c r="E32" s="209">
        <f t="shared" si="1"/>
        <v>0</v>
      </c>
      <c r="F32" s="8">
        <f t="shared" si="1"/>
        <v>0</v>
      </c>
      <c r="G32" s="209">
        <f t="shared" si="1"/>
        <v>0</v>
      </c>
      <c r="H32" s="31">
        <f t="shared" si="1"/>
        <v>0</v>
      </c>
      <c r="I32" s="8">
        <f t="shared" si="1"/>
        <v>0</v>
      </c>
      <c r="J32" s="8">
        <f t="shared" si="2"/>
        <v>0</v>
      </c>
      <c r="K32" s="72">
        <f t="shared" si="3"/>
        <v>-64383.048289738414</v>
      </c>
    </row>
    <row r="33" spans="1:11" x14ac:dyDescent="0.25">
      <c r="A33" s="38">
        <f>Données!A30</f>
        <v>5431</v>
      </c>
      <c r="B33" s="168" t="str">
        <f>Données!B30</f>
        <v>Mollens</v>
      </c>
      <c r="C33" s="8">
        <f>Données!Z30</f>
        <v>324</v>
      </c>
      <c r="D33" s="8">
        <f t="shared" si="1"/>
        <v>324</v>
      </c>
      <c r="E33" s="209">
        <f t="shared" si="1"/>
        <v>0</v>
      </c>
      <c r="F33" s="8">
        <f t="shared" si="1"/>
        <v>0</v>
      </c>
      <c r="G33" s="209">
        <f t="shared" si="1"/>
        <v>0</v>
      </c>
      <c r="H33" s="31">
        <f t="shared" si="1"/>
        <v>0</v>
      </c>
      <c r="I33" s="8">
        <f t="shared" si="1"/>
        <v>0</v>
      </c>
      <c r="J33" s="8">
        <f t="shared" si="2"/>
        <v>0</v>
      </c>
      <c r="K33" s="72">
        <f t="shared" si="3"/>
        <v>-41803.822937625744</v>
      </c>
    </row>
    <row r="34" spans="1:11" x14ac:dyDescent="0.25">
      <c r="A34" s="38">
        <f>Données!A31</f>
        <v>5434</v>
      </c>
      <c r="B34" s="168" t="str">
        <f>Données!B31</f>
        <v>Saint-George</v>
      </c>
      <c r="C34" s="8">
        <f>Données!Z31</f>
        <v>1069</v>
      </c>
      <c r="D34" s="8">
        <f t="shared" si="1"/>
        <v>1000</v>
      </c>
      <c r="E34" s="209">
        <f t="shared" si="1"/>
        <v>69</v>
      </c>
      <c r="F34" s="8">
        <f t="shared" si="1"/>
        <v>0</v>
      </c>
      <c r="G34" s="209">
        <f t="shared" si="1"/>
        <v>0</v>
      </c>
      <c r="H34" s="31">
        <f t="shared" si="1"/>
        <v>0</v>
      </c>
      <c r="I34" s="8">
        <f t="shared" si="1"/>
        <v>0</v>
      </c>
      <c r="J34" s="8">
        <f t="shared" si="2"/>
        <v>0</v>
      </c>
      <c r="K34" s="72">
        <f t="shared" si="3"/>
        <v>-153951.60965794764</v>
      </c>
    </row>
    <row r="35" spans="1:11" x14ac:dyDescent="0.25">
      <c r="A35" s="38">
        <f>Données!A32</f>
        <v>5435</v>
      </c>
      <c r="B35" s="168" t="str">
        <f>Données!B32</f>
        <v>Saint-Livres</v>
      </c>
      <c r="C35" s="8">
        <f>Données!Z32</f>
        <v>697</v>
      </c>
      <c r="D35" s="8">
        <f t="shared" si="1"/>
        <v>697</v>
      </c>
      <c r="E35" s="209">
        <f t="shared" si="1"/>
        <v>0</v>
      </c>
      <c r="F35" s="8">
        <f t="shared" si="1"/>
        <v>0</v>
      </c>
      <c r="G35" s="209">
        <f t="shared" si="1"/>
        <v>0</v>
      </c>
      <c r="H35" s="31">
        <f t="shared" si="1"/>
        <v>0</v>
      </c>
      <c r="I35" s="8">
        <f t="shared" si="1"/>
        <v>0</v>
      </c>
      <c r="J35" s="8">
        <f t="shared" si="2"/>
        <v>0</v>
      </c>
      <c r="K35" s="72">
        <f t="shared" si="3"/>
        <v>-89929.828973843032</v>
      </c>
    </row>
    <row r="36" spans="1:11" x14ac:dyDescent="0.25">
      <c r="A36" s="38">
        <f>Données!A33</f>
        <v>5436</v>
      </c>
      <c r="B36" s="168" t="str">
        <f>Données!B33</f>
        <v>Saint-Oyens</v>
      </c>
      <c r="C36" s="8">
        <f>Données!Z33</f>
        <v>456</v>
      </c>
      <c r="D36" s="8">
        <f t="shared" si="1"/>
        <v>456</v>
      </c>
      <c r="E36" s="209">
        <f t="shared" si="1"/>
        <v>0</v>
      </c>
      <c r="F36" s="8">
        <f t="shared" si="1"/>
        <v>0</v>
      </c>
      <c r="G36" s="209">
        <f t="shared" si="1"/>
        <v>0</v>
      </c>
      <c r="H36" s="31">
        <f t="shared" si="1"/>
        <v>0</v>
      </c>
      <c r="I36" s="8">
        <f t="shared" si="1"/>
        <v>0</v>
      </c>
      <c r="J36" s="8">
        <f t="shared" si="2"/>
        <v>0</v>
      </c>
      <c r="K36" s="72">
        <f t="shared" si="3"/>
        <v>-58835.010060362161</v>
      </c>
    </row>
    <row r="37" spans="1:11" x14ac:dyDescent="0.25">
      <c r="A37" s="38">
        <f>Données!A34</f>
        <v>5437</v>
      </c>
      <c r="B37" s="168" t="str">
        <f>Données!B34</f>
        <v>Saubraz</v>
      </c>
      <c r="C37" s="8">
        <f>Données!Z34</f>
        <v>449</v>
      </c>
      <c r="D37" s="8">
        <f t="shared" si="1"/>
        <v>449</v>
      </c>
      <c r="E37" s="209">
        <f t="shared" si="1"/>
        <v>0</v>
      </c>
      <c r="F37" s="8">
        <f t="shared" si="1"/>
        <v>0</v>
      </c>
      <c r="G37" s="209">
        <f t="shared" si="1"/>
        <v>0</v>
      </c>
      <c r="H37" s="31">
        <f t="shared" si="1"/>
        <v>0</v>
      </c>
      <c r="I37" s="8">
        <f t="shared" si="1"/>
        <v>0</v>
      </c>
      <c r="J37" s="8">
        <f t="shared" si="2"/>
        <v>0</v>
      </c>
      <c r="K37" s="72">
        <f t="shared" si="3"/>
        <v>-57931.841046277652</v>
      </c>
    </row>
    <row r="38" spans="1:11" x14ac:dyDescent="0.25">
      <c r="A38" s="38">
        <f>Données!A35</f>
        <v>5451</v>
      </c>
      <c r="B38" s="168" t="str">
        <f>Données!B35</f>
        <v>Avenches</v>
      </c>
      <c r="C38" s="8">
        <f>Données!Z35</f>
        <v>4696</v>
      </c>
      <c r="D38" s="8">
        <f t="shared" si="1"/>
        <v>1000</v>
      </c>
      <c r="E38" s="209">
        <f t="shared" si="1"/>
        <v>2000</v>
      </c>
      <c r="F38" s="8">
        <f t="shared" si="1"/>
        <v>1696</v>
      </c>
      <c r="G38" s="209">
        <f t="shared" si="1"/>
        <v>0</v>
      </c>
      <c r="H38" s="31">
        <f t="shared" si="1"/>
        <v>0</v>
      </c>
      <c r="I38" s="8">
        <f t="shared" si="1"/>
        <v>0</v>
      </c>
      <c r="J38" s="8">
        <f t="shared" si="2"/>
        <v>0</v>
      </c>
      <c r="K38" s="72">
        <f t="shared" si="3"/>
        <v>-1726859.1549295771</v>
      </c>
    </row>
    <row r="39" spans="1:11" x14ac:dyDescent="0.25">
      <c r="A39" s="38">
        <f>Données!A36</f>
        <v>5456</v>
      </c>
      <c r="B39" s="168" t="str">
        <f>Données!B36</f>
        <v>Cudrefin</v>
      </c>
      <c r="C39" s="8">
        <f>Données!Z36</f>
        <v>1876</v>
      </c>
      <c r="D39" s="8">
        <f t="shared" si="1"/>
        <v>1000</v>
      </c>
      <c r="E39" s="209">
        <f t="shared" si="1"/>
        <v>876</v>
      </c>
      <c r="F39" s="8">
        <f t="shared" si="1"/>
        <v>0</v>
      </c>
      <c r="G39" s="209">
        <f t="shared" si="1"/>
        <v>0</v>
      </c>
      <c r="H39" s="31">
        <f t="shared" si="1"/>
        <v>0</v>
      </c>
      <c r="I39" s="8">
        <f t="shared" si="1"/>
        <v>0</v>
      </c>
      <c r="J39" s="8">
        <f t="shared" si="2"/>
        <v>0</v>
      </c>
      <c r="K39" s="72">
        <f t="shared" si="3"/>
        <v>-445494.56740442646</v>
      </c>
    </row>
    <row r="40" spans="1:11" x14ac:dyDescent="0.25">
      <c r="A40" s="38">
        <f>Données!A37</f>
        <v>5458</v>
      </c>
      <c r="B40" s="168" t="str">
        <f>Données!B37</f>
        <v>Faoug</v>
      </c>
      <c r="C40" s="8">
        <f>Données!Z37</f>
        <v>903</v>
      </c>
      <c r="D40" s="8">
        <f t="shared" si="1"/>
        <v>903</v>
      </c>
      <c r="E40" s="209">
        <f t="shared" si="1"/>
        <v>0</v>
      </c>
      <c r="F40" s="8">
        <f t="shared" si="1"/>
        <v>0</v>
      </c>
      <c r="G40" s="209">
        <f t="shared" si="1"/>
        <v>0</v>
      </c>
      <c r="H40" s="31">
        <f t="shared" si="1"/>
        <v>0</v>
      </c>
      <c r="I40" s="8">
        <f t="shared" si="1"/>
        <v>0</v>
      </c>
      <c r="J40" s="8">
        <f t="shared" si="2"/>
        <v>0</v>
      </c>
      <c r="K40" s="72">
        <f t="shared" si="3"/>
        <v>-116508.80281690139</v>
      </c>
    </row>
    <row r="41" spans="1:11" x14ac:dyDescent="0.25">
      <c r="A41" s="38">
        <f>Données!A38</f>
        <v>5464</v>
      </c>
      <c r="B41" s="168" t="str">
        <f>Données!B38</f>
        <v>Vully-les-Lacs</v>
      </c>
      <c r="C41" s="8">
        <f>Données!Z38</f>
        <v>3540</v>
      </c>
      <c r="D41" s="8">
        <f t="shared" si="1"/>
        <v>1000</v>
      </c>
      <c r="E41" s="209">
        <f t="shared" si="1"/>
        <v>2000</v>
      </c>
      <c r="F41" s="8">
        <f t="shared" si="1"/>
        <v>540</v>
      </c>
      <c r="G41" s="209">
        <f t="shared" si="1"/>
        <v>0</v>
      </c>
      <c r="H41" s="31">
        <f t="shared" si="1"/>
        <v>0</v>
      </c>
      <c r="I41" s="8">
        <f t="shared" si="1"/>
        <v>0</v>
      </c>
      <c r="J41" s="8">
        <f t="shared" si="2"/>
        <v>0</v>
      </c>
      <c r="K41" s="72">
        <f t="shared" si="3"/>
        <v>-1130251.5090543258</v>
      </c>
    </row>
    <row r="42" spans="1:11" x14ac:dyDescent="0.25">
      <c r="A42" s="38">
        <f>Données!A39</f>
        <v>5471</v>
      </c>
      <c r="B42" s="168" t="str">
        <f>Données!B39</f>
        <v>Bettens</v>
      </c>
      <c r="C42" s="8">
        <f>Données!Z39</f>
        <v>650</v>
      </c>
      <c r="D42" s="8">
        <f t="shared" si="1"/>
        <v>650</v>
      </c>
      <c r="E42" s="209">
        <f t="shared" si="1"/>
        <v>0</v>
      </c>
      <c r="F42" s="8">
        <f t="shared" si="1"/>
        <v>0</v>
      </c>
      <c r="G42" s="209">
        <f t="shared" si="1"/>
        <v>0</v>
      </c>
      <c r="H42" s="31">
        <f t="shared" si="1"/>
        <v>0</v>
      </c>
      <c r="I42" s="8">
        <f t="shared" si="1"/>
        <v>0</v>
      </c>
      <c r="J42" s="8">
        <f t="shared" si="2"/>
        <v>0</v>
      </c>
      <c r="K42" s="72">
        <f t="shared" si="3"/>
        <v>-83865.694164989924</v>
      </c>
    </row>
    <row r="43" spans="1:11" x14ac:dyDescent="0.25">
      <c r="A43" s="38">
        <f>Données!A40</f>
        <v>5472</v>
      </c>
      <c r="B43" s="168" t="str">
        <f>Données!B40</f>
        <v>Bournens</v>
      </c>
      <c r="C43" s="8">
        <f>Données!Z40</f>
        <v>514</v>
      </c>
      <c r="D43" s="8">
        <f t="shared" si="1"/>
        <v>514</v>
      </c>
      <c r="E43" s="209">
        <f t="shared" si="1"/>
        <v>0</v>
      </c>
      <c r="F43" s="8">
        <f t="shared" si="1"/>
        <v>0</v>
      </c>
      <c r="G43" s="209">
        <f t="shared" si="1"/>
        <v>0</v>
      </c>
      <c r="H43" s="31">
        <f t="shared" si="1"/>
        <v>0</v>
      </c>
      <c r="I43" s="8">
        <f t="shared" si="1"/>
        <v>0</v>
      </c>
      <c r="J43" s="8">
        <f t="shared" si="2"/>
        <v>0</v>
      </c>
      <c r="K43" s="72">
        <f t="shared" si="3"/>
        <v>-66318.41046277665</v>
      </c>
    </row>
    <row r="44" spans="1:11" x14ac:dyDescent="0.25">
      <c r="A44" s="38">
        <f>Données!A41</f>
        <v>5473</v>
      </c>
      <c r="B44" s="168" t="str">
        <f>Données!B41</f>
        <v>Boussens</v>
      </c>
      <c r="C44" s="8">
        <f>Données!Z41</f>
        <v>1009</v>
      </c>
      <c r="D44" s="8">
        <f t="shared" si="1"/>
        <v>1000</v>
      </c>
      <c r="E44" s="209">
        <f t="shared" si="1"/>
        <v>9</v>
      </c>
      <c r="F44" s="8">
        <f t="shared" si="1"/>
        <v>0</v>
      </c>
      <c r="G44" s="209">
        <f t="shared" si="1"/>
        <v>0</v>
      </c>
      <c r="H44" s="31">
        <f t="shared" si="1"/>
        <v>0</v>
      </c>
      <c r="I44" s="8">
        <f t="shared" si="1"/>
        <v>0</v>
      </c>
      <c r="J44" s="8">
        <f t="shared" si="2"/>
        <v>0</v>
      </c>
      <c r="K44" s="72">
        <f t="shared" si="3"/>
        <v>-132275.55331991948</v>
      </c>
    </row>
    <row r="45" spans="1:11" x14ac:dyDescent="0.25">
      <c r="A45" s="38">
        <f>Données!A42</f>
        <v>5474</v>
      </c>
      <c r="B45" s="168" t="str">
        <f>Données!B42</f>
        <v>La Chaux (Cossonay)</v>
      </c>
      <c r="C45" s="8">
        <f>Données!Z42</f>
        <v>412</v>
      </c>
      <c r="D45" s="8">
        <f t="shared" si="1"/>
        <v>412</v>
      </c>
      <c r="E45" s="209">
        <f t="shared" si="1"/>
        <v>0</v>
      </c>
      <c r="F45" s="8">
        <f t="shared" si="1"/>
        <v>0</v>
      </c>
      <c r="G45" s="209">
        <f t="shared" si="1"/>
        <v>0</v>
      </c>
      <c r="H45" s="31">
        <f t="shared" si="1"/>
        <v>0</v>
      </c>
      <c r="I45" s="8">
        <f t="shared" si="1"/>
        <v>0</v>
      </c>
      <c r="J45" s="8">
        <f t="shared" si="2"/>
        <v>0</v>
      </c>
      <c r="K45" s="72">
        <f t="shared" si="3"/>
        <v>-53157.947686116691</v>
      </c>
    </row>
    <row r="46" spans="1:11" x14ac:dyDescent="0.25">
      <c r="A46" s="38">
        <f>Données!A43</f>
        <v>5475</v>
      </c>
      <c r="B46" s="168" t="str">
        <f>Données!B43</f>
        <v>Chavannes-le-Veyron</v>
      </c>
      <c r="C46" s="8">
        <f>Données!Z43</f>
        <v>163</v>
      </c>
      <c r="D46" s="8">
        <f t="shared" si="1"/>
        <v>163</v>
      </c>
      <c r="E46" s="209">
        <f t="shared" si="1"/>
        <v>0</v>
      </c>
      <c r="F46" s="8">
        <f t="shared" si="1"/>
        <v>0</v>
      </c>
      <c r="G46" s="209">
        <f t="shared" si="1"/>
        <v>0</v>
      </c>
      <c r="H46" s="31">
        <f t="shared" si="1"/>
        <v>0</v>
      </c>
      <c r="I46" s="8">
        <f t="shared" si="1"/>
        <v>0</v>
      </c>
      <c r="J46" s="8">
        <f t="shared" si="2"/>
        <v>0</v>
      </c>
      <c r="K46" s="72">
        <f t="shared" si="3"/>
        <v>-21030.935613682086</v>
      </c>
    </row>
    <row r="47" spans="1:11" x14ac:dyDescent="0.25">
      <c r="A47" s="38">
        <f>Données!A44</f>
        <v>5476</v>
      </c>
      <c r="B47" s="168" t="str">
        <f>Données!B44</f>
        <v>Chevilly</v>
      </c>
      <c r="C47" s="8">
        <f>Données!Z44</f>
        <v>331</v>
      </c>
      <c r="D47" s="8">
        <f t="shared" si="1"/>
        <v>331</v>
      </c>
      <c r="E47" s="209">
        <f t="shared" si="1"/>
        <v>0</v>
      </c>
      <c r="F47" s="8">
        <f t="shared" si="1"/>
        <v>0</v>
      </c>
      <c r="G47" s="209">
        <f t="shared" si="1"/>
        <v>0</v>
      </c>
      <c r="H47" s="31">
        <f t="shared" si="1"/>
        <v>0</v>
      </c>
      <c r="I47" s="8">
        <f t="shared" si="1"/>
        <v>0</v>
      </c>
      <c r="J47" s="8">
        <f t="shared" si="2"/>
        <v>0</v>
      </c>
      <c r="K47" s="72">
        <f t="shared" si="3"/>
        <v>-42706.991951710253</v>
      </c>
    </row>
    <row r="48" spans="1:11" x14ac:dyDescent="0.25">
      <c r="A48" s="38">
        <f>Données!A45</f>
        <v>5477</v>
      </c>
      <c r="B48" s="168" t="str">
        <f>Données!B45</f>
        <v>Cossonay</v>
      </c>
      <c r="C48" s="8">
        <f>Données!Z45</f>
        <v>4389</v>
      </c>
      <c r="D48" s="8">
        <f t="shared" si="1"/>
        <v>1000</v>
      </c>
      <c r="E48" s="209">
        <f t="shared" si="1"/>
        <v>2000</v>
      </c>
      <c r="F48" s="8">
        <f t="shared" si="1"/>
        <v>1389</v>
      </c>
      <c r="G48" s="209">
        <f t="shared" si="1"/>
        <v>0</v>
      </c>
      <c r="H48" s="31">
        <f t="shared" si="1"/>
        <v>0</v>
      </c>
      <c r="I48" s="8">
        <f t="shared" si="1"/>
        <v>0</v>
      </c>
      <c r="J48" s="8">
        <f t="shared" si="2"/>
        <v>0</v>
      </c>
      <c r="K48" s="72">
        <f t="shared" si="3"/>
        <v>-1568417.5050301808</v>
      </c>
    </row>
    <row r="49" spans="1:11" x14ac:dyDescent="0.25">
      <c r="A49" s="38">
        <f>Données!A46</f>
        <v>5479</v>
      </c>
      <c r="B49" s="168" t="str">
        <f>Données!B46</f>
        <v>Cuarnens</v>
      </c>
      <c r="C49" s="8">
        <f>Données!Z46</f>
        <v>545</v>
      </c>
      <c r="D49" s="8">
        <f t="shared" si="1"/>
        <v>545</v>
      </c>
      <c r="E49" s="209">
        <f t="shared" si="1"/>
        <v>0</v>
      </c>
      <c r="F49" s="8">
        <f t="shared" si="1"/>
        <v>0</v>
      </c>
      <c r="G49" s="209">
        <f t="shared" si="1"/>
        <v>0</v>
      </c>
      <c r="H49" s="31">
        <f t="shared" si="1"/>
        <v>0</v>
      </c>
      <c r="I49" s="8">
        <f t="shared" si="1"/>
        <v>0</v>
      </c>
      <c r="J49" s="8">
        <f t="shared" si="2"/>
        <v>0</v>
      </c>
      <c r="K49" s="72">
        <f t="shared" si="3"/>
        <v>-70318.158953722319</v>
      </c>
    </row>
    <row r="50" spans="1:11" x14ac:dyDescent="0.25">
      <c r="A50" s="38">
        <f>Données!A47</f>
        <v>5480</v>
      </c>
      <c r="B50" s="168" t="str">
        <f>Données!B47</f>
        <v>Daillens</v>
      </c>
      <c r="C50" s="8">
        <f>Données!Z47</f>
        <v>1057</v>
      </c>
      <c r="D50" s="8">
        <f t="shared" si="1"/>
        <v>1000</v>
      </c>
      <c r="E50" s="209">
        <f t="shared" si="1"/>
        <v>57</v>
      </c>
      <c r="F50" s="8">
        <f t="shared" si="1"/>
        <v>0</v>
      </c>
      <c r="G50" s="209">
        <f t="shared" si="1"/>
        <v>0</v>
      </c>
      <c r="H50" s="31">
        <f t="shared" si="1"/>
        <v>0</v>
      </c>
      <c r="I50" s="8">
        <f t="shared" si="1"/>
        <v>0</v>
      </c>
      <c r="J50" s="8">
        <f t="shared" si="2"/>
        <v>0</v>
      </c>
      <c r="K50" s="72">
        <f t="shared" si="3"/>
        <v>-149616.39839034202</v>
      </c>
    </row>
    <row r="51" spans="1:11" x14ac:dyDescent="0.25">
      <c r="A51" s="38">
        <f>Données!A48</f>
        <v>5481</v>
      </c>
      <c r="B51" s="168" t="str">
        <f>Données!B48</f>
        <v>Dizy</v>
      </c>
      <c r="C51" s="8">
        <f>Données!Z48</f>
        <v>232</v>
      </c>
      <c r="D51" s="8">
        <f t="shared" si="1"/>
        <v>232</v>
      </c>
      <c r="E51" s="209">
        <f t="shared" si="1"/>
        <v>0</v>
      </c>
      <c r="F51" s="8">
        <f t="shared" si="1"/>
        <v>0</v>
      </c>
      <c r="G51" s="209">
        <f t="shared" si="1"/>
        <v>0</v>
      </c>
      <c r="H51" s="31">
        <f t="shared" si="1"/>
        <v>0</v>
      </c>
      <c r="I51" s="8">
        <f t="shared" si="1"/>
        <v>0</v>
      </c>
      <c r="J51" s="8">
        <f t="shared" si="2"/>
        <v>0</v>
      </c>
      <c r="K51" s="72">
        <f t="shared" si="3"/>
        <v>-29933.601609657941</v>
      </c>
    </row>
    <row r="52" spans="1:11" x14ac:dyDescent="0.25">
      <c r="A52" s="38">
        <f>Données!A49</f>
        <v>5482</v>
      </c>
      <c r="B52" s="168" t="str">
        <f>Données!B49</f>
        <v>Eclépens</v>
      </c>
      <c r="C52" s="8">
        <f>Données!Z49</f>
        <v>1199</v>
      </c>
      <c r="D52" s="8">
        <f t="shared" si="1"/>
        <v>1000</v>
      </c>
      <c r="E52" s="209">
        <f t="shared" si="1"/>
        <v>199</v>
      </c>
      <c r="F52" s="8">
        <f t="shared" si="1"/>
        <v>0</v>
      </c>
      <c r="G52" s="209">
        <f t="shared" si="1"/>
        <v>0</v>
      </c>
      <c r="H52" s="31">
        <f t="shared" si="1"/>
        <v>0</v>
      </c>
      <c r="I52" s="8">
        <f t="shared" si="1"/>
        <v>0</v>
      </c>
      <c r="J52" s="8">
        <f t="shared" si="2"/>
        <v>0</v>
      </c>
      <c r="K52" s="72">
        <f t="shared" si="3"/>
        <v>-200916.39839034202</v>
      </c>
    </row>
    <row r="53" spans="1:11" x14ac:dyDescent="0.25">
      <c r="A53" s="38">
        <f>Données!A50</f>
        <v>5483</v>
      </c>
      <c r="B53" s="168" t="str">
        <f>Données!B50</f>
        <v>Ferreyres</v>
      </c>
      <c r="C53" s="8">
        <f>Données!Z50</f>
        <v>308</v>
      </c>
      <c r="D53" s="8">
        <f t="shared" si="1"/>
        <v>308</v>
      </c>
      <c r="E53" s="209">
        <f t="shared" si="1"/>
        <v>0</v>
      </c>
      <c r="F53" s="8">
        <f t="shared" si="1"/>
        <v>0</v>
      </c>
      <c r="G53" s="209">
        <f t="shared" si="1"/>
        <v>0</v>
      </c>
      <c r="H53" s="31">
        <f t="shared" si="1"/>
        <v>0</v>
      </c>
      <c r="I53" s="8">
        <f t="shared" si="1"/>
        <v>0</v>
      </c>
      <c r="J53" s="8">
        <f t="shared" si="2"/>
        <v>0</v>
      </c>
      <c r="K53" s="72">
        <f t="shared" si="3"/>
        <v>-39739.436619718304</v>
      </c>
    </row>
    <row r="54" spans="1:11" x14ac:dyDescent="0.25">
      <c r="A54" s="38">
        <f>Données!A51</f>
        <v>5484</v>
      </c>
      <c r="B54" s="168" t="str">
        <f>Données!B51</f>
        <v>Gollion</v>
      </c>
      <c r="C54" s="8">
        <f>Données!Z51</f>
        <v>1033</v>
      </c>
      <c r="D54" s="8">
        <f t="shared" si="1"/>
        <v>1000</v>
      </c>
      <c r="E54" s="209">
        <f t="shared" si="1"/>
        <v>33</v>
      </c>
      <c r="F54" s="8">
        <f t="shared" si="1"/>
        <v>0</v>
      </c>
      <c r="G54" s="209">
        <f t="shared" si="1"/>
        <v>0</v>
      </c>
      <c r="H54" s="31">
        <f t="shared" si="1"/>
        <v>0</v>
      </c>
      <c r="I54" s="8">
        <f t="shared" si="1"/>
        <v>0</v>
      </c>
      <c r="J54" s="8">
        <f t="shared" si="2"/>
        <v>0</v>
      </c>
      <c r="K54" s="72">
        <f t="shared" si="3"/>
        <v>-140945.97585513076</v>
      </c>
    </row>
    <row r="55" spans="1:11" x14ac:dyDescent="0.25">
      <c r="A55" s="38">
        <f>Données!A52</f>
        <v>5485</v>
      </c>
      <c r="B55" s="168" t="str">
        <f>Données!B52</f>
        <v>Grancy</v>
      </c>
      <c r="C55" s="8">
        <f>Données!Z52</f>
        <v>489</v>
      </c>
      <c r="D55" s="8">
        <f t="shared" si="1"/>
        <v>489</v>
      </c>
      <c r="E55" s="209">
        <f t="shared" si="1"/>
        <v>0</v>
      </c>
      <c r="F55" s="8">
        <f t="shared" si="1"/>
        <v>0</v>
      </c>
      <c r="G55" s="209">
        <f t="shared" si="1"/>
        <v>0</v>
      </c>
      <c r="H55" s="31">
        <f t="shared" si="1"/>
        <v>0</v>
      </c>
      <c r="I55" s="8">
        <f t="shared" si="1"/>
        <v>0</v>
      </c>
      <c r="J55" s="8">
        <f t="shared" si="2"/>
        <v>0</v>
      </c>
      <c r="K55" s="72">
        <f t="shared" si="3"/>
        <v>-63092.806841046266</v>
      </c>
    </row>
    <row r="56" spans="1:11" x14ac:dyDescent="0.25">
      <c r="A56" s="38">
        <f>Données!A53</f>
        <v>5486</v>
      </c>
      <c r="B56" s="168" t="str">
        <f>Données!B53</f>
        <v>L'Isle</v>
      </c>
      <c r="C56" s="8">
        <f>Données!Z53</f>
        <v>1095</v>
      </c>
      <c r="D56" s="8">
        <f t="shared" si="1"/>
        <v>1000</v>
      </c>
      <c r="E56" s="209">
        <f t="shared" si="1"/>
        <v>95</v>
      </c>
      <c r="F56" s="8">
        <f t="shared" si="1"/>
        <v>0</v>
      </c>
      <c r="G56" s="209">
        <f t="shared" si="1"/>
        <v>0</v>
      </c>
      <c r="H56" s="31">
        <f t="shared" si="1"/>
        <v>0</v>
      </c>
      <c r="I56" s="8">
        <f t="shared" si="1"/>
        <v>0</v>
      </c>
      <c r="J56" s="8">
        <f t="shared" si="2"/>
        <v>0</v>
      </c>
      <c r="K56" s="72">
        <f t="shared" si="3"/>
        <v>-163344.56740442652</v>
      </c>
    </row>
    <row r="57" spans="1:11" x14ac:dyDescent="0.25">
      <c r="A57" s="38">
        <f>Données!A54</f>
        <v>5487</v>
      </c>
      <c r="B57" s="168" t="str">
        <f>Données!B54</f>
        <v>Lussery-Villars</v>
      </c>
      <c r="C57" s="8">
        <f>Données!Z54</f>
        <v>482</v>
      </c>
      <c r="D57" s="8">
        <f t="shared" si="1"/>
        <v>482</v>
      </c>
      <c r="E57" s="209">
        <f t="shared" si="1"/>
        <v>0</v>
      </c>
      <c r="F57" s="8">
        <f t="shared" si="1"/>
        <v>0</v>
      </c>
      <c r="G57" s="209">
        <f t="shared" si="1"/>
        <v>0</v>
      </c>
      <c r="H57" s="31">
        <f t="shared" si="1"/>
        <v>0</v>
      </c>
      <c r="I57" s="8">
        <f t="shared" si="1"/>
        <v>0</v>
      </c>
      <c r="J57" s="8">
        <f t="shared" si="2"/>
        <v>0</v>
      </c>
      <c r="K57" s="72">
        <f t="shared" si="3"/>
        <v>-62189.637826961756</v>
      </c>
    </row>
    <row r="58" spans="1:11" x14ac:dyDescent="0.25">
      <c r="A58" s="38">
        <f>Données!A55</f>
        <v>5488</v>
      </c>
      <c r="B58" s="168" t="str">
        <f>Données!B55</f>
        <v>Mauraz</v>
      </c>
      <c r="C58" s="8">
        <f>Données!Z55</f>
        <v>65</v>
      </c>
      <c r="D58" s="8">
        <f t="shared" si="1"/>
        <v>65</v>
      </c>
      <c r="E58" s="209">
        <f t="shared" si="1"/>
        <v>0</v>
      </c>
      <c r="F58" s="8">
        <f t="shared" si="1"/>
        <v>0</v>
      </c>
      <c r="G58" s="209">
        <f t="shared" si="1"/>
        <v>0</v>
      </c>
      <c r="H58" s="31">
        <f t="shared" si="1"/>
        <v>0</v>
      </c>
      <c r="I58" s="8">
        <f t="shared" si="1"/>
        <v>0</v>
      </c>
      <c r="J58" s="8">
        <f t="shared" si="2"/>
        <v>0</v>
      </c>
      <c r="K58" s="72">
        <f t="shared" si="3"/>
        <v>-8386.5694164989927</v>
      </c>
    </row>
    <row r="59" spans="1:11" x14ac:dyDescent="0.25">
      <c r="A59" s="38">
        <f>Données!A56</f>
        <v>5489</v>
      </c>
      <c r="B59" s="168" t="str">
        <f>Données!B56</f>
        <v>Mex</v>
      </c>
      <c r="C59" s="8">
        <f>Données!Z56</f>
        <v>817</v>
      </c>
      <c r="D59" s="8">
        <f t="shared" si="1"/>
        <v>817</v>
      </c>
      <c r="E59" s="209">
        <f t="shared" si="1"/>
        <v>0</v>
      </c>
      <c r="F59" s="8">
        <f t="shared" si="1"/>
        <v>0</v>
      </c>
      <c r="G59" s="209">
        <f t="shared" si="1"/>
        <v>0</v>
      </c>
      <c r="H59" s="31">
        <f t="shared" si="1"/>
        <v>0</v>
      </c>
      <c r="I59" s="8">
        <f t="shared" si="1"/>
        <v>0</v>
      </c>
      <c r="J59" s="8">
        <f t="shared" si="2"/>
        <v>0</v>
      </c>
      <c r="K59" s="72">
        <f t="shared" si="3"/>
        <v>-105412.72635814887</v>
      </c>
    </row>
    <row r="60" spans="1:11" x14ac:dyDescent="0.25">
      <c r="A60" s="38">
        <f>Données!A57</f>
        <v>5490</v>
      </c>
      <c r="B60" s="168" t="str">
        <f>Données!B57</f>
        <v>Moiry</v>
      </c>
      <c r="C60" s="8">
        <f>Données!Z57</f>
        <v>296</v>
      </c>
      <c r="D60" s="8">
        <f t="shared" si="1"/>
        <v>296</v>
      </c>
      <c r="E60" s="209">
        <f t="shared" si="1"/>
        <v>0</v>
      </c>
      <c r="F60" s="8">
        <f t="shared" si="1"/>
        <v>0</v>
      </c>
      <c r="G60" s="209">
        <f t="shared" si="1"/>
        <v>0</v>
      </c>
      <c r="H60" s="31">
        <f t="shared" si="1"/>
        <v>0</v>
      </c>
      <c r="I60" s="8">
        <f t="shared" si="1"/>
        <v>0</v>
      </c>
      <c r="J60" s="8">
        <f t="shared" si="2"/>
        <v>0</v>
      </c>
      <c r="K60" s="72">
        <f t="shared" si="3"/>
        <v>-38191.146881287721</v>
      </c>
    </row>
    <row r="61" spans="1:11" x14ac:dyDescent="0.25">
      <c r="A61" s="38">
        <f>Données!A58</f>
        <v>5491</v>
      </c>
      <c r="B61" s="168" t="str">
        <f>Données!B58</f>
        <v>Mont-la-Ville</v>
      </c>
      <c r="C61" s="8">
        <f>Données!Z58</f>
        <v>502</v>
      </c>
      <c r="D61" s="8">
        <f t="shared" si="1"/>
        <v>502</v>
      </c>
      <c r="E61" s="209">
        <f t="shared" si="1"/>
        <v>0</v>
      </c>
      <c r="F61" s="8">
        <f t="shared" si="1"/>
        <v>0</v>
      </c>
      <c r="G61" s="209">
        <f t="shared" si="1"/>
        <v>0</v>
      </c>
      <c r="H61" s="31">
        <f t="shared" si="1"/>
        <v>0</v>
      </c>
      <c r="I61" s="8">
        <f t="shared" si="1"/>
        <v>0</v>
      </c>
      <c r="J61" s="8">
        <f t="shared" si="2"/>
        <v>0</v>
      </c>
      <c r="K61" s="72">
        <f t="shared" si="3"/>
        <v>-64770.120724346059</v>
      </c>
    </row>
    <row r="62" spans="1:11" x14ac:dyDescent="0.25">
      <c r="A62" s="38">
        <f>Données!A59</f>
        <v>5492</v>
      </c>
      <c r="B62" s="168" t="str">
        <f>Données!B59</f>
        <v>Montricher</v>
      </c>
      <c r="C62" s="8">
        <f>Données!Z59</f>
        <v>978</v>
      </c>
      <c r="D62" s="8">
        <f t="shared" si="1"/>
        <v>978</v>
      </c>
      <c r="E62" s="209">
        <f t="shared" si="1"/>
        <v>0</v>
      </c>
      <c r="F62" s="8">
        <f t="shared" si="1"/>
        <v>0</v>
      </c>
      <c r="G62" s="209">
        <f t="shared" si="1"/>
        <v>0</v>
      </c>
      <c r="H62" s="31">
        <f t="shared" si="1"/>
        <v>0</v>
      </c>
      <c r="I62" s="8">
        <f t="shared" si="1"/>
        <v>0</v>
      </c>
      <c r="J62" s="8">
        <f t="shared" si="2"/>
        <v>0</v>
      </c>
      <c r="K62" s="72">
        <f t="shared" si="3"/>
        <v>-126185.61368209253</v>
      </c>
    </row>
    <row r="63" spans="1:11" x14ac:dyDescent="0.25">
      <c r="A63" s="38">
        <f>Données!A60</f>
        <v>5493</v>
      </c>
      <c r="B63" s="168" t="str">
        <f>Données!B60</f>
        <v>Orny</v>
      </c>
      <c r="C63" s="8">
        <f>Données!Z60</f>
        <v>484</v>
      </c>
      <c r="D63" s="8">
        <f t="shared" si="1"/>
        <v>484</v>
      </c>
      <c r="E63" s="209">
        <f t="shared" si="1"/>
        <v>0</v>
      </c>
      <c r="F63" s="8">
        <f t="shared" si="1"/>
        <v>0</v>
      </c>
      <c r="G63" s="209">
        <f t="shared" si="1"/>
        <v>0</v>
      </c>
      <c r="H63" s="31">
        <f t="shared" si="1"/>
        <v>0</v>
      </c>
      <c r="I63" s="8">
        <f t="shared" si="1"/>
        <v>0</v>
      </c>
      <c r="J63" s="8">
        <f t="shared" si="2"/>
        <v>0</v>
      </c>
      <c r="K63" s="72">
        <f t="shared" si="3"/>
        <v>-62447.686116700184</v>
      </c>
    </row>
    <row r="64" spans="1:11" x14ac:dyDescent="0.25">
      <c r="A64" s="38">
        <f>Données!A61</f>
        <v>5495</v>
      </c>
      <c r="B64" s="168" t="str">
        <f>Données!B61</f>
        <v>Penthalaz</v>
      </c>
      <c r="C64" s="8">
        <f>Données!Z61</f>
        <v>3214</v>
      </c>
      <c r="D64" s="8">
        <f t="shared" si="1"/>
        <v>1000</v>
      </c>
      <c r="E64" s="209">
        <f t="shared" si="1"/>
        <v>2000</v>
      </c>
      <c r="F64" s="8">
        <f t="shared" si="1"/>
        <v>214</v>
      </c>
      <c r="G64" s="209">
        <f t="shared" si="1"/>
        <v>0</v>
      </c>
      <c r="H64" s="31">
        <f t="shared" si="1"/>
        <v>0</v>
      </c>
      <c r="I64" s="8">
        <f t="shared" si="1"/>
        <v>0</v>
      </c>
      <c r="J64" s="8">
        <f t="shared" si="2"/>
        <v>0</v>
      </c>
      <c r="K64" s="72">
        <f t="shared" si="3"/>
        <v>-962004.02414486906</v>
      </c>
    </row>
    <row r="65" spans="1:11" x14ac:dyDescent="0.25">
      <c r="A65" s="38">
        <f>Données!A62</f>
        <v>5496</v>
      </c>
      <c r="B65" s="168" t="str">
        <f>Données!B62</f>
        <v>Penthaz</v>
      </c>
      <c r="C65" s="8">
        <f>Données!Z62</f>
        <v>1923</v>
      </c>
      <c r="D65" s="8">
        <f t="shared" ref="D65:I107" si="4">IF($C65&gt;D$5,IF($C65&lt;D$6,$C65-D$5,D$6-D$5),0)</f>
        <v>1000</v>
      </c>
      <c r="E65" s="209">
        <f t="shared" si="4"/>
        <v>923</v>
      </c>
      <c r="F65" s="8">
        <f t="shared" si="4"/>
        <v>0</v>
      </c>
      <c r="G65" s="209">
        <f t="shared" si="4"/>
        <v>0</v>
      </c>
      <c r="H65" s="31">
        <f t="shared" si="4"/>
        <v>0</v>
      </c>
      <c r="I65" s="8">
        <f t="shared" si="4"/>
        <v>0</v>
      </c>
      <c r="J65" s="8">
        <f t="shared" si="2"/>
        <v>0</v>
      </c>
      <c r="K65" s="72">
        <f t="shared" si="3"/>
        <v>-462474.1448692152</v>
      </c>
    </row>
    <row r="66" spans="1:11" x14ac:dyDescent="0.25">
      <c r="A66" s="38">
        <f>Données!A63</f>
        <v>5497</v>
      </c>
      <c r="B66" s="168" t="str">
        <f>Données!B63</f>
        <v>Pompaples</v>
      </c>
      <c r="C66" s="8">
        <f>Données!Z63</f>
        <v>860</v>
      </c>
      <c r="D66" s="8">
        <f t="shared" si="4"/>
        <v>860</v>
      </c>
      <c r="E66" s="209">
        <f t="shared" si="4"/>
        <v>0</v>
      </c>
      <c r="F66" s="8">
        <f t="shared" si="4"/>
        <v>0</v>
      </c>
      <c r="G66" s="209">
        <f t="shared" si="4"/>
        <v>0</v>
      </c>
      <c r="H66" s="31">
        <f t="shared" si="4"/>
        <v>0</v>
      </c>
      <c r="I66" s="8">
        <f t="shared" si="4"/>
        <v>0</v>
      </c>
      <c r="J66" s="8">
        <f t="shared" si="2"/>
        <v>0</v>
      </c>
      <c r="K66" s="72">
        <f t="shared" si="3"/>
        <v>-110960.76458752513</v>
      </c>
    </row>
    <row r="67" spans="1:11" x14ac:dyDescent="0.25">
      <c r="A67" s="38">
        <f>Données!A64</f>
        <v>5498</v>
      </c>
      <c r="B67" s="168" t="str">
        <f>Données!B64</f>
        <v>La Sarraz</v>
      </c>
      <c r="C67" s="8">
        <f>Données!Z64</f>
        <v>2608</v>
      </c>
      <c r="D67" s="8">
        <f t="shared" si="4"/>
        <v>1000</v>
      </c>
      <c r="E67" s="209">
        <f t="shared" si="4"/>
        <v>1608</v>
      </c>
      <c r="F67" s="8">
        <f t="shared" si="4"/>
        <v>0</v>
      </c>
      <c r="G67" s="209">
        <f t="shared" si="4"/>
        <v>0</v>
      </c>
      <c r="H67" s="31">
        <f t="shared" si="4"/>
        <v>0</v>
      </c>
      <c r="I67" s="8">
        <f t="shared" si="4"/>
        <v>0</v>
      </c>
      <c r="J67" s="8">
        <f t="shared" si="2"/>
        <v>0</v>
      </c>
      <c r="K67" s="72">
        <f t="shared" si="3"/>
        <v>-709942.45472837007</v>
      </c>
    </row>
    <row r="68" spans="1:11" x14ac:dyDescent="0.25">
      <c r="A68" s="38">
        <f>Données!A65</f>
        <v>5499</v>
      </c>
      <c r="B68" s="168" t="str">
        <f>Données!B65</f>
        <v>Senarclens</v>
      </c>
      <c r="C68" s="8">
        <f>Données!Z65</f>
        <v>496</v>
      </c>
      <c r="D68" s="8">
        <f t="shared" si="4"/>
        <v>496</v>
      </c>
      <c r="E68" s="209">
        <f t="shared" si="4"/>
        <v>0</v>
      </c>
      <c r="F68" s="8">
        <f t="shared" si="4"/>
        <v>0</v>
      </c>
      <c r="G68" s="209">
        <f t="shared" si="4"/>
        <v>0</v>
      </c>
      <c r="H68" s="31">
        <f t="shared" si="4"/>
        <v>0</v>
      </c>
      <c r="I68" s="8">
        <f t="shared" si="4"/>
        <v>0</v>
      </c>
      <c r="J68" s="8">
        <f t="shared" si="2"/>
        <v>0</v>
      </c>
      <c r="K68" s="72">
        <f t="shared" si="3"/>
        <v>-63995.975855130768</v>
      </c>
    </row>
    <row r="69" spans="1:11" x14ac:dyDescent="0.25">
      <c r="A69" s="38">
        <f>Données!A66</f>
        <v>5501</v>
      </c>
      <c r="B69" s="168" t="str">
        <f>Données!B66</f>
        <v>Sullens</v>
      </c>
      <c r="C69" s="8">
        <f>Données!Z66</f>
        <v>1169</v>
      </c>
      <c r="D69" s="8">
        <f t="shared" si="4"/>
        <v>1000</v>
      </c>
      <c r="E69" s="209">
        <f t="shared" si="4"/>
        <v>169</v>
      </c>
      <c r="F69" s="8">
        <f t="shared" si="4"/>
        <v>0</v>
      </c>
      <c r="G69" s="209">
        <f t="shared" si="4"/>
        <v>0</v>
      </c>
      <c r="H69" s="31">
        <f t="shared" si="4"/>
        <v>0</v>
      </c>
      <c r="I69" s="8">
        <f t="shared" si="4"/>
        <v>0</v>
      </c>
      <c r="J69" s="8">
        <f t="shared" si="2"/>
        <v>0</v>
      </c>
      <c r="K69" s="72">
        <f t="shared" si="3"/>
        <v>-190078.37022132793</v>
      </c>
    </row>
    <row r="70" spans="1:11" x14ac:dyDescent="0.25">
      <c r="A70" s="38">
        <f>Données!A67</f>
        <v>5503</v>
      </c>
      <c r="B70" s="168" t="str">
        <f>Données!B67</f>
        <v>Vufflens-la-Ville</v>
      </c>
      <c r="C70" s="8">
        <f>Données!Z67</f>
        <v>1334</v>
      </c>
      <c r="D70" s="8">
        <f t="shared" si="4"/>
        <v>1000</v>
      </c>
      <c r="E70" s="209">
        <f t="shared" si="4"/>
        <v>334</v>
      </c>
      <c r="F70" s="8">
        <f t="shared" si="4"/>
        <v>0</v>
      </c>
      <c r="G70" s="209">
        <f t="shared" si="4"/>
        <v>0</v>
      </c>
      <c r="H70" s="31">
        <f t="shared" si="4"/>
        <v>0</v>
      </c>
      <c r="I70" s="8">
        <f t="shared" si="4"/>
        <v>0</v>
      </c>
      <c r="J70" s="8">
        <f t="shared" si="2"/>
        <v>0</v>
      </c>
      <c r="K70" s="72">
        <f t="shared" si="3"/>
        <v>-249687.52515090536</v>
      </c>
    </row>
    <row r="71" spans="1:11" x14ac:dyDescent="0.25">
      <c r="A71" s="38">
        <f>Données!A68</f>
        <v>5511</v>
      </c>
      <c r="B71" s="168" t="str">
        <f>Données!B68</f>
        <v>Assens</v>
      </c>
      <c r="C71" s="8">
        <f>Données!Z68</f>
        <v>1669</v>
      </c>
      <c r="D71" s="8">
        <f t="shared" si="4"/>
        <v>1000</v>
      </c>
      <c r="E71" s="209">
        <f t="shared" si="4"/>
        <v>669</v>
      </c>
      <c r="F71" s="8">
        <f t="shared" si="4"/>
        <v>0</v>
      </c>
      <c r="G71" s="209">
        <f t="shared" si="4"/>
        <v>0</v>
      </c>
      <c r="H71" s="31">
        <f t="shared" si="4"/>
        <v>0</v>
      </c>
      <c r="I71" s="8">
        <f t="shared" si="4"/>
        <v>0</v>
      </c>
      <c r="J71" s="8">
        <f t="shared" si="2"/>
        <v>0</v>
      </c>
      <c r="K71" s="72">
        <f t="shared" si="3"/>
        <v>-370712.17303822935</v>
      </c>
    </row>
    <row r="72" spans="1:11" x14ac:dyDescent="0.25">
      <c r="A72" s="38">
        <f>Données!A69</f>
        <v>5512</v>
      </c>
      <c r="B72" s="168" t="str">
        <f>Données!B69</f>
        <v>Bercher</v>
      </c>
      <c r="C72" s="8">
        <f>Données!Z69</f>
        <v>1359</v>
      </c>
      <c r="D72" s="8">
        <f t="shared" si="4"/>
        <v>1000</v>
      </c>
      <c r="E72" s="209">
        <f t="shared" si="4"/>
        <v>359</v>
      </c>
      <c r="F72" s="8">
        <f t="shared" si="4"/>
        <v>0</v>
      </c>
      <c r="G72" s="209">
        <f t="shared" si="4"/>
        <v>0</v>
      </c>
      <c r="H72" s="31">
        <f t="shared" si="4"/>
        <v>0</v>
      </c>
      <c r="I72" s="8">
        <f t="shared" si="4"/>
        <v>0</v>
      </c>
      <c r="J72" s="8">
        <f t="shared" si="2"/>
        <v>0</v>
      </c>
      <c r="K72" s="72">
        <f t="shared" si="3"/>
        <v>-258719.21529175044</v>
      </c>
    </row>
    <row r="73" spans="1:11" x14ac:dyDescent="0.25">
      <c r="A73" s="38">
        <f>Données!A70</f>
        <v>5514</v>
      </c>
      <c r="B73" s="168" t="str">
        <f>Données!B70</f>
        <v>Bottens</v>
      </c>
      <c r="C73" s="8">
        <f>Données!Z70</f>
        <v>1356</v>
      </c>
      <c r="D73" s="8">
        <f t="shared" si="4"/>
        <v>1000</v>
      </c>
      <c r="E73" s="209">
        <f t="shared" si="4"/>
        <v>356</v>
      </c>
      <c r="F73" s="8">
        <f t="shared" si="4"/>
        <v>0</v>
      </c>
      <c r="G73" s="209">
        <f t="shared" si="4"/>
        <v>0</v>
      </c>
      <c r="H73" s="31">
        <f t="shared" si="4"/>
        <v>0</v>
      </c>
      <c r="I73" s="8">
        <f t="shared" si="4"/>
        <v>0</v>
      </c>
      <c r="J73" s="8">
        <f t="shared" si="2"/>
        <v>0</v>
      </c>
      <c r="K73" s="72">
        <f t="shared" si="3"/>
        <v>-257635.41247484903</v>
      </c>
    </row>
    <row r="74" spans="1:11" x14ac:dyDescent="0.25">
      <c r="A74" s="38">
        <f>Données!A71</f>
        <v>5515</v>
      </c>
      <c r="B74" s="168" t="str">
        <f>Données!B71</f>
        <v>Bretigny-sur-Morrens</v>
      </c>
      <c r="C74" s="8">
        <f>Données!Z71</f>
        <v>878</v>
      </c>
      <c r="D74" s="8">
        <f t="shared" si="4"/>
        <v>878</v>
      </c>
      <c r="E74" s="209">
        <f t="shared" si="4"/>
        <v>0</v>
      </c>
      <c r="F74" s="8">
        <f t="shared" si="4"/>
        <v>0</v>
      </c>
      <c r="G74" s="209">
        <f t="shared" si="4"/>
        <v>0</v>
      </c>
      <c r="H74" s="31">
        <f t="shared" si="4"/>
        <v>0</v>
      </c>
      <c r="I74" s="8">
        <f t="shared" si="4"/>
        <v>0</v>
      </c>
      <c r="J74" s="8">
        <f t="shared" ref="J74:J137" si="5">IF(C74&gt;$J$5,C74-$J$5,0)</f>
        <v>0</v>
      </c>
      <c r="K74" s="72">
        <f t="shared" ref="K74:K137" si="6">-((D74*D$8)+(E74*E$8)+(F74*F$8)+(G74*G$8)+(H74*H$8)+(I74*I$8)+(J74*J$8))</f>
        <v>-113283.19919517101</v>
      </c>
    </row>
    <row r="75" spans="1:11" x14ac:dyDescent="0.25">
      <c r="A75" s="38">
        <f>Données!A72</f>
        <v>5516</v>
      </c>
      <c r="B75" s="168" t="str">
        <f>Données!B72</f>
        <v>Cugy</v>
      </c>
      <c r="C75" s="8">
        <f>Données!Z72</f>
        <v>2697</v>
      </c>
      <c r="D75" s="8">
        <f t="shared" si="4"/>
        <v>1000</v>
      </c>
      <c r="E75" s="209">
        <f t="shared" si="4"/>
        <v>1697</v>
      </c>
      <c r="F75" s="8">
        <f t="shared" si="4"/>
        <v>0</v>
      </c>
      <c r="G75" s="209">
        <f t="shared" si="4"/>
        <v>0</v>
      </c>
      <c r="H75" s="31">
        <f t="shared" si="4"/>
        <v>0</v>
      </c>
      <c r="I75" s="8">
        <f t="shared" si="4"/>
        <v>0</v>
      </c>
      <c r="J75" s="8">
        <f t="shared" si="5"/>
        <v>0</v>
      </c>
      <c r="K75" s="72">
        <f t="shared" si="6"/>
        <v>-742095.27162977844</v>
      </c>
    </row>
    <row r="76" spans="1:11" x14ac:dyDescent="0.25">
      <c r="A76" s="38">
        <f>Données!A73</f>
        <v>5518</v>
      </c>
      <c r="B76" s="168" t="str">
        <f>Données!B73</f>
        <v>Echallens</v>
      </c>
      <c r="C76" s="8">
        <f>Données!Z73</f>
        <v>5816</v>
      </c>
      <c r="D76" s="8">
        <f t="shared" si="4"/>
        <v>1000</v>
      </c>
      <c r="E76" s="209">
        <f t="shared" si="4"/>
        <v>2000</v>
      </c>
      <c r="F76" s="8">
        <f t="shared" si="4"/>
        <v>2000</v>
      </c>
      <c r="G76" s="209">
        <f t="shared" si="4"/>
        <v>816</v>
      </c>
      <c r="H76" s="31">
        <f t="shared" si="4"/>
        <v>0</v>
      </c>
      <c r="I76" s="8">
        <f t="shared" si="4"/>
        <v>0</v>
      </c>
      <c r="J76" s="8">
        <f t="shared" si="5"/>
        <v>0</v>
      </c>
      <c r="K76" s="72">
        <f t="shared" si="6"/>
        <v>-2389114.2857142854</v>
      </c>
    </row>
    <row r="77" spans="1:11" x14ac:dyDescent="0.25">
      <c r="A77" s="38">
        <f>Données!A74</f>
        <v>5520</v>
      </c>
      <c r="B77" s="168" t="str">
        <f>Données!B74</f>
        <v>Essertines-sur-Yverdon</v>
      </c>
      <c r="C77" s="8">
        <f>Données!Z74</f>
        <v>1081</v>
      </c>
      <c r="D77" s="8">
        <f t="shared" si="4"/>
        <v>1000</v>
      </c>
      <c r="E77" s="209">
        <f t="shared" si="4"/>
        <v>81</v>
      </c>
      <c r="F77" s="8">
        <f t="shared" si="4"/>
        <v>0</v>
      </c>
      <c r="G77" s="209">
        <f t="shared" si="4"/>
        <v>0</v>
      </c>
      <c r="H77" s="31">
        <f t="shared" si="4"/>
        <v>0</v>
      </c>
      <c r="I77" s="8">
        <f t="shared" si="4"/>
        <v>0</v>
      </c>
      <c r="J77" s="8">
        <f t="shared" si="5"/>
        <v>0</v>
      </c>
      <c r="K77" s="72">
        <f t="shared" si="6"/>
        <v>-158286.82092555327</v>
      </c>
    </row>
    <row r="78" spans="1:11" x14ac:dyDescent="0.25">
      <c r="A78" s="38">
        <f>Données!A75</f>
        <v>5521</v>
      </c>
      <c r="B78" s="168" t="str">
        <f>Données!B75</f>
        <v>Etagnières</v>
      </c>
      <c r="C78" s="8">
        <f>Données!Z75</f>
        <v>1154</v>
      </c>
      <c r="D78" s="8">
        <f t="shared" si="4"/>
        <v>1000</v>
      </c>
      <c r="E78" s="209">
        <f t="shared" si="4"/>
        <v>154</v>
      </c>
      <c r="F78" s="8">
        <f t="shared" si="4"/>
        <v>0</v>
      </c>
      <c r="G78" s="209">
        <f t="shared" si="4"/>
        <v>0</v>
      </c>
      <c r="H78" s="31">
        <f t="shared" si="4"/>
        <v>0</v>
      </c>
      <c r="I78" s="8">
        <f t="shared" si="4"/>
        <v>0</v>
      </c>
      <c r="J78" s="8">
        <f t="shared" si="5"/>
        <v>0</v>
      </c>
      <c r="K78" s="72">
        <f t="shared" si="6"/>
        <v>-184659.35613682089</v>
      </c>
    </row>
    <row r="79" spans="1:11" x14ac:dyDescent="0.25">
      <c r="A79" s="38">
        <f>Données!A76</f>
        <v>5522</v>
      </c>
      <c r="B79" s="168" t="str">
        <f>Données!B76</f>
        <v>Fey</v>
      </c>
      <c r="C79" s="8">
        <f>Données!Z76</f>
        <v>736</v>
      </c>
      <c r="D79" s="8">
        <f t="shared" si="4"/>
        <v>736</v>
      </c>
      <c r="E79" s="209">
        <f t="shared" si="4"/>
        <v>0</v>
      </c>
      <c r="F79" s="8">
        <f t="shared" si="4"/>
        <v>0</v>
      </c>
      <c r="G79" s="209">
        <f t="shared" si="4"/>
        <v>0</v>
      </c>
      <c r="H79" s="31">
        <f t="shared" si="4"/>
        <v>0</v>
      </c>
      <c r="I79" s="8">
        <f t="shared" si="4"/>
        <v>0</v>
      </c>
      <c r="J79" s="8">
        <f t="shared" si="5"/>
        <v>0</v>
      </c>
      <c r="K79" s="72">
        <f t="shared" si="6"/>
        <v>-94961.770623742428</v>
      </c>
    </row>
    <row r="80" spans="1:11" x14ac:dyDescent="0.25">
      <c r="A80" s="38">
        <f>Données!A77</f>
        <v>5523</v>
      </c>
      <c r="B80" s="168" t="str">
        <f>Données!B77</f>
        <v>Froideville</v>
      </c>
      <c r="C80" s="8">
        <f>Données!Z77</f>
        <v>2720</v>
      </c>
      <c r="D80" s="8">
        <f t="shared" si="4"/>
        <v>1000</v>
      </c>
      <c r="E80" s="209">
        <f t="shared" si="4"/>
        <v>1720</v>
      </c>
      <c r="F80" s="8">
        <f t="shared" si="4"/>
        <v>0</v>
      </c>
      <c r="G80" s="209">
        <f t="shared" si="4"/>
        <v>0</v>
      </c>
      <c r="H80" s="31">
        <f t="shared" si="4"/>
        <v>0</v>
      </c>
      <c r="I80" s="8">
        <f t="shared" si="4"/>
        <v>0</v>
      </c>
      <c r="J80" s="8">
        <f t="shared" si="5"/>
        <v>0</v>
      </c>
      <c r="K80" s="72">
        <f t="shared" si="6"/>
        <v>-750404.42655935604</v>
      </c>
    </row>
    <row r="81" spans="1:11" x14ac:dyDescent="0.25">
      <c r="A81" s="38">
        <f>Données!A78</f>
        <v>5527</v>
      </c>
      <c r="B81" s="168" t="str">
        <f>Données!B78</f>
        <v>Morrens</v>
      </c>
      <c r="C81" s="8">
        <f>Données!Z78</f>
        <v>1172</v>
      </c>
      <c r="D81" s="8">
        <f t="shared" si="4"/>
        <v>1000</v>
      </c>
      <c r="E81" s="209">
        <f t="shared" si="4"/>
        <v>172</v>
      </c>
      <c r="F81" s="8">
        <f t="shared" si="4"/>
        <v>0</v>
      </c>
      <c r="G81" s="209">
        <f t="shared" si="4"/>
        <v>0</v>
      </c>
      <c r="H81" s="31">
        <f t="shared" si="4"/>
        <v>0</v>
      </c>
      <c r="I81" s="8">
        <f t="shared" si="4"/>
        <v>0</v>
      </c>
      <c r="J81" s="8">
        <f t="shared" si="5"/>
        <v>0</v>
      </c>
      <c r="K81" s="72">
        <f t="shared" si="6"/>
        <v>-191162.17303822935</v>
      </c>
    </row>
    <row r="82" spans="1:11" x14ac:dyDescent="0.25">
      <c r="A82" s="38">
        <f>Données!A79</f>
        <v>5529</v>
      </c>
      <c r="B82" s="168" t="str">
        <f>Données!B79</f>
        <v>Oulens-sous-Echallens</v>
      </c>
      <c r="C82" s="8">
        <f>Données!Z79</f>
        <v>606</v>
      </c>
      <c r="D82" s="8">
        <f t="shared" si="4"/>
        <v>606</v>
      </c>
      <c r="E82" s="209">
        <f t="shared" si="4"/>
        <v>0</v>
      </c>
      <c r="F82" s="8">
        <f t="shared" si="4"/>
        <v>0</v>
      </c>
      <c r="G82" s="209">
        <f t="shared" si="4"/>
        <v>0</v>
      </c>
      <c r="H82" s="31">
        <f t="shared" si="4"/>
        <v>0</v>
      </c>
      <c r="I82" s="8">
        <f t="shared" si="4"/>
        <v>0</v>
      </c>
      <c r="J82" s="8">
        <f t="shared" si="5"/>
        <v>0</v>
      </c>
      <c r="K82" s="72">
        <f t="shared" si="6"/>
        <v>-78188.631790744446</v>
      </c>
    </row>
    <row r="83" spans="1:11" x14ac:dyDescent="0.25">
      <c r="A83" s="38">
        <f>Données!A80</f>
        <v>5530</v>
      </c>
      <c r="B83" s="168" t="str">
        <f>Données!B80</f>
        <v>Pailly</v>
      </c>
      <c r="C83" s="8">
        <f>Données!Z80</f>
        <v>566</v>
      </c>
      <c r="D83" s="8">
        <f t="shared" si="4"/>
        <v>566</v>
      </c>
      <c r="E83" s="209">
        <f t="shared" si="4"/>
        <v>0</v>
      </c>
      <c r="F83" s="8">
        <f t="shared" si="4"/>
        <v>0</v>
      </c>
      <c r="G83" s="209">
        <f t="shared" si="4"/>
        <v>0</v>
      </c>
      <c r="H83" s="31">
        <f t="shared" si="4"/>
        <v>0</v>
      </c>
      <c r="I83" s="8">
        <f t="shared" si="4"/>
        <v>0</v>
      </c>
      <c r="J83" s="8">
        <f t="shared" si="5"/>
        <v>0</v>
      </c>
      <c r="K83" s="72">
        <f t="shared" si="6"/>
        <v>-73027.66599597584</v>
      </c>
    </row>
    <row r="84" spans="1:11" x14ac:dyDescent="0.25">
      <c r="A84" s="38">
        <f>Données!A81</f>
        <v>5531</v>
      </c>
      <c r="B84" s="168" t="str">
        <f>Données!B81</f>
        <v>Penthéréaz</v>
      </c>
      <c r="C84" s="8">
        <f>Données!Z81</f>
        <v>433</v>
      </c>
      <c r="D84" s="8">
        <f t="shared" si="4"/>
        <v>433</v>
      </c>
      <c r="E84" s="209">
        <f t="shared" si="4"/>
        <v>0</v>
      </c>
      <c r="F84" s="8">
        <f t="shared" si="4"/>
        <v>0</v>
      </c>
      <c r="G84" s="209">
        <f t="shared" si="4"/>
        <v>0</v>
      </c>
      <c r="H84" s="31">
        <f t="shared" si="4"/>
        <v>0</v>
      </c>
      <c r="I84" s="8">
        <f t="shared" si="4"/>
        <v>0</v>
      </c>
      <c r="J84" s="8">
        <f t="shared" si="5"/>
        <v>0</v>
      </c>
      <c r="K84" s="72">
        <f t="shared" si="6"/>
        <v>-55867.454728370212</v>
      </c>
    </row>
    <row r="85" spans="1:11" x14ac:dyDescent="0.25">
      <c r="A85" s="38">
        <f>Données!A82</f>
        <v>5533</v>
      </c>
      <c r="B85" s="168" t="str">
        <f>Données!B82</f>
        <v>Poliez-Pittet</v>
      </c>
      <c r="C85" s="8">
        <f>Données!Z82</f>
        <v>848</v>
      </c>
      <c r="D85" s="8">
        <f t="shared" si="4"/>
        <v>848</v>
      </c>
      <c r="E85" s="209">
        <f t="shared" si="4"/>
        <v>0</v>
      </c>
      <c r="F85" s="8">
        <f t="shared" si="4"/>
        <v>0</v>
      </c>
      <c r="G85" s="209">
        <f t="shared" si="4"/>
        <v>0</v>
      </c>
      <c r="H85" s="31">
        <f t="shared" si="4"/>
        <v>0</v>
      </c>
      <c r="I85" s="8">
        <f t="shared" si="4"/>
        <v>0</v>
      </c>
      <c r="J85" s="8">
        <f t="shared" si="5"/>
        <v>0</v>
      </c>
      <c r="K85" s="72">
        <f t="shared" si="6"/>
        <v>-109412.47484909455</v>
      </c>
    </row>
    <row r="86" spans="1:11" x14ac:dyDescent="0.25">
      <c r="A86" s="38">
        <f>Données!A83</f>
        <v>5534</v>
      </c>
      <c r="B86" s="168" t="str">
        <f>Données!B83</f>
        <v>Rueyres</v>
      </c>
      <c r="C86" s="8">
        <f>Données!Z83</f>
        <v>303</v>
      </c>
      <c r="D86" s="8">
        <f t="shared" si="4"/>
        <v>303</v>
      </c>
      <c r="E86" s="209">
        <f t="shared" si="4"/>
        <v>0</v>
      </c>
      <c r="F86" s="8">
        <f t="shared" si="4"/>
        <v>0</v>
      </c>
      <c r="G86" s="209">
        <f t="shared" si="4"/>
        <v>0</v>
      </c>
      <c r="H86" s="31">
        <f t="shared" si="4"/>
        <v>0</v>
      </c>
      <c r="I86" s="8">
        <f t="shared" si="4"/>
        <v>0</v>
      </c>
      <c r="J86" s="8">
        <f t="shared" si="5"/>
        <v>0</v>
      </c>
      <c r="K86" s="72">
        <f t="shared" si="6"/>
        <v>-39094.315895372223</v>
      </c>
    </row>
    <row r="87" spans="1:11" x14ac:dyDescent="0.25">
      <c r="A87" s="38">
        <f>Données!A84</f>
        <v>5535</v>
      </c>
      <c r="B87" s="168" t="str">
        <f>Données!B84</f>
        <v>Saint-Barthélemy</v>
      </c>
      <c r="C87" s="8">
        <f>Données!Z84</f>
        <v>814</v>
      </c>
      <c r="D87" s="8">
        <f t="shared" si="4"/>
        <v>814</v>
      </c>
      <c r="E87" s="209">
        <f t="shared" si="4"/>
        <v>0</v>
      </c>
      <c r="F87" s="8">
        <f t="shared" si="4"/>
        <v>0</v>
      </c>
      <c r="G87" s="209">
        <f t="shared" si="4"/>
        <v>0</v>
      </c>
      <c r="H87" s="31">
        <f t="shared" si="4"/>
        <v>0</v>
      </c>
      <c r="I87" s="8">
        <f t="shared" si="4"/>
        <v>0</v>
      </c>
      <c r="J87" s="8">
        <f t="shared" si="5"/>
        <v>0</v>
      </c>
      <c r="K87" s="72">
        <f t="shared" si="6"/>
        <v>-105025.65392354122</v>
      </c>
    </row>
    <row r="88" spans="1:11" x14ac:dyDescent="0.25">
      <c r="A88" s="38">
        <f>Données!A85</f>
        <v>5537</v>
      </c>
      <c r="B88" s="168" t="str">
        <f>Données!B85</f>
        <v>Villars-le-Terroir</v>
      </c>
      <c r="C88" s="8">
        <f>Données!Z85</f>
        <v>1308</v>
      </c>
      <c r="D88" s="8">
        <f t="shared" si="4"/>
        <v>1000</v>
      </c>
      <c r="E88" s="209">
        <f t="shared" si="4"/>
        <v>308</v>
      </c>
      <c r="F88" s="8">
        <f t="shared" si="4"/>
        <v>0</v>
      </c>
      <c r="G88" s="209">
        <f t="shared" si="4"/>
        <v>0</v>
      </c>
      <c r="H88" s="31">
        <f t="shared" si="4"/>
        <v>0</v>
      </c>
      <c r="I88" s="8">
        <f t="shared" si="4"/>
        <v>0</v>
      </c>
      <c r="J88" s="8">
        <f t="shared" si="5"/>
        <v>0</v>
      </c>
      <c r="K88" s="72">
        <f t="shared" si="6"/>
        <v>-240294.56740442652</v>
      </c>
    </row>
    <row r="89" spans="1:11" x14ac:dyDescent="0.25">
      <c r="A89" s="38">
        <f>Données!A86</f>
        <v>5539</v>
      </c>
      <c r="B89" s="168" t="str">
        <f>Données!B86</f>
        <v>Vuarrens</v>
      </c>
      <c r="C89" s="8">
        <f>Données!Z86</f>
        <v>1106</v>
      </c>
      <c r="D89" s="8">
        <f t="shared" si="4"/>
        <v>1000</v>
      </c>
      <c r="E89" s="209">
        <f t="shared" si="4"/>
        <v>106</v>
      </c>
      <c r="F89" s="8">
        <f t="shared" si="4"/>
        <v>0</v>
      </c>
      <c r="G89" s="209">
        <f t="shared" si="4"/>
        <v>0</v>
      </c>
      <c r="H89" s="31">
        <f t="shared" si="4"/>
        <v>0</v>
      </c>
      <c r="I89" s="8">
        <f t="shared" si="4"/>
        <v>0</v>
      </c>
      <c r="J89" s="8">
        <f t="shared" si="5"/>
        <v>0</v>
      </c>
      <c r="K89" s="72">
        <f t="shared" si="6"/>
        <v>-167318.51106639835</v>
      </c>
    </row>
    <row r="90" spans="1:11" x14ac:dyDescent="0.25">
      <c r="A90" s="38">
        <f>Données!A87</f>
        <v>5540</v>
      </c>
      <c r="B90" s="168" t="str">
        <f>Données!B87</f>
        <v>Montilliez</v>
      </c>
      <c r="C90" s="8">
        <f>Données!Z87</f>
        <v>1895</v>
      </c>
      <c r="D90" s="8">
        <f t="shared" si="4"/>
        <v>1000</v>
      </c>
      <c r="E90" s="209">
        <f t="shared" si="4"/>
        <v>895</v>
      </c>
      <c r="F90" s="8">
        <f t="shared" si="4"/>
        <v>0</v>
      </c>
      <c r="G90" s="209">
        <f t="shared" si="4"/>
        <v>0</v>
      </c>
      <c r="H90" s="31">
        <f t="shared" si="4"/>
        <v>0</v>
      </c>
      <c r="I90" s="8">
        <f t="shared" si="4"/>
        <v>0</v>
      </c>
      <c r="J90" s="8">
        <f t="shared" si="5"/>
        <v>0</v>
      </c>
      <c r="K90" s="72">
        <f t="shared" si="6"/>
        <v>-452358.65191146871</v>
      </c>
    </row>
    <row r="91" spans="1:11" x14ac:dyDescent="0.25">
      <c r="A91" s="38">
        <f>Données!A88</f>
        <v>5541</v>
      </c>
      <c r="B91" s="168" t="str">
        <f>Données!B88</f>
        <v>Goumoëns</v>
      </c>
      <c r="C91" s="8">
        <f>Données!Z88</f>
        <v>1175</v>
      </c>
      <c r="D91" s="8">
        <f t="shared" si="4"/>
        <v>1000</v>
      </c>
      <c r="E91" s="209">
        <f t="shared" si="4"/>
        <v>175</v>
      </c>
      <c r="F91" s="8">
        <f t="shared" si="4"/>
        <v>0</v>
      </c>
      <c r="G91" s="209">
        <f t="shared" si="4"/>
        <v>0</v>
      </c>
      <c r="H91" s="31">
        <f t="shared" si="4"/>
        <v>0</v>
      </c>
      <c r="I91" s="8">
        <f t="shared" si="4"/>
        <v>0</v>
      </c>
      <c r="J91" s="8">
        <f t="shared" si="5"/>
        <v>0</v>
      </c>
      <c r="K91" s="72">
        <f t="shared" si="6"/>
        <v>-192245.97585513076</v>
      </c>
    </row>
    <row r="92" spans="1:11" x14ac:dyDescent="0.25">
      <c r="A92" s="38">
        <f>Données!A89</f>
        <v>5551</v>
      </c>
      <c r="B92" s="168" t="str">
        <f>Données!B89</f>
        <v>Bonvillars</v>
      </c>
      <c r="C92" s="8">
        <f>Données!Z89</f>
        <v>501</v>
      </c>
      <c r="D92" s="8">
        <f t="shared" si="4"/>
        <v>501</v>
      </c>
      <c r="E92" s="209">
        <f t="shared" si="4"/>
        <v>0</v>
      </c>
      <c r="F92" s="8">
        <f t="shared" si="4"/>
        <v>0</v>
      </c>
      <c r="G92" s="209">
        <f t="shared" si="4"/>
        <v>0</v>
      </c>
      <c r="H92" s="31">
        <f t="shared" si="4"/>
        <v>0</v>
      </c>
      <c r="I92" s="8">
        <f t="shared" si="4"/>
        <v>0</v>
      </c>
      <c r="J92" s="8">
        <f t="shared" si="5"/>
        <v>0</v>
      </c>
      <c r="K92" s="72">
        <f t="shared" si="6"/>
        <v>-64641.096579476849</v>
      </c>
    </row>
    <row r="93" spans="1:11" x14ac:dyDescent="0.25">
      <c r="A93" s="38">
        <f>Données!A90</f>
        <v>5552</v>
      </c>
      <c r="B93" s="168" t="str">
        <f>Données!B90</f>
        <v>Bullet</v>
      </c>
      <c r="C93" s="8">
        <f>Données!Z90</f>
        <v>651</v>
      </c>
      <c r="D93" s="8">
        <f t="shared" si="4"/>
        <v>651</v>
      </c>
      <c r="E93" s="209">
        <f t="shared" si="4"/>
        <v>0</v>
      </c>
      <c r="F93" s="8">
        <f t="shared" si="4"/>
        <v>0</v>
      </c>
      <c r="G93" s="209">
        <f t="shared" si="4"/>
        <v>0</v>
      </c>
      <c r="H93" s="31">
        <f t="shared" si="4"/>
        <v>0</v>
      </c>
      <c r="I93" s="8">
        <f t="shared" si="4"/>
        <v>0</v>
      </c>
      <c r="J93" s="8">
        <f t="shared" si="5"/>
        <v>0</v>
      </c>
      <c r="K93" s="72">
        <f t="shared" si="6"/>
        <v>-83994.718309859134</v>
      </c>
    </row>
    <row r="94" spans="1:11" x14ac:dyDescent="0.25">
      <c r="A94" s="38">
        <f>Données!A91</f>
        <v>5553</v>
      </c>
      <c r="B94" s="168" t="str">
        <f>Données!B91</f>
        <v>Champagne</v>
      </c>
      <c r="C94" s="8">
        <f>Données!Z91</f>
        <v>1077</v>
      </c>
      <c r="D94" s="8">
        <f t="shared" si="4"/>
        <v>1000</v>
      </c>
      <c r="E94" s="209">
        <f t="shared" si="4"/>
        <v>77</v>
      </c>
      <c r="F94" s="8">
        <f t="shared" si="4"/>
        <v>0</v>
      </c>
      <c r="G94" s="209">
        <f t="shared" si="4"/>
        <v>0</v>
      </c>
      <c r="H94" s="31">
        <f t="shared" si="4"/>
        <v>0</v>
      </c>
      <c r="I94" s="8">
        <f t="shared" si="4"/>
        <v>0</v>
      </c>
      <c r="J94" s="8">
        <f t="shared" si="5"/>
        <v>0</v>
      </c>
      <c r="K94" s="72">
        <f t="shared" si="6"/>
        <v>-156841.75050301809</v>
      </c>
    </row>
    <row r="95" spans="1:11" x14ac:dyDescent="0.25">
      <c r="A95" s="38">
        <f>Données!A92</f>
        <v>5554</v>
      </c>
      <c r="B95" s="168" t="str">
        <f>Données!B92</f>
        <v>Concise</v>
      </c>
      <c r="C95" s="8">
        <f>Données!Z92</f>
        <v>1002</v>
      </c>
      <c r="D95" s="8">
        <f t="shared" si="4"/>
        <v>1000</v>
      </c>
      <c r="E95" s="209">
        <f t="shared" si="4"/>
        <v>2</v>
      </c>
      <c r="F95" s="8">
        <f t="shared" si="4"/>
        <v>0</v>
      </c>
      <c r="G95" s="209">
        <f t="shared" si="4"/>
        <v>0</v>
      </c>
      <c r="H95" s="31">
        <f t="shared" si="4"/>
        <v>0</v>
      </c>
      <c r="I95" s="8">
        <f t="shared" si="4"/>
        <v>0</v>
      </c>
      <c r="J95" s="8">
        <f t="shared" si="5"/>
        <v>0</v>
      </c>
      <c r="K95" s="72">
        <f t="shared" si="6"/>
        <v>-129746.68008048287</v>
      </c>
    </row>
    <row r="96" spans="1:11" x14ac:dyDescent="0.25">
      <c r="A96" s="38">
        <f>Données!A93</f>
        <v>5555</v>
      </c>
      <c r="B96" s="168" t="str">
        <f>Données!B93</f>
        <v>Corcelles-près-Concise</v>
      </c>
      <c r="C96" s="8">
        <f>Données!Z93</f>
        <v>412</v>
      </c>
      <c r="D96" s="8">
        <f t="shared" si="4"/>
        <v>412</v>
      </c>
      <c r="E96" s="209">
        <f t="shared" si="4"/>
        <v>0</v>
      </c>
      <c r="F96" s="8">
        <f t="shared" si="4"/>
        <v>0</v>
      </c>
      <c r="G96" s="209">
        <f t="shared" si="4"/>
        <v>0</v>
      </c>
      <c r="H96" s="31">
        <f t="shared" si="4"/>
        <v>0</v>
      </c>
      <c r="I96" s="8">
        <f t="shared" si="4"/>
        <v>0</v>
      </c>
      <c r="J96" s="8">
        <f t="shared" si="5"/>
        <v>0</v>
      </c>
      <c r="K96" s="72">
        <f t="shared" si="6"/>
        <v>-53157.947686116691</v>
      </c>
    </row>
    <row r="97" spans="1:11" x14ac:dyDescent="0.25">
      <c r="A97" s="38">
        <f>Données!A94</f>
        <v>5556</v>
      </c>
      <c r="B97" s="168" t="str">
        <f>Données!B94</f>
        <v>Fiez</v>
      </c>
      <c r="C97" s="8">
        <f>Données!Z94</f>
        <v>436</v>
      </c>
      <c r="D97" s="8">
        <f t="shared" si="4"/>
        <v>436</v>
      </c>
      <c r="E97" s="209">
        <f t="shared" si="4"/>
        <v>0</v>
      </c>
      <c r="F97" s="8">
        <f t="shared" si="4"/>
        <v>0</v>
      </c>
      <c r="G97" s="209">
        <f t="shared" si="4"/>
        <v>0</v>
      </c>
      <c r="H97" s="31">
        <f t="shared" si="4"/>
        <v>0</v>
      </c>
      <c r="I97" s="8">
        <f t="shared" si="4"/>
        <v>0</v>
      </c>
      <c r="J97" s="8">
        <f t="shared" si="5"/>
        <v>0</v>
      </c>
      <c r="K97" s="72">
        <f t="shared" si="6"/>
        <v>-56254.527162977858</v>
      </c>
    </row>
    <row r="98" spans="1:11" x14ac:dyDescent="0.25">
      <c r="A98" s="38">
        <f>Données!A95</f>
        <v>5557</v>
      </c>
      <c r="B98" s="168" t="str">
        <f>Données!B95</f>
        <v>Fontaines-sur-Grandson</v>
      </c>
      <c r="C98" s="8">
        <f>Données!Z95</f>
        <v>214</v>
      </c>
      <c r="D98" s="8">
        <f t="shared" si="4"/>
        <v>214</v>
      </c>
      <c r="E98" s="209">
        <f t="shared" si="4"/>
        <v>0</v>
      </c>
      <c r="F98" s="8">
        <f t="shared" si="4"/>
        <v>0</v>
      </c>
      <c r="G98" s="209">
        <f t="shared" si="4"/>
        <v>0</v>
      </c>
      <c r="H98" s="31">
        <f t="shared" si="4"/>
        <v>0</v>
      </c>
      <c r="I98" s="8">
        <f t="shared" si="4"/>
        <v>0</v>
      </c>
      <c r="J98" s="8">
        <f t="shared" si="5"/>
        <v>0</v>
      </c>
      <c r="K98" s="72">
        <f t="shared" si="6"/>
        <v>-27611.167002012065</v>
      </c>
    </row>
    <row r="99" spans="1:11" x14ac:dyDescent="0.25">
      <c r="A99" s="38">
        <f>Données!A96</f>
        <v>5559</v>
      </c>
      <c r="B99" s="168" t="str">
        <f>Données!B96</f>
        <v>Giez</v>
      </c>
      <c r="C99" s="8">
        <f>Données!Z96</f>
        <v>450</v>
      </c>
      <c r="D99" s="8">
        <f t="shared" si="4"/>
        <v>450</v>
      </c>
      <c r="E99" s="209">
        <f t="shared" si="4"/>
        <v>0</v>
      </c>
      <c r="F99" s="8">
        <f t="shared" si="4"/>
        <v>0</v>
      </c>
      <c r="G99" s="209">
        <f t="shared" si="4"/>
        <v>0</v>
      </c>
      <c r="H99" s="31">
        <f t="shared" si="4"/>
        <v>0</v>
      </c>
      <c r="I99" s="8">
        <f t="shared" si="4"/>
        <v>0</v>
      </c>
      <c r="J99" s="8">
        <f t="shared" si="5"/>
        <v>0</v>
      </c>
      <c r="K99" s="72">
        <f t="shared" si="6"/>
        <v>-58060.86519114687</v>
      </c>
    </row>
    <row r="100" spans="1:11" x14ac:dyDescent="0.25">
      <c r="A100" s="38">
        <f>Données!A97</f>
        <v>5560</v>
      </c>
      <c r="B100" s="168" t="str">
        <f>Données!B97</f>
        <v>Grandevent</v>
      </c>
      <c r="C100" s="8">
        <f>Données!Z97</f>
        <v>237</v>
      </c>
      <c r="D100" s="8">
        <f t="shared" si="4"/>
        <v>237</v>
      </c>
      <c r="E100" s="209">
        <f t="shared" si="4"/>
        <v>0</v>
      </c>
      <c r="F100" s="8">
        <f t="shared" si="4"/>
        <v>0</v>
      </c>
      <c r="G100" s="209">
        <f t="shared" si="4"/>
        <v>0</v>
      </c>
      <c r="H100" s="31">
        <f t="shared" si="4"/>
        <v>0</v>
      </c>
      <c r="I100" s="8">
        <f t="shared" si="4"/>
        <v>0</v>
      </c>
      <c r="J100" s="8">
        <f t="shared" si="5"/>
        <v>0</v>
      </c>
      <c r="K100" s="72">
        <f t="shared" si="6"/>
        <v>-30578.722334004018</v>
      </c>
    </row>
    <row r="101" spans="1:11" x14ac:dyDescent="0.25">
      <c r="A101" s="38">
        <f>Données!A98</f>
        <v>5561</v>
      </c>
      <c r="B101" s="168" t="str">
        <f>Données!B98</f>
        <v>Grandson</v>
      </c>
      <c r="C101" s="8">
        <f>Données!Z98</f>
        <v>3358</v>
      </c>
      <c r="D101" s="8">
        <f t="shared" si="4"/>
        <v>1000</v>
      </c>
      <c r="E101" s="209">
        <f t="shared" si="4"/>
        <v>2000</v>
      </c>
      <c r="F101" s="8">
        <f t="shared" si="4"/>
        <v>358</v>
      </c>
      <c r="G101" s="209">
        <f t="shared" si="4"/>
        <v>0</v>
      </c>
      <c r="H101" s="31">
        <f t="shared" si="4"/>
        <v>0</v>
      </c>
      <c r="I101" s="8">
        <f t="shared" si="4"/>
        <v>0</v>
      </c>
      <c r="J101" s="8">
        <f t="shared" si="5"/>
        <v>0</v>
      </c>
      <c r="K101" s="72">
        <f t="shared" si="6"/>
        <v>-1036321.9315895371</v>
      </c>
    </row>
    <row r="102" spans="1:11" x14ac:dyDescent="0.25">
      <c r="A102" s="38">
        <f>Données!A99</f>
        <v>5562</v>
      </c>
      <c r="B102" s="168" t="str">
        <f>Données!B99</f>
        <v>Mauborget</v>
      </c>
      <c r="C102" s="8">
        <f>Données!Z99</f>
        <v>138</v>
      </c>
      <c r="D102" s="8">
        <f t="shared" si="4"/>
        <v>138</v>
      </c>
      <c r="E102" s="209">
        <f t="shared" si="4"/>
        <v>0</v>
      </c>
      <c r="F102" s="8">
        <f t="shared" si="4"/>
        <v>0</v>
      </c>
      <c r="G102" s="209">
        <f t="shared" si="4"/>
        <v>0</v>
      </c>
      <c r="H102" s="31">
        <f t="shared" si="4"/>
        <v>0</v>
      </c>
      <c r="I102" s="8">
        <f t="shared" si="4"/>
        <v>0</v>
      </c>
      <c r="J102" s="8">
        <f t="shared" si="5"/>
        <v>0</v>
      </c>
      <c r="K102" s="72">
        <f t="shared" si="6"/>
        <v>-17805.331991951705</v>
      </c>
    </row>
    <row r="103" spans="1:11" x14ac:dyDescent="0.25">
      <c r="A103" s="38">
        <f>Données!A100</f>
        <v>5563</v>
      </c>
      <c r="B103" s="168" t="str">
        <f>Données!B100</f>
        <v>Mutrux</v>
      </c>
      <c r="C103" s="8">
        <f>Données!Z100</f>
        <v>151</v>
      </c>
      <c r="D103" s="8">
        <f t="shared" si="4"/>
        <v>151</v>
      </c>
      <c r="E103" s="209">
        <f t="shared" si="4"/>
        <v>0</v>
      </c>
      <c r="F103" s="8">
        <f t="shared" si="4"/>
        <v>0</v>
      </c>
      <c r="G103" s="209">
        <f t="shared" si="4"/>
        <v>0</v>
      </c>
      <c r="H103" s="31">
        <f t="shared" si="4"/>
        <v>0</v>
      </c>
      <c r="I103" s="8">
        <f t="shared" si="4"/>
        <v>0</v>
      </c>
      <c r="J103" s="8">
        <f t="shared" si="5"/>
        <v>0</v>
      </c>
      <c r="K103" s="72">
        <f t="shared" si="6"/>
        <v>-19482.645875251506</v>
      </c>
    </row>
    <row r="104" spans="1:11" x14ac:dyDescent="0.25">
      <c r="A104" s="38">
        <f>Données!A101</f>
        <v>5564</v>
      </c>
      <c r="B104" s="168" t="str">
        <f>Données!B101</f>
        <v>Novalles</v>
      </c>
      <c r="C104" s="8">
        <f>Données!Z101</f>
        <v>99</v>
      </c>
      <c r="D104" s="8">
        <f t="shared" si="4"/>
        <v>99</v>
      </c>
      <c r="E104" s="209">
        <f t="shared" si="4"/>
        <v>0</v>
      </c>
      <c r="F104" s="8">
        <f t="shared" si="4"/>
        <v>0</v>
      </c>
      <c r="G104" s="209">
        <f t="shared" si="4"/>
        <v>0</v>
      </c>
      <c r="H104" s="31">
        <f t="shared" si="4"/>
        <v>0</v>
      </c>
      <c r="I104" s="8">
        <f t="shared" si="4"/>
        <v>0</v>
      </c>
      <c r="J104" s="8">
        <f t="shared" si="5"/>
        <v>0</v>
      </c>
      <c r="K104" s="72">
        <f t="shared" si="6"/>
        <v>-12773.390342052311</v>
      </c>
    </row>
    <row r="105" spans="1:11" x14ac:dyDescent="0.25">
      <c r="A105" s="38">
        <f>Données!A102</f>
        <v>5565</v>
      </c>
      <c r="B105" s="168" t="str">
        <f>Données!B102</f>
        <v>Onnens</v>
      </c>
      <c r="C105" s="8">
        <f>Données!Z102</f>
        <v>496</v>
      </c>
      <c r="D105" s="8">
        <f t="shared" si="4"/>
        <v>496</v>
      </c>
      <c r="E105" s="209">
        <f t="shared" si="4"/>
        <v>0</v>
      </c>
      <c r="F105" s="8">
        <f t="shared" si="4"/>
        <v>0</v>
      </c>
      <c r="G105" s="209">
        <f t="shared" si="4"/>
        <v>0</v>
      </c>
      <c r="H105" s="31">
        <f t="shared" si="4"/>
        <v>0</v>
      </c>
      <c r="I105" s="8">
        <f t="shared" si="4"/>
        <v>0</v>
      </c>
      <c r="J105" s="8">
        <f t="shared" si="5"/>
        <v>0</v>
      </c>
      <c r="K105" s="72">
        <f t="shared" si="6"/>
        <v>-63995.975855130768</v>
      </c>
    </row>
    <row r="106" spans="1:11" x14ac:dyDescent="0.25">
      <c r="A106" s="38">
        <f>Données!A103</f>
        <v>5566</v>
      </c>
      <c r="B106" s="168" t="str">
        <f>Données!B103</f>
        <v>Provence</v>
      </c>
      <c r="C106" s="8">
        <f>Données!Z103</f>
        <v>403</v>
      </c>
      <c r="D106" s="8">
        <f t="shared" si="4"/>
        <v>403</v>
      </c>
      <c r="E106" s="209">
        <f t="shared" si="4"/>
        <v>0</v>
      </c>
      <c r="F106" s="8">
        <f t="shared" si="4"/>
        <v>0</v>
      </c>
      <c r="G106" s="209">
        <f t="shared" si="4"/>
        <v>0</v>
      </c>
      <c r="H106" s="31">
        <f t="shared" si="4"/>
        <v>0</v>
      </c>
      <c r="I106" s="8">
        <f t="shared" si="4"/>
        <v>0</v>
      </c>
      <c r="J106" s="8">
        <f t="shared" si="5"/>
        <v>0</v>
      </c>
      <c r="K106" s="72">
        <f t="shared" si="6"/>
        <v>-51996.730382293754</v>
      </c>
    </row>
    <row r="107" spans="1:11" x14ac:dyDescent="0.25">
      <c r="A107" s="38">
        <f>Données!A104</f>
        <v>5568</v>
      </c>
      <c r="B107" s="168" t="str">
        <f>Données!B104</f>
        <v>Sainte-Croix</v>
      </c>
      <c r="C107" s="8">
        <f>Données!Z104</f>
        <v>4869</v>
      </c>
      <c r="D107" s="8">
        <f t="shared" si="4"/>
        <v>1000</v>
      </c>
      <c r="E107" s="209">
        <f t="shared" si="4"/>
        <v>2000</v>
      </c>
      <c r="F107" s="8">
        <f t="shared" si="4"/>
        <v>1869</v>
      </c>
      <c r="G107" s="209">
        <f t="shared" ref="E107:I158" si="7">IF($C107&gt;G$5,IF($C107&lt;G$6,$C107-G$5,G$6-G$5),0)</f>
        <v>0</v>
      </c>
      <c r="H107" s="31">
        <f t="shared" si="7"/>
        <v>0</v>
      </c>
      <c r="I107" s="8">
        <f t="shared" si="7"/>
        <v>0</v>
      </c>
      <c r="J107" s="8">
        <f t="shared" si="5"/>
        <v>0</v>
      </c>
      <c r="K107" s="72">
        <f t="shared" si="6"/>
        <v>-1816143.8631790741</v>
      </c>
    </row>
    <row r="108" spans="1:11" x14ac:dyDescent="0.25">
      <c r="A108" s="38">
        <f>Données!A105</f>
        <v>5571</v>
      </c>
      <c r="B108" s="168" t="str">
        <f>Données!B105</f>
        <v>Tévenon</v>
      </c>
      <c r="C108" s="8">
        <f>Données!Z105</f>
        <v>867</v>
      </c>
      <c r="D108" s="8">
        <f t="shared" ref="D108:D171" si="8">IF($C108&gt;D$5,IF($C108&lt;D$6,$C108-D$5,D$6-D$5),0)</f>
        <v>867</v>
      </c>
      <c r="E108" s="209">
        <f t="shared" si="7"/>
        <v>0</v>
      </c>
      <c r="F108" s="8">
        <f t="shared" si="7"/>
        <v>0</v>
      </c>
      <c r="G108" s="209">
        <f t="shared" si="7"/>
        <v>0</v>
      </c>
      <c r="H108" s="31">
        <f t="shared" si="7"/>
        <v>0</v>
      </c>
      <c r="I108" s="8">
        <f t="shared" si="7"/>
        <v>0</v>
      </c>
      <c r="J108" s="8">
        <f t="shared" si="5"/>
        <v>0</v>
      </c>
      <c r="K108" s="72">
        <f t="shared" si="6"/>
        <v>-111863.93360160963</v>
      </c>
    </row>
    <row r="109" spans="1:11" x14ac:dyDescent="0.25">
      <c r="A109" s="38">
        <f>Données!A106</f>
        <v>5581</v>
      </c>
      <c r="B109" s="168" t="str">
        <f>Données!B106</f>
        <v>Belmont-sur-Lausanne</v>
      </c>
      <c r="C109" s="8">
        <f>Données!Z106</f>
        <v>3835</v>
      </c>
      <c r="D109" s="8">
        <f t="shared" si="8"/>
        <v>1000</v>
      </c>
      <c r="E109" s="209">
        <f t="shared" si="7"/>
        <v>2000</v>
      </c>
      <c r="F109" s="8">
        <f t="shared" si="7"/>
        <v>835</v>
      </c>
      <c r="G109" s="209">
        <f t="shared" si="7"/>
        <v>0</v>
      </c>
      <c r="H109" s="31">
        <f t="shared" si="7"/>
        <v>0</v>
      </c>
      <c r="I109" s="8">
        <f t="shared" si="7"/>
        <v>0</v>
      </c>
      <c r="J109" s="8">
        <f t="shared" si="5"/>
        <v>0</v>
      </c>
      <c r="K109" s="72">
        <f t="shared" si="6"/>
        <v>-1282499.9999999998</v>
      </c>
    </row>
    <row r="110" spans="1:11" x14ac:dyDescent="0.25">
      <c r="A110" s="38">
        <f>Données!A107</f>
        <v>5582</v>
      </c>
      <c r="B110" s="168" t="str">
        <f>Données!B107</f>
        <v>Cheseaux-sur-Lausanne</v>
      </c>
      <c r="C110" s="8">
        <f>Données!Z107</f>
        <v>4525</v>
      </c>
      <c r="D110" s="8">
        <f t="shared" si="8"/>
        <v>1000</v>
      </c>
      <c r="E110" s="209">
        <f t="shared" si="7"/>
        <v>2000</v>
      </c>
      <c r="F110" s="8">
        <f t="shared" si="7"/>
        <v>1525</v>
      </c>
      <c r="G110" s="209">
        <f t="shared" si="7"/>
        <v>0</v>
      </c>
      <c r="H110" s="31">
        <f t="shared" si="7"/>
        <v>0</v>
      </c>
      <c r="I110" s="8">
        <f t="shared" si="7"/>
        <v>0</v>
      </c>
      <c r="J110" s="8">
        <f t="shared" si="5"/>
        <v>0</v>
      </c>
      <c r="K110" s="72">
        <f t="shared" si="6"/>
        <v>-1638606.6398390338</v>
      </c>
    </row>
    <row r="111" spans="1:11" x14ac:dyDescent="0.25">
      <c r="A111" s="38">
        <f>Données!A108</f>
        <v>5583</v>
      </c>
      <c r="B111" s="168" t="str">
        <f>Données!B108</f>
        <v>Crissier</v>
      </c>
      <c r="C111" s="8">
        <f>Données!Z108</f>
        <v>9161</v>
      </c>
      <c r="D111" s="8">
        <f t="shared" si="8"/>
        <v>1000</v>
      </c>
      <c r="E111" s="209">
        <f t="shared" si="7"/>
        <v>2000</v>
      </c>
      <c r="F111" s="8">
        <f t="shared" si="7"/>
        <v>2000</v>
      </c>
      <c r="G111" s="209">
        <f t="shared" si="7"/>
        <v>4000</v>
      </c>
      <c r="H111" s="31">
        <f t="shared" si="7"/>
        <v>161</v>
      </c>
      <c r="I111" s="8">
        <f t="shared" si="7"/>
        <v>0</v>
      </c>
      <c r="J111" s="8">
        <f t="shared" si="5"/>
        <v>0</v>
      </c>
      <c r="K111" s="72">
        <f t="shared" si="6"/>
        <v>-4502271.7303822925</v>
      </c>
    </row>
    <row r="112" spans="1:11" x14ac:dyDescent="0.25">
      <c r="A112" s="38">
        <f>Données!A109</f>
        <v>5584</v>
      </c>
      <c r="B112" s="168" t="str">
        <f>Données!B109</f>
        <v>Epalinges</v>
      </c>
      <c r="C112" s="8">
        <f>Données!Z109</f>
        <v>9825</v>
      </c>
      <c r="D112" s="8">
        <f t="shared" si="8"/>
        <v>1000</v>
      </c>
      <c r="E112" s="209">
        <f t="shared" si="7"/>
        <v>2000</v>
      </c>
      <c r="F112" s="8">
        <f t="shared" si="7"/>
        <v>2000</v>
      </c>
      <c r="G112" s="209">
        <f t="shared" si="7"/>
        <v>4000</v>
      </c>
      <c r="H112" s="31">
        <f t="shared" si="7"/>
        <v>825</v>
      </c>
      <c r="I112" s="8">
        <f t="shared" si="7"/>
        <v>0</v>
      </c>
      <c r="J112" s="8">
        <f t="shared" si="5"/>
        <v>0</v>
      </c>
      <c r="K112" s="72">
        <f t="shared" si="6"/>
        <v>-5084841.5492957728</v>
      </c>
    </row>
    <row r="113" spans="1:11" x14ac:dyDescent="0.25">
      <c r="A113" s="38">
        <f>Données!A110</f>
        <v>5585</v>
      </c>
      <c r="B113" s="168" t="str">
        <f>Données!B110</f>
        <v>Jouxtens-Mézery</v>
      </c>
      <c r="C113" s="8">
        <f>Données!Z110</f>
        <v>1468</v>
      </c>
      <c r="D113" s="8">
        <f t="shared" si="8"/>
        <v>1000</v>
      </c>
      <c r="E113" s="209">
        <f t="shared" si="7"/>
        <v>468</v>
      </c>
      <c r="F113" s="8">
        <f t="shared" si="7"/>
        <v>0</v>
      </c>
      <c r="G113" s="209">
        <f t="shared" si="7"/>
        <v>0</v>
      </c>
      <c r="H113" s="31">
        <f t="shared" si="7"/>
        <v>0</v>
      </c>
      <c r="I113" s="8">
        <f t="shared" si="7"/>
        <v>0</v>
      </c>
      <c r="J113" s="8">
        <f t="shared" si="5"/>
        <v>0</v>
      </c>
      <c r="K113" s="72">
        <f t="shared" si="6"/>
        <v>-298097.38430583494</v>
      </c>
    </row>
    <row r="114" spans="1:11" x14ac:dyDescent="0.25">
      <c r="A114" s="38">
        <f>Données!A111</f>
        <v>5586</v>
      </c>
      <c r="B114" s="168" t="str">
        <f>Données!B111</f>
        <v>Lausanne</v>
      </c>
      <c r="C114" s="8">
        <f>Données!Z111</f>
        <v>141513</v>
      </c>
      <c r="D114" s="8">
        <f t="shared" si="8"/>
        <v>1000</v>
      </c>
      <c r="E114" s="209">
        <f t="shared" si="7"/>
        <v>2000</v>
      </c>
      <c r="F114" s="8">
        <f t="shared" si="7"/>
        <v>2000</v>
      </c>
      <c r="G114" s="209">
        <f t="shared" si="7"/>
        <v>4000</v>
      </c>
      <c r="H114" s="31">
        <f t="shared" si="7"/>
        <v>3000</v>
      </c>
      <c r="I114" s="8">
        <f t="shared" si="7"/>
        <v>3000</v>
      </c>
      <c r="J114" s="8">
        <f t="shared" si="5"/>
        <v>126513</v>
      </c>
      <c r="K114" s="72">
        <f t="shared" si="6"/>
        <v>-147204833.90342051</v>
      </c>
    </row>
    <row r="115" spans="1:11" x14ac:dyDescent="0.25">
      <c r="A115" s="38">
        <f>Données!A112</f>
        <v>5587</v>
      </c>
      <c r="B115" s="168" t="str">
        <f>Données!B112</f>
        <v>Le Mont-sur-Lausanne</v>
      </c>
      <c r="C115" s="8">
        <f>Données!Z112</f>
        <v>9297</v>
      </c>
      <c r="D115" s="8">
        <f t="shared" si="8"/>
        <v>1000</v>
      </c>
      <c r="E115" s="209">
        <f t="shared" si="7"/>
        <v>2000</v>
      </c>
      <c r="F115" s="8">
        <f t="shared" si="7"/>
        <v>2000</v>
      </c>
      <c r="G115" s="209">
        <f t="shared" si="7"/>
        <v>4000</v>
      </c>
      <c r="H115" s="31">
        <f t="shared" si="7"/>
        <v>297</v>
      </c>
      <c r="I115" s="8">
        <f t="shared" si="7"/>
        <v>0</v>
      </c>
      <c r="J115" s="8">
        <f t="shared" si="5"/>
        <v>0</v>
      </c>
      <c r="K115" s="72">
        <f t="shared" si="6"/>
        <v>-4621593.2595573422</v>
      </c>
    </row>
    <row r="116" spans="1:11" x14ac:dyDescent="0.25">
      <c r="A116" s="38">
        <f>Données!A113</f>
        <v>5588</v>
      </c>
      <c r="B116" s="168" t="str">
        <f>Données!B113</f>
        <v>Paudex</v>
      </c>
      <c r="C116" s="8">
        <f>Données!Z113</f>
        <v>1550</v>
      </c>
      <c r="D116" s="8">
        <f t="shared" si="8"/>
        <v>1000</v>
      </c>
      <c r="E116" s="209">
        <f t="shared" si="7"/>
        <v>550</v>
      </c>
      <c r="F116" s="8">
        <f t="shared" si="7"/>
        <v>0</v>
      </c>
      <c r="G116" s="209">
        <f t="shared" si="7"/>
        <v>0</v>
      </c>
      <c r="H116" s="31">
        <f t="shared" si="7"/>
        <v>0</v>
      </c>
      <c r="I116" s="8">
        <f t="shared" si="7"/>
        <v>0</v>
      </c>
      <c r="J116" s="8">
        <f t="shared" si="5"/>
        <v>0</v>
      </c>
      <c r="K116" s="72">
        <f t="shared" si="6"/>
        <v>-327721.32796780678</v>
      </c>
    </row>
    <row r="117" spans="1:11" x14ac:dyDescent="0.25">
      <c r="A117" s="38">
        <f>Données!A114</f>
        <v>5589</v>
      </c>
      <c r="B117" s="168" t="str">
        <f>Données!B114</f>
        <v>Prilly</v>
      </c>
      <c r="C117" s="8">
        <f>Données!Z114</f>
        <v>12318</v>
      </c>
      <c r="D117" s="8">
        <f t="shared" si="8"/>
        <v>1000</v>
      </c>
      <c r="E117" s="209">
        <f t="shared" si="7"/>
        <v>2000</v>
      </c>
      <c r="F117" s="8">
        <f t="shared" si="7"/>
        <v>2000</v>
      </c>
      <c r="G117" s="209">
        <f t="shared" si="7"/>
        <v>4000</v>
      </c>
      <c r="H117" s="31">
        <f t="shared" si="7"/>
        <v>3000</v>
      </c>
      <c r="I117" s="8">
        <f t="shared" si="7"/>
        <v>318</v>
      </c>
      <c r="J117" s="8">
        <f t="shared" si="5"/>
        <v>0</v>
      </c>
      <c r="K117" s="72">
        <f t="shared" si="6"/>
        <v>-7321346.0764587512</v>
      </c>
    </row>
    <row r="118" spans="1:11" x14ac:dyDescent="0.25">
      <c r="A118" s="38">
        <f>Données!A115</f>
        <v>5590</v>
      </c>
      <c r="B118" s="168" t="str">
        <f>Données!B115</f>
        <v>Pully</v>
      </c>
      <c r="C118" s="8">
        <f>Données!Z115</f>
        <v>19005</v>
      </c>
      <c r="D118" s="8">
        <f t="shared" si="8"/>
        <v>1000</v>
      </c>
      <c r="E118" s="209">
        <f t="shared" si="7"/>
        <v>2000</v>
      </c>
      <c r="F118" s="8">
        <f t="shared" si="7"/>
        <v>2000</v>
      </c>
      <c r="G118" s="209">
        <f t="shared" si="7"/>
        <v>4000</v>
      </c>
      <c r="H118" s="31">
        <f t="shared" si="7"/>
        <v>3000</v>
      </c>
      <c r="I118" s="8">
        <f t="shared" si="7"/>
        <v>3000</v>
      </c>
      <c r="J118" s="8">
        <f t="shared" si="5"/>
        <v>4005</v>
      </c>
      <c r="K118" s="72">
        <f t="shared" si="6"/>
        <v>-14430318.410462774</v>
      </c>
    </row>
    <row r="119" spans="1:11" x14ac:dyDescent="0.25">
      <c r="A119" s="38">
        <f>Données!A116</f>
        <v>5591</v>
      </c>
      <c r="B119" s="168" t="str">
        <f>Données!B116</f>
        <v>Renens</v>
      </c>
      <c r="C119" s="8">
        <f>Données!Z116</f>
        <v>21116</v>
      </c>
      <c r="D119" s="8">
        <f t="shared" si="8"/>
        <v>1000</v>
      </c>
      <c r="E119" s="209">
        <f t="shared" si="7"/>
        <v>2000</v>
      </c>
      <c r="F119" s="8">
        <f t="shared" si="7"/>
        <v>2000</v>
      </c>
      <c r="G119" s="209">
        <f t="shared" si="7"/>
        <v>4000</v>
      </c>
      <c r="H119" s="31">
        <f t="shared" si="7"/>
        <v>3000</v>
      </c>
      <c r="I119" s="8">
        <f t="shared" si="7"/>
        <v>3000</v>
      </c>
      <c r="J119" s="8">
        <f t="shared" si="5"/>
        <v>6116</v>
      </c>
      <c r="K119" s="72">
        <f t="shared" si="6"/>
        <v>-16718226.156941645</v>
      </c>
    </row>
    <row r="120" spans="1:11" x14ac:dyDescent="0.25">
      <c r="A120" s="38">
        <f>Données!A117</f>
        <v>5592</v>
      </c>
      <c r="B120" s="168" t="str">
        <f>Données!B117</f>
        <v>Romanel-sur-Lausanne</v>
      </c>
      <c r="C120" s="8">
        <f>Données!Z117</f>
        <v>3798</v>
      </c>
      <c r="D120" s="8">
        <f t="shared" si="8"/>
        <v>1000</v>
      </c>
      <c r="E120" s="209">
        <f t="shared" si="7"/>
        <v>2000</v>
      </c>
      <c r="F120" s="8">
        <f t="shared" si="7"/>
        <v>798</v>
      </c>
      <c r="G120" s="209">
        <f t="shared" si="7"/>
        <v>0</v>
      </c>
      <c r="H120" s="31">
        <f t="shared" si="7"/>
        <v>0</v>
      </c>
      <c r="I120" s="8">
        <f t="shared" si="7"/>
        <v>0</v>
      </c>
      <c r="J120" s="8">
        <f t="shared" si="5"/>
        <v>0</v>
      </c>
      <c r="K120" s="72">
        <f t="shared" si="6"/>
        <v>-1263404.4265593558</v>
      </c>
    </row>
    <row r="121" spans="1:11" x14ac:dyDescent="0.25">
      <c r="A121" s="38">
        <f>Données!A118</f>
        <v>5601</v>
      </c>
      <c r="B121" s="168" t="str">
        <f>Données!B118</f>
        <v>Chexbres</v>
      </c>
      <c r="C121" s="8">
        <f>Données!Z118</f>
        <v>2204</v>
      </c>
      <c r="D121" s="8">
        <f t="shared" si="8"/>
        <v>1000</v>
      </c>
      <c r="E121" s="209">
        <f t="shared" si="7"/>
        <v>1204</v>
      </c>
      <c r="F121" s="8">
        <f t="shared" si="7"/>
        <v>0</v>
      </c>
      <c r="G121" s="209">
        <f t="shared" si="7"/>
        <v>0</v>
      </c>
      <c r="H121" s="31">
        <f t="shared" si="7"/>
        <v>0</v>
      </c>
      <c r="I121" s="8">
        <f t="shared" si="7"/>
        <v>0</v>
      </c>
      <c r="J121" s="8">
        <f t="shared" si="5"/>
        <v>0</v>
      </c>
      <c r="K121" s="72">
        <f t="shared" si="6"/>
        <v>-563990.34205231373</v>
      </c>
    </row>
    <row r="122" spans="1:11" x14ac:dyDescent="0.25">
      <c r="A122" s="38">
        <f>Données!A119</f>
        <v>5604</v>
      </c>
      <c r="B122" s="168" t="str">
        <f>Données!B119</f>
        <v>Forel (Lavaux)</v>
      </c>
      <c r="C122" s="8">
        <f>Données!Z119</f>
        <v>2067</v>
      </c>
      <c r="D122" s="8">
        <f t="shared" si="8"/>
        <v>1000</v>
      </c>
      <c r="E122" s="209">
        <f t="shared" si="7"/>
        <v>1067</v>
      </c>
      <c r="F122" s="8">
        <f t="shared" si="7"/>
        <v>0</v>
      </c>
      <c r="G122" s="209">
        <f t="shared" si="7"/>
        <v>0</v>
      </c>
      <c r="H122" s="31">
        <f t="shared" si="7"/>
        <v>0</v>
      </c>
      <c r="I122" s="8">
        <f t="shared" si="7"/>
        <v>0</v>
      </c>
      <c r="J122" s="8">
        <f t="shared" si="5"/>
        <v>0</v>
      </c>
      <c r="K122" s="72">
        <f t="shared" si="6"/>
        <v>-514496.68008048279</v>
      </c>
    </row>
    <row r="123" spans="1:11" x14ac:dyDescent="0.25">
      <c r="A123" s="38">
        <f>Données!A120</f>
        <v>5606</v>
      </c>
      <c r="B123" s="168" t="str">
        <f>Données!B120</f>
        <v>Lutry</v>
      </c>
      <c r="C123" s="8">
        <f>Données!Z120</f>
        <v>10713</v>
      </c>
      <c r="D123" s="8">
        <f t="shared" si="8"/>
        <v>1000</v>
      </c>
      <c r="E123" s="209">
        <f t="shared" si="7"/>
        <v>2000</v>
      </c>
      <c r="F123" s="8">
        <f t="shared" si="7"/>
        <v>2000</v>
      </c>
      <c r="G123" s="209">
        <f t="shared" si="7"/>
        <v>4000</v>
      </c>
      <c r="H123" s="31">
        <f t="shared" si="7"/>
        <v>1713</v>
      </c>
      <c r="I123" s="8">
        <f t="shared" si="7"/>
        <v>0</v>
      </c>
      <c r="J123" s="8">
        <f t="shared" si="5"/>
        <v>0</v>
      </c>
      <c r="K123" s="72">
        <f t="shared" si="6"/>
        <v>-5863940.9456740431</v>
      </c>
    </row>
    <row r="124" spans="1:11" x14ac:dyDescent="0.25">
      <c r="A124" s="38">
        <f>Données!A121</f>
        <v>5607</v>
      </c>
      <c r="B124" s="168" t="str">
        <f>Données!B121</f>
        <v>Puidoux</v>
      </c>
      <c r="C124" s="8">
        <f>Données!Z121</f>
        <v>2991</v>
      </c>
      <c r="D124" s="8">
        <f t="shared" si="8"/>
        <v>1000</v>
      </c>
      <c r="E124" s="209">
        <f t="shared" si="7"/>
        <v>1991</v>
      </c>
      <c r="F124" s="8">
        <f t="shared" si="7"/>
        <v>0</v>
      </c>
      <c r="G124" s="209">
        <f t="shared" si="7"/>
        <v>0</v>
      </c>
      <c r="H124" s="31">
        <f t="shared" si="7"/>
        <v>0</v>
      </c>
      <c r="I124" s="8">
        <f t="shared" si="7"/>
        <v>0</v>
      </c>
      <c r="J124" s="8">
        <f t="shared" si="5"/>
        <v>0</v>
      </c>
      <c r="K124" s="72">
        <f t="shared" si="6"/>
        <v>-848307.94768611644</v>
      </c>
    </row>
    <row r="125" spans="1:11" x14ac:dyDescent="0.25">
      <c r="A125" s="38">
        <f>Données!A122</f>
        <v>5609</v>
      </c>
      <c r="B125" s="168" t="str">
        <f>Données!B122</f>
        <v>Rivaz</v>
      </c>
      <c r="C125" s="8">
        <f>Données!Z122</f>
        <v>332</v>
      </c>
      <c r="D125" s="8">
        <f t="shared" si="8"/>
        <v>332</v>
      </c>
      <c r="E125" s="209">
        <f t="shared" si="7"/>
        <v>0</v>
      </c>
      <c r="F125" s="8">
        <f t="shared" si="7"/>
        <v>0</v>
      </c>
      <c r="G125" s="209">
        <f t="shared" si="7"/>
        <v>0</v>
      </c>
      <c r="H125" s="31">
        <f t="shared" si="7"/>
        <v>0</v>
      </c>
      <c r="I125" s="8">
        <f t="shared" si="7"/>
        <v>0</v>
      </c>
      <c r="J125" s="8">
        <f t="shared" si="5"/>
        <v>0</v>
      </c>
      <c r="K125" s="72">
        <f t="shared" si="6"/>
        <v>-42836.016096579464</v>
      </c>
    </row>
    <row r="126" spans="1:11" x14ac:dyDescent="0.25">
      <c r="A126" s="38">
        <f>Données!A123</f>
        <v>5610</v>
      </c>
      <c r="B126" s="168" t="str">
        <f>Données!B123</f>
        <v>St-Saphorin (Lavaux)</v>
      </c>
      <c r="C126" s="8">
        <f>Données!Z123</f>
        <v>402</v>
      </c>
      <c r="D126" s="8">
        <f t="shared" si="8"/>
        <v>402</v>
      </c>
      <c r="E126" s="209">
        <f t="shared" si="7"/>
        <v>0</v>
      </c>
      <c r="F126" s="8">
        <f t="shared" si="7"/>
        <v>0</v>
      </c>
      <c r="G126" s="209">
        <f t="shared" si="7"/>
        <v>0</v>
      </c>
      <c r="H126" s="31">
        <f t="shared" si="7"/>
        <v>0</v>
      </c>
      <c r="I126" s="8">
        <f t="shared" si="7"/>
        <v>0</v>
      </c>
      <c r="J126" s="8">
        <f t="shared" si="5"/>
        <v>0</v>
      </c>
      <c r="K126" s="72">
        <f t="shared" si="6"/>
        <v>-51867.706237424536</v>
      </c>
    </row>
    <row r="127" spans="1:11" x14ac:dyDescent="0.25">
      <c r="A127" s="38">
        <f>Données!A124</f>
        <v>5611</v>
      </c>
      <c r="B127" s="168" t="str">
        <f>Données!B124</f>
        <v>Savigny</v>
      </c>
      <c r="C127" s="8">
        <f>Données!Z124</f>
        <v>3421</v>
      </c>
      <c r="D127" s="8">
        <f t="shared" si="8"/>
        <v>1000</v>
      </c>
      <c r="E127" s="209">
        <f t="shared" si="7"/>
        <v>2000</v>
      </c>
      <c r="F127" s="8">
        <f t="shared" si="7"/>
        <v>421</v>
      </c>
      <c r="G127" s="209">
        <f t="shared" si="7"/>
        <v>0</v>
      </c>
      <c r="H127" s="31">
        <f t="shared" si="7"/>
        <v>0</v>
      </c>
      <c r="I127" s="8">
        <f t="shared" si="7"/>
        <v>0</v>
      </c>
      <c r="J127" s="8">
        <f t="shared" si="5"/>
        <v>0</v>
      </c>
      <c r="K127" s="72">
        <f t="shared" si="6"/>
        <v>-1068836.0160965794</v>
      </c>
    </row>
    <row r="128" spans="1:11" x14ac:dyDescent="0.25">
      <c r="A128" s="38">
        <f>Données!A125</f>
        <v>5613</v>
      </c>
      <c r="B128" s="168" t="str">
        <f>Données!B125</f>
        <v>Bourg-en-Lavaux</v>
      </c>
      <c r="C128" s="8">
        <f>Données!Z125</f>
        <v>5389</v>
      </c>
      <c r="D128" s="8">
        <f t="shared" si="8"/>
        <v>1000</v>
      </c>
      <c r="E128" s="209">
        <f t="shared" si="7"/>
        <v>2000</v>
      </c>
      <c r="F128" s="8">
        <f t="shared" si="7"/>
        <v>2000</v>
      </c>
      <c r="G128" s="209">
        <f t="shared" si="7"/>
        <v>389</v>
      </c>
      <c r="H128" s="31">
        <f t="shared" si="7"/>
        <v>0</v>
      </c>
      <c r="I128" s="8">
        <f t="shared" si="7"/>
        <v>0</v>
      </c>
      <c r="J128" s="8">
        <f t="shared" si="5"/>
        <v>0</v>
      </c>
      <c r="K128" s="72">
        <f t="shared" si="6"/>
        <v>-2124666.3983903416</v>
      </c>
    </row>
    <row r="129" spans="1:11" x14ac:dyDescent="0.25">
      <c r="A129" s="38">
        <f>Données!A126</f>
        <v>5621</v>
      </c>
      <c r="B129" s="168" t="str">
        <f>Données!B126</f>
        <v>Aclens</v>
      </c>
      <c r="C129" s="8">
        <f>Données!Z126</f>
        <v>557</v>
      </c>
      <c r="D129" s="8">
        <f t="shared" si="8"/>
        <v>557</v>
      </c>
      <c r="E129" s="209">
        <f t="shared" si="7"/>
        <v>0</v>
      </c>
      <c r="F129" s="8">
        <f t="shared" si="7"/>
        <v>0</v>
      </c>
      <c r="G129" s="209">
        <f t="shared" si="7"/>
        <v>0</v>
      </c>
      <c r="H129" s="31">
        <f t="shared" si="7"/>
        <v>0</v>
      </c>
      <c r="I129" s="8">
        <f t="shared" si="7"/>
        <v>0</v>
      </c>
      <c r="J129" s="8">
        <f t="shared" si="5"/>
        <v>0</v>
      </c>
      <c r="K129" s="72">
        <f t="shared" si="6"/>
        <v>-71866.448692152902</v>
      </c>
    </row>
    <row r="130" spans="1:11" x14ac:dyDescent="0.25">
      <c r="A130" s="38">
        <f>Données!A127</f>
        <v>5622</v>
      </c>
      <c r="B130" s="168" t="str">
        <f>Données!B127</f>
        <v>Bremblens</v>
      </c>
      <c r="C130" s="8">
        <f>Données!Z127</f>
        <v>604</v>
      </c>
      <c r="D130" s="8">
        <f t="shared" si="8"/>
        <v>604</v>
      </c>
      <c r="E130" s="209">
        <f t="shared" si="7"/>
        <v>0</v>
      </c>
      <c r="F130" s="8">
        <f t="shared" si="7"/>
        <v>0</v>
      </c>
      <c r="G130" s="209">
        <f t="shared" si="7"/>
        <v>0</v>
      </c>
      <c r="H130" s="31">
        <f t="shared" si="7"/>
        <v>0</v>
      </c>
      <c r="I130" s="8">
        <f t="shared" si="7"/>
        <v>0</v>
      </c>
      <c r="J130" s="8">
        <f t="shared" si="5"/>
        <v>0</v>
      </c>
      <c r="K130" s="72">
        <f t="shared" si="6"/>
        <v>-77930.583501006025</v>
      </c>
    </row>
    <row r="131" spans="1:11" x14ac:dyDescent="0.25">
      <c r="A131" s="38">
        <f>Données!A128</f>
        <v>5623</v>
      </c>
      <c r="B131" s="168" t="str">
        <f>Données!B128</f>
        <v>Buchillon</v>
      </c>
      <c r="C131" s="8">
        <f>Données!Z128</f>
        <v>670</v>
      </c>
      <c r="D131" s="8">
        <f t="shared" si="8"/>
        <v>670</v>
      </c>
      <c r="E131" s="209">
        <f t="shared" si="7"/>
        <v>0</v>
      </c>
      <c r="F131" s="8">
        <f t="shared" si="7"/>
        <v>0</v>
      </c>
      <c r="G131" s="209">
        <f t="shared" si="7"/>
        <v>0</v>
      </c>
      <c r="H131" s="31">
        <f t="shared" si="7"/>
        <v>0</v>
      </c>
      <c r="I131" s="8">
        <f t="shared" si="7"/>
        <v>0</v>
      </c>
      <c r="J131" s="8">
        <f t="shared" si="5"/>
        <v>0</v>
      </c>
      <c r="K131" s="72">
        <f t="shared" si="6"/>
        <v>-86446.17706237422</v>
      </c>
    </row>
    <row r="132" spans="1:11" x14ac:dyDescent="0.25">
      <c r="A132" s="38">
        <f>Données!A129</f>
        <v>5624</v>
      </c>
      <c r="B132" s="168" t="str">
        <f>Données!B129</f>
        <v>Bussigny</v>
      </c>
      <c r="C132" s="8">
        <f>Données!Z129</f>
        <v>10392</v>
      </c>
      <c r="D132" s="8">
        <f t="shared" si="8"/>
        <v>1000</v>
      </c>
      <c r="E132" s="209">
        <f t="shared" si="7"/>
        <v>2000</v>
      </c>
      <c r="F132" s="8">
        <f t="shared" si="7"/>
        <v>2000</v>
      </c>
      <c r="G132" s="209">
        <f t="shared" si="7"/>
        <v>4000</v>
      </c>
      <c r="H132" s="31">
        <f t="shared" si="7"/>
        <v>1392</v>
      </c>
      <c r="I132" s="8">
        <f t="shared" si="7"/>
        <v>0</v>
      </c>
      <c r="J132" s="8">
        <f t="shared" si="5"/>
        <v>0</v>
      </c>
      <c r="K132" s="72">
        <f t="shared" si="6"/>
        <v>-5582307.0422535194</v>
      </c>
    </row>
    <row r="133" spans="1:11" x14ac:dyDescent="0.25">
      <c r="A133" s="38">
        <f>Données!A130</f>
        <v>5627</v>
      </c>
      <c r="B133" s="168" t="str">
        <f>Données!B130</f>
        <v>Chavannes-près-Renens</v>
      </c>
      <c r="C133" s="8">
        <f>Données!Z130</f>
        <v>8725</v>
      </c>
      <c r="D133" s="8">
        <f t="shared" si="8"/>
        <v>1000</v>
      </c>
      <c r="E133" s="209">
        <f t="shared" si="7"/>
        <v>2000</v>
      </c>
      <c r="F133" s="8">
        <f t="shared" si="7"/>
        <v>2000</v>
      </c>
      <c r="G133" s="209">
        <f t="shared" si="7"/>
        <v>3725</v>
      </c>
      <c r="H133" s="31">
        <f t="shared" si="7"/>
        <v>0</v>
      </c>
      <c r="I133" s="8">
        <f t="shared" si="7"/>
        <v>0</v>
      </c>
      <c r="J133" s="8">
        <f t="shared" si="5"/>
        <v>0</v>
      </c>
      <c r="K133" s="72">
        <f t="shared" si="6"/>
        <v>-4190704.2253521117</v>
      </c>
    </row>
    <row r="134" spans="1:11" x14ac:dyDescent="0.25">
      <c r="A134" s="38">
        <f>Données!A131</f>
        <v>5628</v>
      </c>
      <c r="B134" s="168" t="str">
        <f>Données!B131</f>
        <v>Chigny</v>
      </c>
      <c r="C134" s="8">
        <f>Données!Z131</f>
        <v>419</v>
      </c>
      <c r="D134" s="8">
        <f t="shared" si="8"/>
        <v>419</v>
      </c>
      <c r="E134" s="209">
        <f t="shared" si="7"/>
        <v>0</v>
      </c>
      <c r="F134" s="8">
        <f t="shared" si="7"/>
        <v>0</v>
      </c>
      <c r="G134" s="209">
        <f t="shared" si="7"/>
        <v>0</v>
      </c>
      <c r="H134" s="31">
        <f t="shared" si="7"/>
        <v>0</v>
      </c>
      <c r="I134" s="8">
        <f t="shared" si="7"/>
        <v>0</v>
      </c>
      <c r="J134" s="8">
        <f t="shared" si="5"/>
        <v>0</v>
      </c>
      <c r="K134" s="72">
        <f t="shared" si="6"/>
        <v>-54061.116700201193</v>
      </c>
    </row>
    <row r="135" spans="1:11" x14ac:dyDescent="0.25">
      <c r="A135" s="38">
        <f>Données!A132</f>
        <v>5629</v>
      </c>
      <c r="B135" s="168" t="str">
        <f>Données!B132</f>
        <v>Clarmont</v>
      </c>
      <c r="C135" s="8">
        <f>Données!Z132</f>
        <v>213</v>
      </c>
      <c r="D135" s="8">
        <f t="shared" si="8"/>
        <v>213</v>
      </c>
      <c r="E135" s="209">
        <f t="shared" si="7"/>
        <v>0</v>
      </c>
      <c r="F135" s="8">
        <f t="shared" si="7"/>
        <v>0</v>
      </c>
      <c r="G135" s="209">
        <f t="shared" si="7"/>
        <v>0</v>
      </c>
      <c r="H135" s="31">
        <f t="shared" si="7"/>
        <v>0</v>
      </c>
      <c r="I135" s="8">
        <f t="shared" si="7"/>
        <v>0</v>
      </c>
      <c r="J135" s="8">
        <f t="shared" si="5"/>
        <v>0</v>
      </c>
      <c r="K135" s="72">
        <f t="shared" si="6"/>
        <v>-27482.142857142851</v>
      </c>
    </row>
    <row r="136" spans="1:11" x14ac:dyDescent="0.25">
      <c r="A136" s="38">
        <f>Données!A133</f>
        <v>5631</v>
      </c>
      <c r="B136" s="168" t="str">
        <f>Données!B133</f>
        <v>Denens</v>
      </c>
      <c r="C136" s="8">
        <f>Données!Z133</f>
        <v>715</v>
      </c>
      <c r="D136" s="8">
        <f t="shared" si="8"/>
        <v>715</v>
      </c>
      <c r="E136" s="209">
        <f t="shared" si="7"/>
        <v>0</v>
      </c>
      <c r="F136" s="8">
        <f t="shared" si="7"/>
        <v>0</v>
      </c>
      <c r="G136" s="209">
        <f t="shared" si="7"/>
        <v>0</v>
      </c>
      <c r="H136" s="31">
        <f t="shared" si="7"/>
        <v>0</v>
      </c>
      <c r="I136" s="8">
        <f t="shared" si="7"/>
        <v>0</v>
      </c>
      <c r="J136" s="8">
        <f t="shared" si="5"/>
        <v>0</v>
      </c>
      <c r="K136" s="72">
        <f t="shared" si="6"/>
        <v>-92252.263581488907</v>
      </c>
    </row>
    <row r="137" spans="1:11" x14ac:dyDescent="0.25">
      <c r="A137" s="38">
        <f>Données!A134</f>
        <v>5632</v>
      </c>
      <c r="B137" s="168" t="str">
        <f>Données!B134</f>
        <v>Denges</v>
      </c>
      <c r="C137" s="8">
        <f>Données!Z134</f>
        <v>1778</v>
      </c>
      <c r="D137" s="8">
        <f t="shared" si="8"/>
        <v>1000</v>
      </c>
      <c r="E137" s="209">
        <f t="shared" si="7"/>
        <v>778</v>
      </c>
      <c r="F137" s="8">
        <f t="shared" si="7"/>
        <v>0</v>
      </c>
      <c r="G137" s="209">
        <f t="shared" si="7"/>
        <v>0</v>
      </c>
      <c r="H137" s="31">
        <f t="shared" si="7"/>
        <v>0</v>
      </c>
      <c r="I137" s="8">
        <f t="shared" si="7"/>
        <v>0</v>
      </c>
      <c r="J137" s="8">
        <f t="shared" si="5"/>
        <v>0</v>
      </c>
      <c r="K137" s="72">
        <f t="shared" si="6"/>
        <v>-410090.34205231379</v>
      </c>
    </row>
    <row r="138" spans="1:11" x14ac:dyDescent="0.25">
      <c r="A138" s="38">
        <f>Données!A135</f>
        <v>5633</v>
      </c>
      <c r="B138" s="168" t="str">
        <f>Données!B135</f>
        <v>Echandens</v>
      </c>
      <c r="C138" s="8">
        <f>Données!Z135</f>
        <v>2891</v>
      </c>
      <c r="D138" s="8">
        <f t="shared" si="8"/>
        <v>1000</v>
      </c>
      <c r="E138" s="209">
        <f t="shared" si="7"/>
        <v>1891</v>
      </c>
      <c r="F138" s="8">
        <f t="shared" si="7"/>
        <v>0</v>
      </c>
      <c r="G138" s="209">
        <f t="shared" si="7"/>
        <v>0</v>
      </c>
      <c r="H138" s="31">
        <f t="shared" si="7"/>
        <v>0</v>
      </c>
      <c r="I138" s="8">
        <f t="shared" si="7"/>
        <v>0</v>
      </c>
      <c r="J138" s="8">
        <f t="shared" ref="J138:J201" si="9">IF(C138&gt;$J$5,C138-$J$5,0)</f>
        <v>0</v>
      </c>
      <c r="K138" s="72">
        <f t="shared" ref="K138:K201" si="10">-((D138*D$8)+(E138*E$8)+(F138*F$8)+(G138*G$8)+(H138*H$8)+(I138*I$8)+(J138*J$8))</f>
        <v>-812181.18712273636</v>
      </c>
    </row>
    <row r="139" spans="1:11" x14ac:dyDescent="0.25">
      <c r="A139" s="38">
        <f>Données!A136</f>
        <v>5634</v>
      </c>
      <c r="B139" s="168" t="str">
        <f>Données!B136</f>
        <v>Echichens</v>
      </c>
      <c r="C139" s="8">
        <f>Données!Z136</f>
        <v>3211</v>
      </c>
      <c r="D139" s="8">
        <f t="shared" si="8"/>
        <v>1000</v>
      </c>
      <c r="E139" s="209">
        <f t="shared" si="7"/>
        <v>2000</v>
      </c>
      <c r="F139" s="8">
        <f t="shared" si="7"/>
        <v>211</v>
      </c>
      <c r="G139" s="209">
        <f t="shared" si="7"/>
        <v>0</v>
      </c>
      <c r="H139" s="31">
        <f t="shared" si="7"/>
        <v>0</v>
      </c>
      <c r="I139" s="8">
        <f t="shared" si="7"/>
        <v>0</v>
      </c>
      <c r="J139" s="8">
        <f t="shared" si="9"/>
        <v>0</v>
      </c>
      <c r="K139" s="72">
        <f t="shared" si="10"/>
        <v>-960455.73440643842</v>
      </c>
    </row>
    <row r="140" spans="1:11" x14ac:dyDescent="0.25">
      <c r="A140" s="38">
        <f>Données!A137</f>
        <v>5635</v>
      </c>
      <c r="B140" s="168" t="str">
        <f>Données!B137</f>
        <v>Ecublens</v>
      </c>
      <c r="C140" s="8">
        <f>Données!Z137</f>
        <v>13129</v>
      </c>
      <c r="D140" s="8">
        <f t="shared" si="8"/>
        <v>1000</v>
      </c>
      <c r="E140" s="209">
        <f t="shared" si="7"/>
        <v>2000</v>
      </c>
      <c r="F140" s="8">
        <f t="shared" si="7"/>
        <v>2000</v>
      </c>
      <c r="G140" s="209">
        <f t="shared" si="7"/>
        <v>4000</v>
      </c>
      <c r="H140" s="31">
        <f t="shared" si="7"/>
        <v>3000</v>
      </c>
      <c r="I140" s="8">
        <f t="shared" si="7"/>
        <v>1129</v>
      </c>
      <c r="J140" s="8">
        <f t="shared" si="9"/>
        <v>0</v>
      </c>
      <c r="K140" s="72">
        <f t="shared" si="10"/>
        <v>-8158454.7283702195</v>
      </c>
    </row>
    <row r="141" spans="1:11" x14ac:dyDescent="0.25">
      <c r="A141" s="38">
        <f>Données!A138</f>
        <v>5636</v>
      </c>
      <c r="B141" s="168" t="str">
        <f>Données!B138</f>
        <v>Etoy</v>
      </c>
      <c r="C141" s="8">
        <f>Données!Z138</f>
        <v>2938</v>
      </c>
      <c r="D141" s="8">
        <f t="shared" si="8"/>
        <v>1000</v>
      </c>
      <c r="E141" s="209">
        <f t="shared" si="7"/>
        <v>1938</v>
      </c>
      <c r="F141" s="8">
        <f t="shared" si="7"/>
        <v>0</v>
      </c>
      <c r="G141" s="209">
        <f t="shared" si="7"/>
        <v>0</v>
      </c>
      <c r="H141" s="31">
        <f t="shared" si="7"/>
        <v>0</v>
      </c>
      <c r="I141" s="8">
        <f t="shared" si="7"/>
        <v>0</v>
      </c>
      <c r="J141" s="8">
        <f t="shared" si="9"/>
        <v>0</v>
      </c>
      <c r="K141" s="72">
        <f t="shared" si="10"/>
        <v>-829160.76458752505</v>
      </c>
    </row>
    <row r="142" spans="1:11" x14ac:dyDescent="0.25">
      <c r="A142" s="38">
        <f>Données!A139</f>
        <v>5637</v>
      </c>
      <c r="B142" s="168" t="str">
        <f>Données!B139</f>
        <v>Lavigny</v>
      </c>
      <c r="C142" s="8">
        <f>Données!Z139</f>
        <v>1038</v>
      </c>
      <c r="D142" s="8">
        <f t="shared" si="8"/>
        <v>1000</v>
      </c>
      <c r="E142" s="209">
        <f t="shared" si="7"/>
        <v>38</v>
      </c>
      <c r="F142" s="8">
        <f t="shared" si="7"/>
        <v>0</v>
      </c>
      <c r="G142" s="209">
        <f t="shared" si="7"/>
        <v>0</v>
      </c>
      <c r="H142" s="31">
        <f t="shared" si="7"/>
        <v>0</v>
      </c>
      <c r="I142" s="8">
        <f t="shared" si="7"/>
        <v>0</v>
      </c>
      <c r="J142" s="8">
        <f t="shared" si="9"/>
        <v>0</v>
      </c>
      <c r="K142" s="72">
        <f t="shared" si="10"/>
        <v>-142752.31388329976</v>
      </c>
    </row>
    <row r="143" spans="1:11" x14ac:dyDescent="0.25">
      <c r="A143" s="38">
        <f>Données!A140</f>
        <v>5638</v>
      </c>
      <c r="B143" s="168" t="str">
        <f>Données!B140</f>
        <v>Lonay</v>
      </c>
      <c r="C143" s="8">
        <f>Données!Z140</f>
        <v>2675</v>
      </c>
      <c r="D143" s="8">
        <f t="shared" si="8"/>
        <v>1000</v>
      </c>
      <c r="E143" s="209">
        <f t="shared" si="7"/>
        <v>1675</v>
      </c>
      <c r="F143" s="8">
        <f t="shared" si="7"/>
        <v>0</v>
      </c>
      <c r="G143" s="209">
        <f t="shared" si="7"/>
        <v>0</v>
      </c>
      <c r="H143" s="31">
        <f t="shared" si="7"/>
        <v>0</v>
      </c>
      <c r="I143" s="8">
        <f t="shared" si="7"/>
        <v>0</v>
      </c>
      <c r="J143" s="8">
        <f t="shared" si="9"/>
        <v>0</v>
      </c>
      <c r="K143" s="72">
        <f t="shared" si="10"/>
        <v>-734147.38430583477</v>
      </c>
    </row>
    <row r="144" spans="1:11" x14ac:dyDescent="0.25">
      <c r="A144" s="38">
        <f>Données!A141</f>
        <v>5639</v>
      </c>
      <c r="B144" s="168" t="str">
        <f>Données!B141</f>
        <v>Lully</v>
      </c>
      <c r="C144" s="8">
        <f>Données!Z141</f>
        <v>825</v>
      </c>
      <c r="D144" s="8">
        <f t="shared" si="8"/>
        <v>825</v>
      </c>
      <c r="E144" s="209">
        <f t="shared" si="7"/>
        <v>0</v>
      </c>
      <c r="F144" s="8">
        <f t="shared" si="7"/>
        <v>0</v>
      </c>
      <c r="G144" s="209">
        <f t="shared" si="7"/>
        <v>0</v>
      </c>
      <c r="H144" s="31">
        <f t="shared" si="7"/>
        <v>0</v>
      </c>
      <c r="I144" s="8">
        <f t="shared" si="7"/>
        <v>0</v>
      </c>
      <c r="J144" s="8">
        <f t="shared" si="9"/>
        <v>0</v>
      </c>
      <c r="K144" s="72">
        <f t="shared" si="10"/>
        <v>-106444.91951710259</v>
      </c>
    </row>
    <row r="145" spans="1:11" x14ac:dyDescent="0.25">
      <c r="A145" s="38">
        <f>Données!A142</f>
        <v>5640</v>
      </c>
      <c r="B145" s="168" t="str">
        <f>Données!B142</f>
        <v>Lussy-sur-Morges</v>
      </c>
      <c r="C145" s="8">
        <f>Données!Z142</f>
        <v>730</v>
      </c>
      <c r="D145" s="8">
        <f t="shared" si="8"/>
        <v>730</v>
      </c>
      <c r="E145" s="209">
        <f t="shared" si="7"/>
        <v>0</v>
      </c>
      <c r="F145" s="8">
        <f t="shared" si="7"/>
        <v>0</v>
      </c>
      <c r="G145" s="209">
        <f t="shared" si="7"/>
        <v>0</v>
      </c>
      <c r="H145" s="31">
        <f t="shared" si="7"/>
        <v>0</v>
      </c>
      <c r="I145" s="8">
        <f t="shared" si="7"/>
        <v>0</v>
      </c>
      <c r="J145" s="8">
        <f t="shared" si="9"/>
        <v>0</v>
      </c>
      <c r="K145" s="72">
        <f t="shared" si="10"/>
        <v>-94187.625754527136</v>
      </c>
    </row>
    <row r="146" spans="1:11" x14ac:dyDescent="0.25">
      <c r="A146" s="38">
        <f>Données!A143</f>
        <v>5642</v>
      </c>
      <c r="B146" s="168" t="str">
        <f>Données!B143</f>
        <v>Morges</v>
      </c>
      <c r="C146" s="8">
        <f>Données!Z143</f>
        <v>17530</v>
      </c>
      <c r="D146" s="8">
        <f t="shared" si="8"/>
        <v>1000</v>
      </c>
      <c r="E146" s="209">
        <f t="shared" si="7"/>
        <v>2000</v>
      </c>
      <c r="F146" s="8">
        <f t="shared" si="7"/>
        <v>2000</v>
      </c>
      <c r="G146" s="209">
        <f t="shared" si="7"/>
        <v>4000</v>
      </c>
      <c r="H146" s="31">
        <f t="shared" si="7"/>
        <v>3000</v>
      </c>
      <c r="I146" s="8">
        <f t="shared" si="7"/>
        <v>3000</v>
      </c>
      <c r="J146" s="8">
        <f t="shared" si="9"/>
        <v>2530</v>
      </c>
      <c r="K146" s="72">
        <f t="shared" si="10"/>
        <v>-12831709.255533196</v>
      </c>
    </row>
    <row r="147" spans="1:11" x14ac:dyDescent="0.25">
      <c r="A147" s="38">
        <f>Données!A144</f>
        <v>5643</v>
      </c>
      <c r="B147" s="168" t="str">
        <f>Données!B144</f>
        <v>Préverenges</v>
      </c>
      <c r="C147" s="8">
        <f>Données!Z144</f>
        <v>5209</v>
      </c>
      <c r="D147" s="8">
        <f t="shared" si="8"/>
        <v>1000</v>
      </c>
      <c r="E147" s="209">
        <f t="shared" si="7"/>
        <v>2000</v>
      </c>
      <c r="F147" s="8">
        <f t="shared" si="7"/>
        <v>2000</v>
      </c>
      <c r="G147" s="209">
        <f t="shared" si="7"/>
        <v>209</v>
      </c>
      <c r="H147" s="31">
        <f t="shared" si="7"/>
        <v>0</v>
      </c>
      <c r="I147" s="8">
        <f t="shared" si="7"/>
        <v>0</v>
      </c>
      <c r="J147" s="8">
        <f t="shared" si="9"/>
        <v>0</v>
      </c>
      <c r="K147" s="72">
        <f t="shared" si="10"/>
        <v>-2013189.5372233395</v>
      </c>
    </row>
    <row r="148" spans="1:11" x14ac:dyDescent="0.25">
      <c r="A148" s="38">
        <f>Données!A145</f>
        <v>5645</v>
      </c>
      <c r="B148" s="168" t="str">
        <f>Données!B145</f>
        <v>Romanel-sur-Morges</v>
      </c>
      <c r="C148" s="8">
        <f>Données!Z145</f>
        <v>458</v>
      </c>
      <c r="D148" s="8">
        <f t="shared" si="8"/>
        <v>458</v>
      </c>
      <c r="E148" s="209">
        <f t="shared" si="7"/>
        <v>0</v>
      </c>
      <c r="F148" s="8">
        <f t="shared" si="7"/>
        <v>0</v>
      </c>
      <c r="G148" s="209">
        <f t="shared" si="7"/>
        <v>0</v>
      </c>
      <c r="H148" s="31">
        <f t="shared" si="7"/>
        <v>0</v>
      </c>
      <c r="I148" s="8">
        <f t="shared" si="7"/>
        <v>0</v>
      </c>
      <c r="J148" s="8">
        <f t="shared" si="9"/>
        <v>0</v>
      </c>
      <c r="K148" s="72">
        <f t="shared" si="10"/>
        <v>-59093.058350100589</v>
      </c>
    </row>
    <row r="149" spans="1:11" x14ac:dyDescent="0.25">
      <c r="A149" s="38">
        <f>Données!A146</f>
        <v>5646</v>
      </c>
      <c r="B149" s="168" t="str">
        <f>Données!B146</f>
        <v>Saint-Prex</v>
      </c>
      <c r="C149" s="8">
        <f>Données!Z146</f>
        <v>5876</v>
      </c>
      <c r="D149" s="8">
        <f t="shared" si="8"/>
        <v>1000</v>
      </c>
      <c r="E149" s="209">
        <f t="shared" si="7"/>
        <v>2000</v>
      </c>
      <c r="F149" s="8">
        <f t="shared" si="7"/>
        <v>2000</v>
      </c>
      <c r="G149" s="209">
        <f t="shared" si="7"/>
        <v>876</v>
      </c>
      <c r="H149" s="31">
        <f t="shared" si="7"/>
        <v>0</v>
      </c>
      <c r="I149" s="8">
        <f t="shared" si="7"/>
        <v>0</v>
      </c>
      <c r="J149" s="8">
        <f t="shared" si="9"/>
        <v>0</v>
      </c>
      <c r="K149" s="72">
        <f t="shared" si="10"/>
        <v>-2426273.239436619</v>
      </c>
    </row>
    <row r="150" spans="1:11" x14ac:dyDescent="0.25">
      <c r="A150" s="38">
        <f>Données!A147</f>
        <v>5648</v>
      </c>
      <c r="B150" s="168" t="str">
        <f>Données!B147</f>
        <v>Saint-Sulpice</v>
      </c>
      <c r="C150" s="8">
        <f>Données!Z147</f>
        <v>5036</v>
      </c>
      <c r="D150" s="8">
        <f t="shared" si="8"/>
        <v>1000</v>
      </c>
      <c r="E150" s="209">
        <f t="shared" si="7"/>
        <v>2000</v>
      </c>
      <c r="F150" s="8">
        <f t="shared" si="7"/>
        <v>2000</v>
      </c>
      <c r="G150" s="209">
        <f t="shared" si="7"/>
        <v>36</v>
      </c>
      <c r="H150" s="31">
        <f t="shared" si="7"/>
        <v>0</v>
      </c>
      <c r="I150" s="8">
        <f t="shared" si="7"/>
        <v>0</v>
      </c>
      <c r="J150" s="8">
        <f t="shared" si="9"/>
        <v>0</v>
      </c>
      <c r="K150" s="72">
        <f t="shared" si="10"/>
        <v>-1906047.8873239432</v>
      </c>
    </row>
    <row r="151" spans="1:11" x14ac:dyDescent="0.25">
      <c r="A151" s="38">
        <f>Données!A148</f>
        <v>5649</v>
      </c>
      <c r="B151" s="168" t="str">
        <f>Données!B148</f>
        <v>Tolochenaz</v>
      </c>
      <c r="C151" s="8">
        <f>Données!Z148</f>
        <v>1890</v>
      </c>
      <c r="D151" s="8">
        <f t="shared" si="8"/>
        <v>1000</v>
      </c>
      <c r="E151" s="209">
        <f t="shared" si="7"/>
        <v>890</v>
      </c>
      <c r="F151" s="8">
        <f t="shared" si="7"/>
        <v>0</v>
      </c>
      <c r="G151" s="209">
        <f t="shared" si="7"/>
        <v>0</v>
      </c>
      <c r="H151" s="31">
        <f t="shared" si="7"/>
        <v>0</v>
      </c>
      <c r="I151" s="8">
        <f t="shared" si="7"/>
        <v>0</v>
      </c>
      <c r="J151" s="8">
        <f t="shared" si="9"/>
        <v>0</v>
      </c>
      <c r="K151" s="72">
        <f t="shared" si="10"/>
        <v>-450552.31388329971</v>
      </c>
    </row>
    <row r="152" spans="1:11" x14ac:dyDescent="0.25">
      <c r="A152" s="38">
        <f>Données!A149</f>
        <v>5650</v>
      </c>
      <c r="B152" s="168" t="str">
        <f>Données!B149</f>
        <v>Vaux-sur-Morges</v>
      </c>
      <c r="C152" s="8">
        <f>Données!Z149</f>
        <v>185</v>
      </c>
      <c r="D152" s="8">
        <f t="shared" si="8"/>
        <v>185</v>
      </c>
      <c r="E152" s="209">
        <f t="shared" si="7"/>
        <v>0</v>
      </c>
      <c r="F152" s="8">
        <f t="shared" si="7"/>
        <v>0</v>
      </c>
      <c r="G152" s="209">
        <f t="shared" si="7"/>
        <v>0</v>
      </c>
      <c r="H152" s="31">
        <f t="shared" si="7"/>
        <v>0</v>
      </c>
      <c r="I152" s="8">
        <f t="shared" si="7"/>
        <v>0</v>
      </c>
      <c r="J152" s="8">
        <f t="shared" si="9"/>
        <v>0</v>
      </c>
      <c r="K152" s="72">
        <f t="shared" si="10"/>
        <v>-23869.466800804825</v>
      </c>
    </row>
    <row r="153" spans="1:11" x14ac:dyDescent="0.25">
      <c r="A153" s="38">
        <f>Données!A150</f>
        <v>5651</v>
      </c>
      <c r="B153" s="168" t="str">
        <f>Données!B150</f>
        <v>Villars-Sainte-Croix</v>
      </c>
      <c r="C153" s="8">
        <f>Données!Z150</f>
        <v>978</v>
      </c>
      <c r="D153" s="8">
        <f t="shared" si="8"/>
        <v>978</v>
      </c>
      <c r="E153" s="209">
        <f t="shared" si="7"/>
        <v>0</v>
      </c>
      <c r="F153" s="8">
        <f t="shared" si="7"/>
        <v>0</v>
      </c>
      <c r="G153" s="209">
        <f t="shared" si="7"/>
        <v>0</v>
      </c>
      <c r="H153" s="31">
        <f t="shared" si="7"/>
        <v>0</v>
      </c>
      <c r="I153" s="8">
        <f t="shared" si="7"/>
        <v>0</v>
      </c>
      <c r="J153" s="8">
        <f t="shared" si="9"/>
        <v>0</v>
      </c>
      <c r="K153" s="72">
        <f t="shared" si="10"/>
        <v>-126185.61368209253</v>
      </c>
    </row>
    <row r="154" spans="1:11" x14ac:dyDescent="0.25">
      <c r="A154" s="38">
        <f>Données!A151</f>
        <v>5652</v>
      </c>
      <c r="B154" s="168" t="str">
        <f>Données!B151</f>
        <v>Villars-sous-Yens</v>
      </c>
      <c r="C154" s="8">
        <f>Données!Z151</f>
        <v>615</v>
      </c>
      <c r="D154" s="8">
        <f t="shared" si="8"/>
        <v>615</v>
      </c>
      <c r="E154" s="209">
        <f t="shared" si="7"/>
        <v>0</v>
      </c>
      <c r="F154" s="8">
        <f t="shared" si="7"/>
        <v>0</v>
      </c>
      <c r="G154" s="209">
        <f t="shared" si="7"/>
        <v>0</v>
      </c>
      <c r="H154" s="31">
        <f t="shared" si="7"/>
        <v>0</v>
      </c>
      <c r="I154" s="8">
        <f t="shared" si="7"/>
        <v>0</v>
      </c>
      <c r="J154" s="8">
        <f t="shared" si="9"/>
        <v>0</v>
      </c>
      <c r="K154" s="72">
        <f t="shared" si="10"/>
        <v>-79349.849094567384</v>
      </c>
    </row>
    <row r="155" spans="1:11" x14ac:dyDescent="0.25">
      <c r="A155" s="38">
        <f>Données!A152</f>
        <v>5653</v>
      </c>
      <c r="B155" s="168" t="str">
        <f>Données!B152</f>
        <v>Vufflens-le-Château</v>
      </c>
      <c r="C155" s="8">
        <f>Données!Z152</f>
        <v>884</v>
      </c>
      <c r="D155" s="8">
        <f t="shared" si="8"/>
        <v>884</v>
      </c>
      <c r="E155" s="209">
        <f t="shared" si="7"/>
        <v>0</v>
      </c>
      <c r="F155" s="8">
        <f t="shared" si="7"/>
        <v>0</v>
      </c>
      <c r="G155" s="209">
        <f t="shared" si="7"/>
        <v>0</v>
      </c>
      <c r="H155" s="31">
        <f t="shared" si="7"/>
        <v>0</v>
      </c>
      <c r="I155" s="8">
        <f t="shared" si="7"/>
        <v>0</v>
      </c>
      <c r="J155" s="8">
        <f t="shared" si="9"/>
        <v>0</v>
      </c>
      <c r="K155" s="72">
        <f t="shared" si="10"/>
        <v>-114057.3440643863</v>
      </c>
    </row>
    <row r="156" spans="1:11" x14ac:dyDescent="0.25">
      <c r="A156" s="38">
        <f>Données!A153</f>
        <v>5654</v>
      </c>
      <c r="B156" s="168" t="str">
        <f>Données!B153</f>
        <v>Vullierens</v>
      </c>
      <c r="C156" s="8">
        <f>Données!Z153</f>
        <v>562</v>
      </c>
      <c r="D156" s="8">
        <f t="shared" si="8"/>
        <v>562</v>
      </c>
      <c r="E156" s="209">
        <f t="shared" si="7"/>
        <v>0</v>
      </c>
      <c r="F156" s="8">
        <f t="shared" si="7"/>
        <v>0</v>
      </c>
      <c r="G156" s="209">
        <f t="shared" si="7"/>
        <v>0</v>
      </c>
      <c r="H156" s="31">
        <f t="shared" si="7"/>
        <v>0</v>
      </c>
      <c r="I156" s="8">
        <f t="shared" si="7"/>
        <v>0</v>
      </c>
      <c r="J156" s="8">
        <f t="shared" si="9"/>
        <v>0</v>
      </c>
      <c r="K156" s="72">
        <f t="shared" si="10"/>
        <v>-72511.569416498984</v>
      </c>
    </row>
    <row r="157" spans="1:11" x14ac:dyDescent="0.25">
      <c r="A157" s="38">
        <f>Données!A154</f>
        <v>5655</v>
      </c>
      <c r="B157" s="168" t="str">
        <f>Données!B154</f>
        <v>Yens</v>
      </c>
      <c r="C157" s="8">
        <f>Données!Z154</f>
        <v>1513</v>
      </c>
      <c r="D157" s="8">
        <f t="shared" si="8"/>
        <v>1000</v>
      </c>
      <c r="E157" s="209">
        <f t="shared" si="7"/>
        <v>513</v>
      </c>
      <c r="F157" s="8">
        <f t="shared" si="7"/>
        <v>0</v>
      </c>
      <c r="G157" s="209">
        <f t="shared" si="7"/>
        <v>0</v>
      </c>
      <c r="H157" s="31">
        <f t="shared" si="7"/>
        <v>0</v>
      </c>
      <c r="I157" s="8">
        <f t="shared" si="7"/>
        <v>0</v>
      </c>
      <c r="J157" s="8">
        <f t="shared" si="9"/>
        <v>0</v>
      </c>
      <c r="K157" s="72">
        <f t="shared" si="10"/>
        <v>-314354.42655935604</v>
      </c>
    </row>
    <row r="158" spans="1:11" x14ac:dyDescent="0.25">
      <c r="A158" s="38">
        <f>Données!A155</f>
        <v>5656</v>
      </c>
      <c r="B158" s="168" t="str">
        <f>Données!B155</f>
        <v>Hautemorges</v>
      </c>
      <c r="C158" s="8">
        <f>Données!Z155</f>
        <v>4257</v>
      </c>
      <c r="D158" s="8">
        <f t="shared" si="8"/>
        <v>1000</v>
      </c>
      <c r="E158" s="209">
        <f t="shared" si="7"/>
        <v>2000</v>
      </c>
      <c r="F158" s="8">
        <f t="shared" si="7"/>
        <v>1257</v>
      </c>
      <c r="G158" s="209">
        <f t="shared" ref="E158:I209" si="11">IF($C158&gt;G$5,IF($C158&lt;G$6,$C158-G$5,G$6-G$5),0)</f>
        <v>0</v>
      </c>
      <c r="H158" s="31">
        <f t="shared" si="11"/>
        <v>0</v>
      </c>
      <c r="I158" s="8">
        <f t="shared" si="11"/>
        <v>0</v>
      </c>
      <c r="J158" s="8">
        <f t="shared" si="9"/>
        <v>0</v>
      </c>
      <c r="K158" s="72">
        <f t="shared" si="10"/>
        <v>-1500292.7565392351</v>
      </c>
    </row>
    <row r="159" spans="1:11" x14ac:dyDescent="0.25">
      <c r="A159" s="38">
        <f>Données!A156</f>
        <v>5661</v>
      </c>
      <c r="B159" s="168" t="str">
        <f>Données!B156</f>
        <v>Boulens</v>
      </c>
      <c r="C159" s="8">
        <f>Données!Z156</f>
        <v>383</v>
      </c>
      <c r="D159" s="8">
        <f t="shared" si="8"/>
        <v>383</v>
      </c>
      <c r="E159" s="209">
        <f t="shared" si="11"/>
        <v>0</v>
      </c>
      <c r="F159" s="8">
        <f t="shared" si="11"/>
        <v>0</v>
      </c>
      <c r="G159" s="209">
        <f t="shared" si="11"/>
        <v>0</v>
      </c>
      <c r="H159" s="31">
        <f t="shared" si="11"/>
        <v>0</v>
      </c>
      <c r="I159" s="8">
        <f t="shared" si="11"/>
        <v>0</v>
      </c>
      <c r="J159" s="8">
        <f t="shared" si="9"/>
        <v>0</v>
      </c>
      <c r="K159" s="72">
        <f t="shared" si="10"/>
        <v>-49416.247484909443</v>
      </c>
    </row>
    <row r="160" spans="1:11" x14ac:dyDescent="0.25">
      <c r="A160" s="38">
        <f>Données!A157</f>
        <v>5663</v>
      </c>
      <c r="B160" s="168" t="str">
        <f>Données!B157</f>
        <v>Bussy-sur-Moudon</v>
      </c>
      <c r="C160" s="8">
        <f>Données!Z157</f>
        <v>246</v>
      </c>
      <c r="D160" s="8">
        <f t="shared" si="8"/>
        <v>246</v>
      </c>
      <c r="E160" s="209">
        <f t="shared" si="11"/>
        <v>0</v>
      </c>
      <c r="F160" s="8">
        <f t="shared" si="11"/>
        <v>0</v>
      </c>
      <c r="G160" s="209">
        <f t="shared" si="11"/>
        <v>0</v>
      </c>
      <c r="H160" s="31">
        <f t="shared" si="11"/>
        <v>0</v>
      </c>
      <c r="I160" s="8">
        <f t="shared" si="11"/>
        <v>0</v>
      </c>
      <c r="J160" s="8">
        <f t="shared" si="9"/>
        <v>0</v>
      </c>
      <c r="K160" s="72">
        <f t="shared" si="10"/>
        <v>-31739.939637826956</v>
      </c>
    </row>
    <row r="161" spans="1:11" x14ac:dyDescent="0.25">
      <c r="A161" s="38">
        <f>Données!A158</f>
        <v>5665</v>
      </c>
      <c r="B161" s="168" t="str">
        <f>Données!B158</f>
        <v>Chavannes-sur-Moudon</v>
      </c>
      <c r="C161" s="8">
        <f>Données!Z158</f>
        <v>218</v>
      </c>
      <c r="D161" s="8">
        <f t="shared" si="8"/>
        <v>218</v>
      </c>
      <c r="E161" s="209">
        <f t="shared" si="11"/>
        <v>0</v>
      </c>
      <c r="F161" s="8">
        <f t="shared" si="11"/>
        <v>0</v>
      </c>
      <c r="G161" s="209">
        <f t="shared" si="11"/>
        <v>0</v>
      </c>
      <c r="H161" s="31">
        <f t="shared" si="11"/>
        <v>0</v>
      </c>
      <c r="I161" s="8">
        <f t="shared" si="11"/>
        <v>0</v>
      </c>
      <c r="J161" s="8">
        <f t="shared" si="9"/>
        <v>0</v>
      </c>
      <c r="K161" s="72">
        <f t="shared" si="10"/>
        <v>-28127.263581488929</v>
      </c>
    </row>
    <row r="162" spans="1:11" x14ac:dyDescent="0.25">
      <c r="A162" s="38">
        <f>Données!A159</f>
        <v>5669</v>
      </c>
      <c r="B162" s="168" t="str">
        <f>Données!B159</f>
        <v>Curtilles</v>
      </c>
      <c r="C162" s="8">
        <f>Données!Z159</f>
        <v>294</v>
      </c>
      <c r="D162" s="8">
        <f t="shared" si="8"/>
        <v>294</v>
      </c>
      <c r="E162" s="209">
        <f t="shared" si="11"/>
        <v>0</v>
      </c>
      <c r="F162" s="8">
        <f t="shared" si="11"/>
        <v>0</v>
      </c>
      <c r="G162" s="209">
        <f t="shared" si="11"/>
        <v>0</v>
      </c>
      <c r="H162" s="31">
        <f t="shared" si="11"/>
        <v>0</v>
      </c>
      <c r="I162" s="8">
        <f t="shared" si="11"/>
        <v>0</v>
      </c>
      <c r="J162" s="8">
        <f t="shared" si="9"/>
        <v>0</v>
      </c>
      <c r="K162" s="72">
        <f t="shared" si="10"/>
        <v>-37933.098591549286</v>
      </c>
    </row>
    <row r="163" spans="1:11" x14ac:dyDescent="0.25">
      <c r="A163" s="38">
        <f>Données!A160</f>
        <v>5671</v>
      </c>
      <c r="B163" s="168" t="str">
        <f>Données!B160</f>
        <v>Dompierre</v>
      </c>
      <c r="C163" s="8">
        <f>Données!Z160</f>
        <v>248</v>
      </c>
      <c r="D163" s="8">
        <f t="shared" si="8"/>
        <v>248</v>
      </c>
      <c r="E163" s="209">
        <f t="shared" si="11"/>
        <v>0</v>
      </c>
      <c r="F163" s="8">
        <f t="shared" si="11"/>
        <v>0</v>
      </c>
      <c r="G163" s="209">
        <f t="shared" si="11"/>
        <v>0</v>
      </c>
      <c r="H163" s="31">
        <f t="shared" si="11"/>
        <v>0</v>
      </c>
      <c r="I163" s="8">
        <f t="shared" si="11"/>
        <v>0</v>
      </c>
      <c r="J163" s="8">
        <f t="shared" si="9"/>
        <v>0</v>
      </c>
      <c r="K163" s="72">
        <f t="shared" si="10"/>
        <v>-31997.987927565384</v>
      </c>
    </row>
    <row r="164" spans="1:11" x14ac:dyDescent="0.25">
      <c r="A164" s="38">
        <f>Données!A161</f>
        <v>5673</v>
      </c>
      <c r="B164" s="168" t="str">
        <f>Données!B161</f>
        <v>Hermenches</v>
      </c>
      <c r="C164" s="8">
        <f>Données!Z161</f>
        <v>374</v>
      </c>
      <c r="D164" s="8">
        <f t="shared" si="8"/>
        <v>374</v>
      </c>
      <c r="E164" s="209">
        <f t="shared" si="11"/>
        <v>0</v>
      </c>
      <c r="F164" s="8">
        <f t="shared" si="11"/>
        <v>0</v>
      </c>
      <c r="G164" s="209">
        <f t="shared" si="11"/>
        <v>0</v>
      </c>
      <c r="H164" s="31">
        <f t="shared" si="11"/>
        <v>0</v>
      </c>
      <c r="I164" s="8">
        <f t="shared" si="11"/>
        <v>0</v>
      </c>
      <c r="J164" s="8">
        <f t="shared" si="9"/>
        <v>0</v>
      </c>
      <c r="K164" s="72">
        <f t="shared" si="10"/>
        <v>-48255.030181086506</v>
      </c>
    </row>
    <row r="165" spans="1:11" x14ac:dyDescent="0.25">
      <c r="A165" s="38">
        <f>Données!A162</f>
        <v>5674</v>
      </c>
      <c r="B165" s="168" t="str">
        <f>Données!B162</f>
        <v>Lovatens</v>
      </c>
      <c r="C165" s="8">
        <f>Données!Z162</f>
        <v>143</v>
      </c>
      <c r="D165" s="8">
        <f t="shared" si="8"/>
        <v>143</v>
      </c>
      <c r="E165" s="209">
        <f t="shared" si="11"/>
        <v>0</v>
      </c>
      <c r="F165" s="8">
        <f t="shared" si="11"/>
        <v>0</v>
      </c>
      <c r="G165" s="209">
        <f t="shared" si="11"/>
        <v>0</v>
      </c>
      <c r="H165" s="31">
        <f t="shared" si="11"/>
        <v>0</v>
      </c>
      <c r="I165" s="8">
        <f t="shared" si="11"/>
        <v>0</v>
      </c>
      <c r="J165" s="8">
        <f t="shared" si="9"/>
        <v>0</v>
      </c>
      <c r="K165" s="72">
        <f t="shared" si="10"/>
        <v>-18450.452716297783</v>
      </c>
    </row>
    <row r="166" spans="1:11" x14ac:dyDescent="0.25">
      <c r="A166" s="38">
        <f>Données!A163</f>
        <v>5675</v>
      </c>
      <c r="B166" s="168" t="str">
        <f>Données!B163</f>
        <v>Lucens</v>
      </c>
      <c r="C166" s="8">
        <f>Données!Z163</f>
        <v>4420</v>
      </c>
      <c r="D166" s="8">
        <f t="shared" si="8"/>
        <v>1000</v>
      </c>
      <c r="E166" s="209">
        <f t="shared" si="11"/>
        <v>2000</v>
      </c>
      <c r="F166" s="8">
        <f t="shared" si="11"/>
        <v>1420</v>
      </c>
      <c r="G166" s="209">
        <f t="shared" si="11"/>
        <v>0</v>
      </c>
      <c r="H166" s="31">
        <f t="shared" si="11"/>
        <v>0</v>
      </c>
      <c r="I166" s="8">
        <f t="shared" si="11"/>
        <v>0</v>
      </c>
      <c r="J166" s="8">
        <f t="shared" si="9"/>
        <v>0</v>
      </c>
      <c r="K166" s="72">
        <f t="shared" si="10"/>
        <v>-1584416.4989939635</v>
      </c>
    </row>
    <row r="167" spans="1:11" x14ac:dyDescent="0.25">
      <c r="A167" s="38">
        <f>Données!A164</f>
        <v>5678</v>
      </c>
      <c r="B167" s="168" t="str">
        <f>Données!B164</f>
        <v>Moudon</v>
      </c>
      <c r="C167" s="8">
        <f>Données!Z164</f>
        <v>6132</v>
      </c>
      <c r="D167" s="8">
        <f t="shared" si="8"/>
        <v>1000</v>
      </c>
      <c r="E167" s="209">
        <f t="shared" si="11"/>
        <v>2000</v>
      </c>
      <c r="F167" s="8">
        <f t="shared" si="11"/>
        <v>2000</v>
      </c>
      <c r="G167" s="209">
        <f t="shared" si="11"/>
        <v>1132</v>
      </c>
      <c r="H167" s="31">
        <f t="shared" si="11"/>
        <v>0</v>
      </c>
      <c r="I167" s="8">
        <f t="shared" si="11"/>
        <v>0</v>
      </c>
      <c r="J167" s="8">
        <f t="shared" si="9"/>
        <v>0</v>
      </c>
      <c r="K167" s="72">
        <f t="shared" si="10"/>
        <v>-2584818.1086519109</v>
      </c>
    </row>
    <row r="168" spans="1:11" x14ac:dyDescent="0.25">
      <c r="A168" s="38">
        <f>Données!A165</f>
        <v>5680</v>
      </c>
      <c r="B168" s="168" t="str">
        <f>Données!B165</f>
        <v>Ogens</v>
      </c>
      <c r="C168" s="8">
        <f>Données!Z165</f>
        <v>324</v>
      </c>
      <c r="D168" s="8">
        <f t="shared" si="8"/>
        <v>324</v>
      </c>
      <c r="E168" s="209">
        <f t="shared" si="11"/>
        <v>0</v>
      </c>
      <c r="F168" s="8">
        <f t="shared" si="11"/>
        <v>0</v>
      </c>
      <c r="G168" s="209">
        <f t="shared" si="11"/>
        <v>0</v>
      </c>
      <c r="H168" s="31">
        <f t="shared" si="11"/>
        <v>0</v>
      </c>
      <c r="I168" s="8">
        <f t="shared" si="11"/>
        <v>0</v>
      </c>
      <c r="J168" s="8">
        <f t="shared" si="9"/>
        <v>0</v>
      </c>
      <c r="K168" s="72">
        <f t="shared" si="10"/>
        <v>-41803.822937625744</v>
      </c>
    </row>
    <row r="169" spans="1:11" x14ac:dyDescent="0.25">
      <c r="A169" s="38">
        <f>Données!A166</f>
        <v>5683</v>
      </c>
      <c r="B169" s="168" t="str">
        <f>Données!B166</f>
        <v>Prévonloup</v>
      </c>
      <c r="C169" s="8">
        <f>Données!Z166</f>
        <v>220</v>
      </c>
      <c r="D169" s="8">
        <f t="shared" si="8"/>
        <v>220</v>
      </c>
      <c r="E169" s="209">
        <f t="shared" si="11"/>
        <v>0</v>
      </c>
      <c r="F169" s="8">
        <f t="shared" si="11"/>
        <v>0</v>
      </c>
      <c r="G169" s="209">
        <f t="shared" si="11"/>
        <v>0</v>
      </c>
      <c r="H169" s="31">
        <f t="shared" si="11"/>
        <v>0</v>
      </c>
      <c r="I169" s="8">
        <f t="shared" si="11"/>
        <v>0</v>
      </c>
      <c r="J169" s="8">
        <f t="shared" si="9"/>
        <v>0</v>
      </c>
      <c r="K169" s="72">
        <f t="shared" si="10"/>
        <v>-28385.311871227357</v>
      </c>
    </row>
    <row r="170" spans="1:11" x14ac:dyDescent="0.25">
      <c r="A170" s="38">
        <f>Données!A167</f>
        <v>5684</v>
      </c>
      <c r="B170" s="168" t="str">
        <f>Données!B167</f>
        <v>Rossenges</v>
      </c>
      <c r="C170" s="8">
        <f>Données!Z167</f>
        <v>93</v>
      </c>
      <c r="D170" s="8">
        <f t="shared" si="8"/>
        <v>93</v>
      </c>
      <c r="E170" s="209">
        <f t="shared" si="11"/>
        <v>0</v>
      </c>
      <c r="F170" s="8">
        <f t="shared" si="11"/>
        <v>0</v>
      </c>
      <c r="G170" s="209">
        <f t="shared" si="11"/>
        <v>0</v>
      </c>
      <c r="H170" s="31">
        <f t="shared" si="11"/>
        <v>0</v>
      </c>
      <c r="I170" s="8">
        <f t="shared" si="11"/>
        <v>0</v>
      </c>
      <c r="J170" s="8">
        <f t="shared" si="9"/>
        <v>0</v>
      </c>
      <c r="K170" s="72">
        <f t="shared" si="10"/>
        <v>-11999.245472837019</v>
      </c>
    </row>
    <row r="171" spans="1:11" x14ac:dyDescent="0.25">
      <c r="A171" s="38">
        <f>Données!A168</f>
        <v>5688</v>
      </c>
      <c r="B171" s="168" t="str">
        <f>Données!B168</f>
        <v>Syens</v>
      </c>
      <c r="C171" s="8">
        <f>Données!Z168</f>
        <v>164</v>
      </c>
      <c r="D171" s="8">
        <f t="shared" si="8"/>
        <v>164</v>
      </c>
      <c r="E171" s="209">
        <f t="shared" si="11"/>
        <v>0</v>
      </c>
      <c r="F171" s="8">
        <f t="shared" si="11"/>
        <v>0</v>
      </c>
      <c r="G171" s="209">
        <f t="shared" si="11"/>
        <v>0</v>
      </c>
      <c r="H171" s="31">
        <f t="shared" si="11"/>
        <v>0</v>
      </c>
      <c r="I171" s="8">
        <f t="shared" si="11"/>
        <v>0</v>
      </c>
      <c r="J171" s="8">
        <f t="shared" si="9"/>
        <v>0</v>
      </c>
      <c r="K171" s="72">
        <f t="shared" si="10"/>
        <v>-21159.959758551304</v>
      </c>
    </row>
    <row r="172" spans="1:11" x14ac:dyDescent="0.25">
      <c r="A172" s="38">
        <f>Données!A169</f>
        <v>5690</v>
      </c>
      <c r="B172" s="168" t="str">
        <f>Données!B169</f>
        <v>Villars-le-Comte</v>
      </c>
      <c r="C172" s="8">
        <f>Données!Z169</f>
        <v>138</v>
      </c>
      <c r="D172" s="8">
        <f t="shared" ref="D172:D235" si="12">IF($C172&gt;D$5,IF($C172&lt;D$6,$C172-D$5,D$6-D$5),0)</f>
        <v>138</v>
      </c>
      <c r="E172" s="209">
        <f t="shared" si="11"/>
        <v>0</v>
      </c>
      <c r="F172" s="8">
        <f t="shared" si="11"/>
        <v>0</v>
      </c>
      <c r="G172" s="209">
        <f t="shared" si="11"/>
        <v>0</v>
      </c>
      <c r="H172" s="31">
        <f t="shared" si="11"/>
        <v>0</v>
      </c>
      <c r="I172" s="8">
        <f t="shared" si="11"/>
        <v>0</v>
      </c>
      <c r="J172" s="8">
        <f t="shared" si="9"/>
        <v>0</v>
      </c>
      <c r="K172" s="72">
        <f t="shared" si="10"/>
        <v>-17805.331991951705</v>
      </c>
    </row>
    <row r="173" spans="1:11" x14ac:dyDescent="0.25">
      <c r="A173" s="38">
        <f>Données!A170</f>
        <v>5692</v>
      </c>
      <c r="B173" s="168" t="str">
        <f>Données!B170</f>
        <v>Vucherens</v>
      </c>
      <c r="C173" s="8">
        <f>Données!Z170</f>
        <v>637</v>
      </c>
      <c r="D173" s="8">
        <f t="shared" si="12"/>
        <v>637</v>
      </c>
      <c r="E173" s="209">
        <f t="shared" si="11"/>
        <v>0</v>
      </c>
      <c r="F173" s="8">
        <f t="shared" si="11"/>
        <v>0</v>
      </c>
      <c r="G173" s="209">
        <f t="shared" si="11"/>
        <v>0</v>
      </c>
      <c r="H173" s="31">
        <f t="shared" si="11"/>
        <v>0</v>
      </c>
      <c r="I173" s="8">
        <f t="shared" si="11"/>
        <v>0</v>
      </c>
      <c r="J173" s="8">
        <f t="shared" si="9"/>
        <v>0</v>
      </c>
      <c r="K173" s="72">
        <f t="shared" si="10"/>
        <v>-82188.38028169013</v>
      </c>
    </row>
    <row r="174" spans="1:11" x14ac:dyDescent="0.25">
      <c r="A174" s="38">
        <f>Données!A171</f>
        <v>5693</v>
      </c>
      <c r="B174" s="168" t="str">
        <f>Données!B171</f>
        <v>Montanaire</v>
      </c>
      <c r="C174" s="8">
        <f>Données!Z171</f>
        <v>2820</v>
      </c>
      <c r="D174" s="8">
        <f t="shared" si="12"/>
        <v>1000</v>
      </c>
      <c r="E174" s="209">
        <f t="shared" si="11"/>
        <v>1820</v>
      </c>
      <c r="F174" s="8">
        <f t="shared" si="11"/>
        <v>0</v>
      </c>
      <c r="G174" s="209">
        <f t="shared" si="11"/>
        <v>0</v>
      </c>
      <c r="H174" s="31">
        <f t="shared" si="11"/>
        <v>0</v>
      </c>
      <c r="I174" s="8">
        <f t="shared" si="11"/>
        <v>0</v>
      </c>
      <c r="J174" s="8">
        <f t="shared" si="9"/>
        <v>0</v>
      </c>
      <c r="K174" s="72">
        <f t="shared" si="10"/>
        <v>-786531.18712273636</v>
      </c>
    </row>
    <row r="175" spans="1:11" x14ac:dyDescent="0.25">
      <c r="A175" s="38">
        <f>Données!A172</f>
        <v>5701</v>
      </c>
      <c r="B175" s="168" t="str">
        <f>Données!B172</f>
        <v>Arnex-sur-Nyon</v>
      </c>
      <c r="C175" s="8">
        <f>Données!Z172</f>
        <v>240</v>
      </c>
      <c r="D175" s="8">
        <f t="shared" si="12"/>
        <v>240</v>
      </c>
      <c r="E175" s="209">
        <f t="shared" si="11"/>
        <v>0</v>
      </c>
      <c r="F175" s="8">
        <f t="shared" si="11"/>
        <v>0</v>
      </c>
      <c r="G175" s="209">
        <f t="shared" si="11"/>
        <v>0</v>
      </c>
      <c r="H175" s="31">
        <f t="shared" si="11"/>
        <v>0</v>
      </c>
      <c r="I175" s="8">
        <f t="shared" si="11"/>
        <v>0</v>
      </c>
      <c r="J175" s="8">
        <f t="shared" si="9"/>
        <v>0</v>
      </c>
      <c r="K175" s="72">
        <f t="shared" si="10"/>
        <v>-30965.794768611664</v>
      </c>
    </row>
    <row r="176" spans="1:11" x14ac:dyDescent="0.25">
      <c r="A176" s="38">
        <f>Données!A173</f>
        <v>5702</v>
      </c>
      <c r="B176" s="168" t="str">
        <f>Données!B173</f>
        <v>Arzier-Le Muids</v>
      </c>
      <c r="C176" s="8">
        <f>Données!Z173</f>
        <v>2954</v>
      </c>
      <c r="D176" s="8">
        <f t="shared" si="12"/>
        <v>1000</v>
      </c>
      <c r="E176" s="209">
        <f t="shared" si="11"/>
        <v>1954</v>
      </c>
      <c r="F176" s="8">
        <f t="shared" si="11"/>
        <v>0</v>
      </c>
      <c r="G176" s="209">
        <f t="shared" si="11"/>
        <v>0</v>
      </c>
      <c r="H176" s="31">
        <f t="shared" si="11"/>
        <v>0</v>
      </c>
      <c r="I176" s="8">
        <f t="shared" si="11"/>
        <v>0</v>
      </c>
      <c r="J176" s="8">
        <f t="shared" si="9"/>
        <v>0</v>
      </c>
      <c r="K176" s="72">
        <f t="shared" si="10"/>
        <v>-834941.04627766577</v>
      </c>
    </row>
    <row r="177" spans="1:11" x14ac:dyDescent="0.25">
      <c r="A177" s="38">
        <f>Données!A174</f>
        <v>5703</v>
      </c>
      <c r="B177" s="168" t="str">
        <f>Données!B174</f>
        <v>Bassins</v>
      </c>
      <c r="C177" s="8">
        <f>Données!Z174</f>
        <v>1478</v>
      </c>
      <c r="D177" s="8">
        <f t="shared" si="12"/>
        <v>1000</v>
      </c>
      <c r="E177" s="209">
        <f t="shared" si="11"/>
        <v>478</v>
      </c>
      <c r="F177" s="8">
        <f t="shared" si="11"/>
        <v>0</v>
      </c>
      <c r="G177" s="209">
        <f t="shared" si="11"/>
        <v>0</v>
      </c>
      <c r="H177" s="31">
        <f t="shared" si="11"/>
        <v>0</v>
      </c>
      <c r="I177" s="8">
        <f t="shared" si="11"/>
        <v>0</v>
      </c>
      <c r="J177" s="8">
        <f t="shared" si="9"/>
        <v>0</v>
      </c>
      <c r="K177" s="72">
        <f t="shared" si="10"/>
        <v>-301710.06036217301</v>
      </c>
    </row>
    <row r="178" spans="1:11" x14ac:dyDescent="0.25">
      <c r="A178" s="38">
        <f>Données!A175</f>
        <v>5704</v>
      </c>
      <c r="B178" s="168" t="str">
        <f>Données!B175</f>
        <v>Begnins</v>
      </c>
      <c r="C178" s="8">
        <f>Données!Z175</f>
        <v>1938</v>
      </c>
      <c r="D178" s="8">
        <f t="shared" si="12"/>
        <v>1000</v>
      </c>
      <c r="E178" s="209">
        <f t="shared" si="11"/>
        <v>938</v>
      </c>
      <c r="F178" s="8">
        <f t="shared" si="11"/>
        <v>0</v>
      </c>
      <c r="G178" s="209">
        <f t="shared" si="11"/>
        <v>0</v>
      </c>
      <c r="H178" s="31">
        <f t="shared" si="11"/>
        <v>0</v>
      </c>
      <c r="I178" s="8">
        <f t="shared" si="11"/>
        <v>0</v>
      </c>
      <c r="J178" s="8">
        <f t="shared" si="9"/>
        <v>0</v>
      </c>
      <c r="K178" s="72">
        <f t="shared" si="10"/>
        <v>-467893.15895372228</v>
      </c>
    </row>
    <row r="179" spans="1:11" x14ac:dyDescent="0.25">
      <c r="A179" s="38">
        <f>Données!A176</f>
        <v>5705</v>
      </c>
      <c r="B179" s="168" t="str">
        <f>Données!B176</f>
        <v>Bogis-Bossey</v>
      </c>
      <c r="C179" s="8">
        <f>Données!Z176</f>
        <v>923</v>
      </c>
      <c r="D179" s="8">
        <f t="shared" si="12"/>
        <v>923</v>
      </c>
      <c r="E179" s="209">
        <f t="shared" si="11"/>
        <v>0</v>
      </c>
      <c r="F179" s="8">
        <f t="shared" si="11"/>
        <v>0</v>
      </c>
      <c r="G179" s="209">
        <f t="shared" si="11"/>
        <v>0</v>
      </c>
      <c r="H179" s="31">
        <f t="shared" si="11"/>
        <v>0</v>
      </c>
      <c r="I179" s="8">
        <f t="shared" si="11"/>
        <v>0</v>
      </c>
      <c r="J179" s="8">
        <f t="shared" si="9"/>
        <v>0</v>
      </c>
      <c r="K179" s="72">
        <f t="shared" si="10"/>
        <v>-119089.28571428568</v>
      </c>
    </row>
    <row r="180" spans="1:11" x14ac:dyDescent="0.25">
      <c r="A180" s="38">
        <f>Données!A177</f>
        <v>5706</v>
      </c>
      <c r="B180" s="168" t="str">
        <f>Données!B177</f>
        <v>Borex</v>
      </c>
      <c r="C180" s="8">
        <f>Données!Z177</f>
        <v>1131</v>
      </c>
      <c r="D180" s="8">
        <f t="shared" si="12"/>
        <v>1000</v>
      </c>
      <c r="E180" s="209">
        <f t="shared" si="11"/>
        <v>131</v>
      </c>
      <c r="F180" s="8">
        <f t="shared" si="11"/>
        <v>0</v>
      </c>
      <c r="G180" s="209">
        <f t="shared" si="11"/>
        <v>0</v>
      </c>
      <c r="H180" s="31">
        <f t="shared" si="11"/>
        <v>0</v>
      </c>
      <c r="I180" s="8">
        <f t="shared" si="11"/>
        <v>0</v>
      </c>
      <c r="J180" s="8">
        <f t="shared" si="9"/>
        <v>0</v>
      </c>
      <c r="K180" s="72">
        <f t="shared" si="10"/>
        <v>-176350.20120724343</v>
      </c>
    </row>
    <row r="181" spans="1:11" x14ac:dyDescent="0.25">
      <c r="A181" s="38">
        <f>Données!A178</f>
        <v>5707</v>
      </c>
      <c r="B181" s="168" t="str">
        <f>Données!B178</f>
        <v>Chavannes-de-Bogis</v>
      </c>
      <c r="C181" s="8">
        <f>Données!Z178</f>
        <v>1314</v>
      </c>
      <c r="D181" s="8">
        <f t="shared" si="12"/>
        <v>1000</v>
      </c>
      <c r="E181" s="209">
        <f t="shared" si="11"/>
        <v>314</v>
      </c>
      <c r="F181" s="8">
        <f t="shared" si="11"/>
        <v>0</v>
      </c>
      <c r="G181" s="209">
        <f t="shared" si="11"/>
        <v>0</v>
      </c>
      <c r="H181" s="31">
        <f t="shared" si="11"/>
        <v>0</v>
      </c>
      <c r="I181" s="8">
        <f t="shared" si="11"/>
        <v>0</v>
      </c>
      <c r="J181" s="8">
        <f t="shared" si="9"/>
        <v>0</v>
      </c>
      <c r="K181" s="72">
        <f t="shared" si="10"/>
        <v>-242462.17303822935</v>
      </c>
    </row>
    <row r="182" spans="1:11" x14ac:dyDescent="0.25">
      <c r="A182" s="38">
        <f>Données!A179</f>
        <v>5708</v>
      </c>
      <c r="B182" s="168" t="str">
        <f>Données!B179</f>
        <v>Chavannes-des-Bois</v>
      </c>
      <c r="C182" s="8">
        <f>Données!Z179</f>
        <v>1019</v>
      </c>
      <c r="D182" s="8">
        <f t="shared" si="12"/>
        <v>1000</v>
      </c>
      <c r="E182" s="209">
        <f t="shared" si="11"/>
        <v>19</v>
      </c>
      <c r="F182" s="8">
        <f t="shared" si="11"/>
        <v>0</v>
      </c>
      <c r="G182" s="209">
        <f t="shared" si="11"/>
        <v>0</v>
      </c>
      <c r="H182" s="31">
        <f t="shared" si="11"/>
        <v>0</v>
      </c>
      <c r="I182" s="8">
        <f t="shared" si="11"/>
        <v>0</v>
      </c>
      <c r="J182" s="8">
        <f t="shared" si="9"/>
        <v>0</v>
      </c>
      <c r="K182" s="72">
        <f t="shared" si="10"/>
        <v>-135888.22937625751</v>
      </c>
    </row>
    <row r="183" spans="1:11" x14ac:dyDescent="0.25">
      <c r="A183" s="38">
        <f>Données!A180</f>
        <v>5709</v>
      </c>
      <c r="B183" s="168" t="str">
        <f>Données!B180</f>
        <v>Chéserex</v>
      </c>
      <c r="C183" s="8">
        <f>Données!Z180</f>
        <v>1251</v>
      </c>
      <c r="D183" s="8">
        <f t="shared" si="12"/>
        <v>1000</v>
      </c>
      <c r="E183" s="209">
        <f t="shared" si="11"/>
        <v>251</v>
      </c>
      <c r="F183" s="8">
        <f t="shared" si="11"/>
        <v>0</v>
      </c>
      <c r="G183" s="209">
        <f t="shared" si="11"/>
        <v>0</v>
      </c>
      <c r="H183" s="31">
        <f t="shared" si="11"/>
        <v>0</v>
      </c>
      <c r="I183" s="8">
        <f t="shared" si="11"/>
        <v>0</v>
      </c>
      <c r="J183" s="8">
        <f t="shared" si="9"/>
        <v>0</v>
      </c>
      <c r="K183" s="72">
        <f t="shared" si="10"/>
        <v>-219702.31388329976</v>
      </c>
    </row>
    <row r="184" spans="1:11" x14ac:dyDescent="0.25">
      <c r="A184" s="38">
        <f>Données!A181</f>
        <v>5710</v>
      </c>
      <c r="B184" s="168" t="str">
        <f>Données!B181</f>
        <v>Coinsins</v>
      </c>
      <c r="C184" s="8">
        <f>Données!Z181</f>
        <v>499</v>
      </c>
      <c r="D184" s="8">
        <f t="shared" si="12"/>
        <v>499</v>
      </c>
      <c r="E184" s="209">
        <f t="shared" si="11"/>
        <v>0</v>
      </c>
      <c r="F184" s="8">
        <f t="shared" si="11"/>
        <v>0</v>
      </c>
      <c r="G184" s="209">
        <f t="shared" si="11"/>
        <v>0</v>
      </c>
      <c r="H184" s="31">
        <f t="shared" si="11"/>
        <v>0</v>
      </c>
      <c r="I184" s="8">
        <f t="shared" si="11"/>
        <v>0</v>
      </c>
      <c r="J184" s="8">
        <f t="shared" si="9"/>
        <v>0</v>
      </c>
      <c r="K184" s="72">
        <f t="shared" si="10"/>
        <v>-64383.048289738414</v>
      </c>
    </row>
    <row r="185" spans="1:11" x14ac:dyDescent="0.25">
      <c r="A185" s="38">
        <f>Données!A182</f>
        <v>5711</v>
      </c>
      <c r="B185" s="168" t="str">
        <f>Données!B182</f>
        <v>Commugny</v>
      </c>
      <c r="C185" s="8">
        <f>Données!Z182</f>
        <v>2983</v>
      </c>
      <c r="D185" s="8">
        <f t="shared" si="12"/>
        <v>1000</v>
      </c>
      <c r="E185" s="209">
        <f t="shared" si="11"/>
        <v>1983</v>
      </c>
      <c r="F185" s="8">
        <f t="shared" si="11"/>
        <v>0</v>
      </c>
      <c r="G185" s="209">
        <f t="shared" si="11"/>
        <v>0</v>
      </c>
      <c r="H185" s="31">
        <f t="shared" si="11"/>
        <v>0</v>
      </c>
      <c r="I185" s="8">
        <f t="shared" si="11"/>
        <v>0</v>
      </c>
      <c r="J185" s="8">
        <f t="shared" si="9"/>
        <v>0</v>
      </c>
      <c r="K185" s="72">
        <f t="shared" si="10"/>
        <v>-845417.80684104608</v>
      </c>
    </row>
    <row r="186" spans="1:11" x14ac:dyDescent="0.25">
      <c r="A186" s="38">
        <f>Données!A183</f>
        <v>5712</v>
      </c>
      <c r="B186" s="168" t="str">
        <f>Données!B183</f>
        <v>Coppet</v>
      </c>
      <c r="C186" s="8">
        <f>Données!Z183</f>
        <v>3184</v>
      </c>
      <c r="D186" s="8">
        <f t="shared" si="12"/>
        <v>1000</v>
      </c>
      <c r="E186" s="209">
        <f t="shared" si="11"/>
        <v>2000</v>
      </c>
      <c r="F186" s="8">
        <f t="shared" si="11"/>
        <v>184</v>
      </c>
      <c r="G186" s="209">
        <f t="shared" si="11"/>
        <v>0</v>
      </c>
      <c r="H186" s="31">
        <f t="shared" si="11"/>
        <v>0</v>
      </c>
      <c r="I186" s="8">
        <f t="shared" si="11"/>
        <v>0</v>
      </c>
      <c r="J186" s="8">
        <f t="shared" si="9"/>
        <v>0</v>
      </c>
      <c r="K186" s="72">
        <f t="shared" si="10"/>
        <v>-946521.12676056311</v>
      </c>
    </row>
    <row r="187" spans="1:11" x14ac:dyDescent="0.25">
      <c r="A187" s="38">
        <f>Données!A184</f>
        <v>5713</v>
      </c>
      <c r="B187" s="168" t="str">
        <f>Données!B184</f>
        <v>Crans</v>
      </c>
      <c r="C187" s="8">
        <f>Données!Z184</f>
        <v>2357</v>
      </c>
      <c r="D187" s="8">
        <f t="shared" si="12"/>
        <v>1000</v>
      </c>
      <c r="E187" s="209">
        <f t="shared" si="11"/>
        <v>1357</v>
      </c>
      <c r="F187" s="8">
        <f t="shared" si="11"/>
        <v>0</v>
      </c>
      <c r="G187" s="209">
        <f t="shared" si="11"/>
        <v>0</v>
      </c>
      <c r="H187" s="31">
        <f t="shared" si="11"/>
        <v>0</v>
      </c>
      <c r="I187" s="8">
        <f t="shared" si="11"/>
        <v>0</v>
      </c>
      <c r="J187" s="8">
        <f t="shared" si="9"/>
        <v>0</v>
      </c>
      <c r="K187" s="72">
        <f t="shared" si="10"/>
        <v>-619264.28571428568</v>
      </c>
    </row>
    <row r="188" spans="1:11" x14ac:dyDescent="0.25">
      <c r="A188" s="38">
        <f>Données!A185</f>
        <v>5714</v>
      </c>
      <c r="B188" s="168" t="str">
        <f>Données!B185</f>
        <v>Crassier</v>
      </c>
      <c r="C188" s="8">
        <f>Données!Z185</f>
        <v>1233</v>
      </c>
      <c r="D188" s="8">
        <f t="shared" si="12"/>
        <v>1000</v>
      </c>
      <c r="E188" s="209">
        <f t="shared" si="11"/>
        <v>233</v>
      </c>
      <c r="F188" s="8">
        <f t="shared" si="11"/>
        <v>0</v>
      </c>
      <c r="G188" s="209">
        <f t="shared" si="11"/>
        <v>0</v>
      </c>
      <c r="H188" s="31">
        <f t="shared" si="11"/>
        <v>0</v>
      </c>
      <c r="I188" s="8">
        <f t="shared" si="11"/>
        <v>0</v>
      </c>
      <c r="J188" s="8">
        <f t="shared" si="9"/>
        <v>0</v>
      </c>
      <c r="K188" s="72">
        <f t="shared" si="10"/>
        <v>-213199.49698189131</v>
      </c>
    </row>
    <row r="189" spans="1:11" x14ac:dyDescent="0.25">
      <c r="A189" s="38">
        <f>Données!A186</f>
        <v>5715</v>
      </c>
      <c r="B189" s="168" t="str">
        <f>Données!B186</f>
        <v>Duillier</v>
      </c>
      <c r="C189" s="8">
        <f>Données!Z186</f>
        <v>1116</v>
      </c>
      <c r="D189" s="8">
        <f t="shared" si="12"/>
        <v>1000</v>
      </c>
      <c r="E189" s="209">
        <f t="shared" si="11"/>
        <v>116</v>
      </c>
      <c r="F189" s="8">
        <f t="shared" si="11"/>
        <v>0</v>
      </c>
      <c r="G189" s="209">
        <f t="shared" si="11"/>
        <v>0</v>
      </c>
      <c r="H189" s="31">
        <f t="shared" si="11"/>
        <v>0</v>
      </c>
      <c r="I189" s="8">
        <f t="shared" si="11"/>
        <v>0</v>
      </c>
      <c r="J189" s="8">
        <f t="shared" si="9"/>
        <v>0</v>
      </c>
      <c r="K189" s="72">
        <f t="shared" si="10"/>
        <v>-170931.18712273639</v>
      </c>
    </row>
    <row r="190" spans="1:11" x14ac:dyDescent="0.25">
      <c r="A190" s="38">
        <f>Données!A187</f>
        <v>5716</v>
      </c>
      <c r="B190" s="168" t="str">
        <f>Données!B187</f>
        <v>Eysins</v>
      </c>
      <c r="C190" s="8">
        <f>Données!Z187</f>
        <v>1768</v>
      </c>
      <c r="D190" s="8">
        <f t="shared" si="12"/>
        <v>1000</v>
      </c>
      <c r="E190" s="209">
        <f t="shared" si="11"/>
        <v>768</v>
      </c>
      <c r="F190" s="8">
        <f t="shared" si="11"/>
        <v>0</v>
      </c>
      <c r="G190" s="209">
        <f t="shared" si="11"/>
        <v>0</v>
      </c>
      <c r="H190" s="31">
        <f t="shared" si="11"/>
        <v>0</v>
      </c>
      <c r="I190" s="8">
        <f t="shared" si="11"/>
        <v>0</v>
      </c>
      <c r="J190" s="8">
        <f t="shared" si="9"/>
        <v>0</v>
      </c>
      <c r="K190" s="72">
        <f t="shared" si="10"/>
        <v>-406477.66599597578</v>
      </c>
    </row>
    <row r="191" spans="1:11" x14ac:dyDescent="0.25">
      <c r="A191" s="38">
        <f>Données!A188</f>
        <v>5717</v>
      </c>
      <c r="B191" s="168" t="str">
        <f>Données!B188</f>
        <v>Founex</v>
      </c>
      <c r="C191" s="8">
        <f>Données!Z188</f>
        <v>3763</v>
      </c>
      <c r="D191" s="8">
        <f t="shared" si="12"/>
        <v>1000</v>
      </c>
      <c r="E191" s="209">
        <f t="shared" si="11"/>
        <v>2000</v>
      </c>
      <c r="F191" s="8">
        <f t="shared" si="11"/>
        <v>763</v>
      </c>
      <c r="G191" s="209">
        <f t="shared" si="11"/>
        <v>0</v>
      </c>
      <c r="H191" s="31">
        <f t="shared" si="11"/>
        <v>0</v>
      </c>
      <c r="I191" s="8">
        <f t="shared" si="11"/>
        <v>0</v>
      </c>
      <c r="J191" s="8">
        <f t="shared" si="9"/>
        <v>0</v>
      </c>
      <c r="K191" s="72">
        <f t="shared" si="10"/>
        <v>-1245341.0462776658</v>
      </c>
    </row>
    <row r="192" spans="1:11" x14ac:dyDescent="0.25">
      <c r="A192" s="38">
        <f>Données!A189</f>
        <v>5718</v>
      </c>
      <c r="B192" s="168" t="str">
        <f>Données!B189</f>
        <v>Genolier</v>
      </c>
      <c r="C192" s="8">
        <f>Données!Z189</f>
        <v>2026</v>
      </c>
      <c r="D192" s="8">
        <f t="shared" si="12"/>
        <v>1000</v>
      </c>
      <c r="E192" s="209">
        <f t="shared" si="11"/>
        <v>1026</v>
      </c>
      <c r="F192" s="8">
        <f t="shared" si="11"/>
        <v>0</v>
      </c>
      <c r="G192" s="209">
        <f t="shared" si="11"/>
        <v>0</v>
      </c>
      <c r="H192" s="31">
        <f t="shared" si="11"/>
        <v>0</v>
      </c>
      <c r="I192" s="8">
        <f t="shared" si="11"/>
        <v>0</v>
      </c>
      <c r="J192" s="8">
        <f t="shared" si="9"/>
        <v>0</v>
      </c>
      <c r="K192" s="72">
        <f t="shared" si="10"/>
        <v>-499684.70824949688</v>
      </c>
    </row>
    <row r="193" spans="1:11" x14ac:dyDescent="0.25">
      <c r="A193" s="38">
        <f>Données!A190</f>
        <v>5719</v>
      </c>
      <c r="B193" s="168" t="str">
        <f>Données!B190</f>
        <v>Gingins</v>
      </c>
      <c r="C193" s="8">
        <f>Données!Z190</f>
        <v>1270</v>
      </c>
      <c r="D193" s="8">
        <f t="shared" si="12"/>
        <v>1000</v>
      </c>
      <c r="E193" s="209">
        <f t="shared" si="11"/>
        <v>270</v>
      </c>
      <c r="F193" s="8">
        <f t="shared" si="11"/>
        <v>0</v>
      </c>
      <c r="G193" s="209">
        <f t="shared" si="11"/>
        <v>0</v>
      </c>
      <c r="H193" s="31">
        <f t="shared" si="11"/>
        <v>0</v>
      </c>
      <c r="I193" s="8">
        <f t="shared" si="11"/>
        <v>0</v>
      </c>
      <c r="J193" s="8">
        <f t="shared" si="9"/>
        <v>0</v>
      </c>
      <c r="K193" s="72">
        <f t="shared" si="10"/>
        <v>-226566.39839034202</v>
      </c>
    </row>
    <row r="194" spans="1:11" x14ac:dyDescent="0.25">
      <c r="A194" s="38">
        <f>Données!A191</f>
        <v>5720</v>
      </c>
      <c r="B194" s="168" t="str">
        <f>Données!B191</f>
        <v>Givrins</v>
      </c>
      <c r="C194" s="8">
        <f>Données!Z191</f>
        <v>1024</v>
      </c>
      <c r="D194" s="8">
        <f t="shared" si="12"/>
        <v>1000</v>
      </c>
      <c r="E194" s="209">
        <f t="shared" si="11"/>
        <v>24</v>
      </c>
      <c r="F194" s="8">
        <f t="shared" si="11"/>
        <v>0</v>
      </c>
      <c r="G194" s="209">
        <f t="shared" si="11"/>
        <v>0</v>
      </c>
      <c r="H194" s="31">
        <f t="shared" si="11"/>
        <v>0</v>
      </c>
      <c r="I194" s="8">
        <f t="shared" si="11"/>
        <v>0</v>
      </c>
      <c r="J194" s="8">
        <f t="shared" si="9"/>
        <v>0</v>
      </c>
      <c r="K194" s="72">
        <f t="shared" si="10"/>
        <v>-137694.56740442652</v>
      </c>
    </row>
    <row r="195" spans="1:11" x14ac:dyDescent="0.25">
      <c r="A195" s="38">
        <f>Données!A192</f>
        <v>5721</v>
      </c>
      <c r="B195" s="168" t="str">
        <f>Données!B192</f>
        <v>Gland</v>
      </c>
      <c r="C195" s="8">
        <f>Données!Z192</f>
        <v>13686</v>
      </c>
      <c r="D195" s="8">
        <f t="shared" si="12"/>
        <v>1000</v>
      </c>
      <c r="E195" s="209">
        <f t="shared" si="11"/>
        <v>2000</v>
      </c>
      <c r="F195" s="8">
        <f t="shared" si="11"/>
        <v>2000</v>
      </c>
      <c r="G195" s="209">
        <f t="shared" si="11"/>
        <v>4000</v>
      </c>
      <c r="H195" s="31">
        <f t="shared" si="11"/>
        <v>3000</v>
      </c>
      <c r="I195" s="8">
        <f t="shared" si="11"/>
        <v>1686</v>
      </c>
      <c r="J195" s="8">
        <f t="shared" si="9"/>
        <v>0</v>
      </c>
      <c r="K195" s="72">
        <f t="shared" si="10"/>
        <v>-8733386.3179074433</v>
      </c>
    </row>
    <row r="196" spans="1:11" x14ac:dyDescent="0.25">
      <c r="A196" s="38">
        <f>Données!A193</f>
        <v>5722</v>
      </c>
      <c r="B196" s="168" t="str">
        <f>Données!B193</f>
        <v>Grens</v>
      </c>
      <c r="C196" s="8">
        <f>Données!Z193</f>
        <v>400</v>
      </c>
      <c r="D196" s="8">
        <f t="shared" si="12"/>
        <v>400</v>
      </c>
      <c r="E196" s="209">
        <f t="shared" si="11"/>
        <v>0</v>
      </c>
      <c r="F196" s="8">
        <f t="shared" si="11"/>
        <v>0</v>
      </c>
      <c r="G196" s="209">
        <f t="shared" si="11"/>
        <v>0</v>
      </c>
      <c r="H196" s="31">
        <f t="shared" si="11"/>
        <v>0</v>
      </c>
      <c r="I196" s="8">
        <f t="shared" si="11"/>
        <v>0</v>
      </c>
      <c r="J196" s="8">
        <f t="shared" si="9"/>
        <v>0</v>
      </c>
      <c r="K196" s="72">
        <f t="shared" si="10"/>
        <v>-51609.657947686108</v>
      </c>
    </row>
    <row r="197" spans="1:11" x14ac:dyDescent="0.25">
      <c r="A197" s="38">
        <f>Données!A194</f>
        <v>5723</v>
      </c>
      <c r="B197" s="168" t="str">
        <f>Données!B194</f>
        <v>Mies</v>
      </c>
      <c r="C197" s="8">
        <f>Données!Z194</f>
        <v>2226</v>
      </c>
      <c r="D197" s="8">
        <f t="shared" si="12"/>
        <v>1000</v>
      </c>
      <c r="E197" s="209">
        <f t="shared" si="11"/>
        <v>1226</v>
      </c>
      <c r="F197" s="8">
        <f t="shared" si="11"/>
        <v>0</v>
      </c>
      <c r="G197" s="209">
        <f t="shared" si="11"/>
        <v>0</v>
      </c>
      <c r="H197" s="31">
        <f t="shared" si="11"/>
        <v>0</v>
      </c>
      <c r="I197" s="8">
        <f t="shared" si="11"/>
        <v>0</v>
      </c>
      <c r="J197" s="8">
        <f t="shared" si="9"/>
        <v>0</v>
      </c>
      <c r="K197" s="72">
        <f t="shared" si="10"/>
        <v>-571938.2293762574</v>
      </c>
    </row>
    <row r="198" spans="1:11" x14ac:dyDescent="0.25">
      <c r="A198" s="38">
        <f>Données!A195</f>
        <v>5724</v>
      </c>
      <c r="B198" s="168" t="str">
        <f>Données!B195</f>
        <v>Nyon</v>
      </c>
      <c r="C198" s="8">
        <f>Données!Z195</f>
        <v>22461</v>
      </c>
      <c r="D198" s="8">
        <f t="shared" si="12"/>
        <v>1000</v>
      </c>
      <c r="E198" s="209">
        <f t="shared" si="11"/>
        <v>2000</v>
      </c>
      <c r="F198" s="8">
        <f t="shared" si="11"/>
        <v>2000</v>
      </c>
      <c r="G198" s="209">
        <f t="shared" si="11"/>
        <v>4000</v>
      </c>
      <c r="H198" s="31">
        <f t="shared" si="11"/>
        <v>3000</v>
      </c>
      <c r="I198" s="8">
        <f t="shared" si="11"/>
        <v>3000</v>
      </c>
      <c r="J198" s="8">
        <f t="shared" si="9"/>
        <v>7461</v>
      </c>
      <c r="K198" s="72">
        <f t="shared" si="10"/>
        <v>-18175940.945674039</v>
      </c>
    </row>
    <row r="199" spans="1:11" x14ac:dyDescent="0.25">
      <c r="A199" s="38">
        <f>Données!A196</f>
        <v>5725</v>
      </c>
      <c r="B199" s="168" t="str">
        <f>Données!B196</f>
        <v>Prangins</v>
      </c>
      <c r="C199" s="8">
        <f>Données!Z196</f>
        <v>4277</v>
      </c>
      <c r="D199" s="8">
        <f t="shared" si="12"/>
        <v>1000</v>
      </c>
      <c r="E199" s="209">
        <f t="shared" si="11"/>
        <v>2000</v>
      </c>
      <c r="F199" s="8">
        <f t="shared" si="11"/>
        <v>1277</v>
      </c>
      <c r="G199" s="209">
        <f t="shared" si="11"/>
        <v>0</v>
      </c>
      <c r="H199" s="31">
        <f t="shared" si="11"/>
        <v>0</v>
      </c>
      <c r="I199" s="8">
        <f t="shared" si="11"/>
        <v>0</v>
      </c>
      <c r="J199" s="8">
        <f t="shared" si="9"/>
        <v>0</v>
      </c>
      <c r="K199" s="72">
        <f t="shared" si="10"/>
        <v>-1510614.6881287722</v>
      </c>
    </row>
    <row r="200" spans="1:11" x14ac:dyDescent="0.25">
      <c r="A200" s="38">
        <f>Données!A197</f>
        <v>5726</v>
      </c>
      <c r="B200" s="168" t="str">
        <f>Données!B197</f>
        <v>La Rippe</v>
      </c>
      <c r="C200" s="8">
        <f>Données!Z197</f>
        <v>1197</v>
      </c>
      <c r="D200" s="8">
        <f t="shared" si="12"/>
        <v>1000</v>
      </c>
      <c r="E200" s="209">
        <f t="shared" si="11"/>
        <v>197</v>
      </c>
      <c r="F200" s="8">
        <f t="shared" si="11"/>
        <v>0</v>
      </c>
      <c r="G200" s="209">
        <f t="shared" si="11"/>
        <v>0</v>
      </c>
      <c r="H200" s="31">
        <f t="shared" si="11"/>
        <v>0</v>
      </c>
      <c r="I200" s="8">
        <f t="shared" si="11"/>
        <v>0</v>
      </c>
      <c r="J200" s="8">
        <f t="shared" si="9"/>
        <v>0</v>
      </c>
      <c r="K200" s="72">
        <f t="shared" si="10"/>
        <v>-200193.86317907443</v>
      </c>
    </row>
    <row r="201" spans="1:11" x14ac:dyDescent="0.25">
      <c r="A201" s="38">
        <f>Données!A198</f>
        <v>5727</v>
      </c>
      <c r="B201" s="168" t="str">
        <f>Données!B198</f>
        <v>Saint-Cergue</v>
      </c>
      <c r="C201" s="8">
        <f>Données!Z198</f>
        <v>2786</v>
      </c>
      <c r="D201" s="8">
        <f t="shared" si="12"/>
        <v>1000</v>
      </c>
      <c r="E201" s="209">
        <f t="shared" si="11"/>
        <v>1786</v>
      </c>
      <c r="F201" s="8">
        <f t="shared" si="11"/>
        <v>0</v>
      </c>
      <c r="G201" s="209">
        <f t="shared" si="11"/>
        <v>0</v>
      </c>
      <c r="H201" s="31">
        <f t="shared" si="11"/>
        <v>0</v>
      </c>
      <c r="I201" s="8">
        <f t="shared" si="11"/>
        <v>0</v>
      </c>
      <c r="J201" s="8">
        <f t="shared" si="9"/>
        <v>0</v>
      </c>
      <c r="K201" s="72">
        <f t="shared" si="10"/>
        <v>-774248.08853118704</v>
      </c>
    </row>
    <row r="202" spans="1:11" x14ac:dyDescent="0.25">
      <c r="A202" s="38">
        <f>Données!A199</f>
        <v>5728</v>
      </c>
      <c r="B202" s="168" t="str">
        <f>Données!B199</f>
        <v>Signy-Avenex</v>
      </c>
      <c r="C202" s="8">
        <f>Données!Z199</f>
        <v>583</v>
      </c>
      <c r="D202" s="8">
        <f t="shared" si="12"/>
        <v>583</v>
      </c>
      <c r="E202" s="209">
        <f t="shared" si="11"/>
        <v>0</v>
      </c>
      <c r="F202" s="8">
        <f t="shared" si="11"/>
        <v>0</v>
      </c>
      <c r="G202" s="209">
        <f t="shared" si="11"/>
        <v>0</v>
      </c>
      <c r="H202" s="31">
        <f t="shared" si="11"/>
        <v>0</v>
      </c>
      <c r="I202" s="8">
        <f t="shared" si="11"/>
        <v>0</v>
      </c>
      <c r="J202" s="8">
        <f t="shared" ref="J202:J265" si="13">IF(C202&gt;$J$5,C202-$J$5,0)</f>
        <v>0</v>
      </c>
      <c r="K202" s="72">
        <f t="shared" ref="K202:K265" si="14">-((D202*D$8)+(E202*E$8)+(F202*F$8)+(G202*G$8)+(H202*H$8)+(I202*I$8)+(J202*J$8))</f>
        <v>-75221.076458752505</v>
      </c>
    </row>
    <row r="203" spans="1:11" x14ac:dyDescent="0.25">
      <c r="A203" s="38">
        <f>Données!A200</f>
        <v>5729</v>
      </c>
      <c r="B203" s="168" t="str">
        <f>Données!B200</f>
        <v>Tannay</v>
      </c>
      <c r="C203" s="8">
        <f>Données!Z200</f>
        <v>1720</v>
      </c>
      <c r="D203" s="8">
        <f t="shared" si="12"/>
        <v>1000</v>
      </c>
      <c r="E203" s="209">
        <f t="shared" si="11"/>
        <v>720</v>
      </c>
      <c r="F203" s="8">
        <f t="shared" si="11"/>
        <v>0</v>
      </c>
      <c r="G203" s="209">
        <f t="shared" si="11"/>
        <v>0</v>
      </c>
      <c r="H203" s="31">
        <f t="shared" si="11"/>
        <v>0</v>
      </c>
      <c r="I203" s="8">
        <f t="shared" si="11"/>
        <v>0</v>
      </c>
      <c r="J203" s="8">
        <f t="shared" si="13"/>
        <v>0</v>
      </c>
      <c r="K203" s="72">
        <f t="shared" si="14"/>
        <v>-389136.82092555321</v>
      </c>
    </row>
    <row r="204" spans="1:11" x14ac:dyDescent="0.25">
      <c r="A204" s="38">
        <f>Données!A201</f>
        <v>5730</v>
      </c>
      <c r="B204" s="168" t="str">
        <f>Données!B201</f>
        <v>Trélex</v>
      </c>
      <c r="C204" s="8">
        <f>Données!Z201</f>
        <v>1427</v>
      </c>
      <c r="D204" s="8">
        <f t="shared" si="12"/>
        <v>1000</v>
      </c>
      <c r="E204" s="209">
        <f t="shared" si="11"/>
        <v>427</v>
      </c>
      <c r="F204" s="8">
        <f t="shared" si="11"/>
        <v>0</v>
      </c>
      <c r="G204" s="209">
        <f t="shared" si="11"/>
        <v>0</v>
      </c>
      <c r="H204" s="31">
        <f t="shared" si="11"/>
        <v>0</v>
      </c>
      <c r="I204" s="8">
        <f t="shared" si="11"/>
        <v>0</v>
      </c>
      <c r="J204" s="8">
        <f t="shared" si="13"/>
        <v>0</v>
      </c>
      <c r="K204" s="72">
        <f t="shared" si="14"/>
        <v>-283285.41247484903</v>
      </c>
    </row>
    <row r="205" spans="1:11" x14ac:dyDescent="0.25">
      <c r="A205" s="38">
        <f>Données!A202</f>
        <v>5731</v>
      </c>
      <c r="B205" s="168" t="str">
        <f>Données!B202</f>
        <v>Le Vaud</v>
      </c>
      <c r="C205" s="8">
        <f>Données!Z202</f>
        <v>1411</v>
      </c>
      <c r="D205" s="8">
        <f t="shared" si="12"/>
        <v>1000</v>
      </c>
      <c r="E205" s="209">
        <f t="shared" si="11"/>
        <v>411</v>
      </c>
      <c r="F205" s="8">
        <f t="shared" si="11"/>
        <v>0</v>
      </c>
      <c r="G205" s="209">
        <f t="shared" si="11"/>
        <v>0</v>
      </c>
      <c r="H205" s="31">
        <f t="shared" si="11"/>
        <v>0</v>
      </c>
      <c r="I205" s="8">
        <f t="shared" si="11"/>
        <v>0</v>
      </c>
      <c r="J205" s="8">
        <f t="shared" si="13"/>
        <v>0</v>
      </c>
      <c r="K205" s="72">
        <f t="shared" si="14"/>
        <v>-277505.13078470819</v>
      </c>
    </row>
    <row r="206" spans="1:11" x14ac:dyDescent="0.25">
      <c r="A206" s="38">
        <f>Données!A203</f>
        <v>5732</v>
      </c>
      <c r="B206" s="168" t="str">
        <f>Données!B203</f>
        <v>Vich</v>
      </c>
      <c r="C206" s="8">
        <f>Données!Z203</f>
        <v>1160</v>
      </c>
      <c r="D206" s="8">
        <f t="shared" si="12"/>
        <v>1000</v>
      </c>
      <c r="E206" s="209">
        <f t="shared" si="11"/>
        <v>160</v>
      </c>
      <c r="F206" s="8">
        <f t="shared" si="11"/>
        <v>0</v>
      </c>
      <c r="G206" s="209">
        <f t="shared" si="11"/>
        <v>0</v>
      </c>
      <c r="H206" s="31">
        <f t="shared" si="11"/>
        <v>0</v>
      </c>
      <c r="I206" s="8">
        <f t="shared" si="11"/>
        <v>0</v>
      </c>
      <c r="J206" s="8">
        <f t="shared" si="13"/>
        <v>0</v>
      </c>
      <c r="K206" s="72">
        <f t="shared" si="14"/>
        <v>-186826.96177062369</v>
      </c>
    </row>
    <row r="207" spans="1:11" x14ac:dyDescent="0.25">
      <c r="A207" s="38">
        <f>Données!A204</f>
        <v>5741</v>
      </c>
      <c r="B207" s="168" t="str">
        <f>Données!B204</f>
        <v>L'Abergement</v>
      </c>
      <c r="C207" s="8">
        <f>Données!Z204</f>
        <v>260</v>
      </c>
      <c r="D207" s="8">
        <f t="shared" si="12"/>
        <v>260</v>
      </c>
      <c r="E207" s="209">
        <f t="shared" si="11"/>
        <v>0</v>
      </c>
      <c r="F207" s="8">
        <f t="shared" si="11"/>
        <v>0</v>
      </c>
      <c r="G207" s="209">
        <f t="shared" si="11"/>
        <v>0</v>
      </c>
      <c r="H207" s="31">
        <f t="shared" si="11"/>
        <v>0</v>
      </c>
      <c r="I207" s="8">
        <f t="shared" si="11"/>
        <v>0</v>
      </c>
      <c r="J207" s="8">
        <f t="shared" si="13"/>
        <v>0</v>
      </c>
      <c r="K207" s="72">
        <f t="shared" si="14"/>
        <v>-33546.277665995971</v>
      </c>
    </row>
    <row r="208" spans="1:11" x14ac:dyDescent="0.25">
      <c r="A208" s="38">
        <f>Données!A205</f>
        <v>5742</v>
      </c>
      <c r="B208" s="168" t="str">
        <f>Données!B205</f>
        <v>Agiez</v>
      </c>
      <c r="C208" s="8">
        <f>Données!Z205</f>
        <v>381</v>
      </c>
      <c r="D208" s="8">
        <f t="shared" si="12"/>
        <v>381</v>
      </c>
      <c r="E208" s="209">
        <f t="shared" si="11"/>
        <v>0</v>
      </c>
      <c r="F208" s="8">
        <f t="shared" si="11"/>
        <v>0</v>
      </c>
      <c r="G208" s="209">
        <f t="shared" si="11"/>
        <v>0</v>
      </c>
      <c r="H208" s="31">
        <f t="shared" si="11"/>
        <v>0</v>
      </c>
      <c r="I208" s="8">
        <f t="shared" si="11"/>
        <v>0</v>
      </c>
      <c r="J208" s="8">
        <f t="shared" si="13"/>
        <v>0</v>
      </c>
      <c r="K208" s="72">
        <f t="shared" si="14"/>
        <v>-49158.199195171015</v>
      </c>
    </row>
    <row r="209" spans="1:11" x14ac:dyDescent="0.25">
      <c r="A209" s="38">
        <f>Données!A206</f>
        <v>5743</v>
      </c>
      <c r="B209" s="168" t="str">
        <f>Données!B206</f>
        <v>Arnex-sur-Orbe</v>
      </c>
      <c r="C209" s="8">
        <f>Données!Z206</f>
        <v>692</v>
      </c>
      <c r="D209" s="8">
        <f t="shared" si="12"/>
        <v>692</v>
      </c>
      <c r="E209" s="209">
        <f t="shared" si="11"/>
        <v>0</v>
      </c>
      <c r="F209" s="8">
        <f t="shared" si="11"/>
        <v>0</v>
      </c>
      <c r="G209" s="209">
        <f t="shared" ref="E209:I260" si="15">IF($C209&gt;G$5,IF($C209&lt;G$6,$C209-G$5,G$6-G$5),0)</f>
        <v>0</v>
      </c>
      <c r="H209" s="31">
        <f t="shared" si="15"/>
        <v>0</v>
      </c>
      <c r="I209" s="8">
        <f t="shared" si="15"/>
        <v>0</v>
      </c>
      <c r="J209" s="8">
        <f t="shared" si="13"/>
        <v>0</v>
      </c>
      <c r="K209" s="72">
        <f t="shared" si="14"/>
        <v>-89284.708249496965</v>
      </c>
    </row>
    <row r="210" spans="1:11" x14ac:dyDescent="0.25">
      <c r="A210" s="38">
        <f>Données!A207</f>
        <v>5744</v>
      </c>
      <c r="B210" s="168" t="str">
        <f>Données!B207</f>
        <v>Ballaigues</v>
      </c>
      <c r="C210" s="8">
        <f>Données!Z207</f>
        <v>1152</v>
      </c>
      <c r="D210" s="8">
        <f t="shared" si="12"/>
        <v>1000</v>
      </c>
      <c r="E210" s="209">
        <f t="shared" si="15"/>
        <v>152</v>
      </c>
      <c r="F210" s="8">
        <f t="shared" si="15"/>
        <v>0</v>
      </c>
      <c r="G210" s="209">
        <f t="shared" si="15"/>
        <v>0</v>
      </c>
      <c r="H210" s="31">
        <f t="shared" si="15"/>
        <v>0</v>
      </c>
      <c r="I210" s="8">
        <f t="shared" si="15"/>
        <v>0</v>
      </c>
      <c r="J210" s="8">
        <f t="shared" si="13"/>
        <v>0</v>
      </c>
      <c r="K210" s="72">
        <f t="shared" si="14"/>
        <v>-183936.82092555327</v>
      </c>
    </row>
    <row r="211" spans="1:11" x14ac:dyDescent="0.25">
      <c r="A211" s="38">
        <f>Données!A208</f>
        <v>5745</v>
      </c>
      <c r="B211" s="168" t="str">
        <f>Données!B208</f>
        <v>Baulmes</v>
      </c>
      <c r="C211" s="8">
        <f>Données!Z208</f>
        <v>1132</v>
      </c>
      <c r="D211" s="8">
        <f t="shared" si="12"/>
        <v>1000</v>
      </c>
      <c r="E211" s="209">
        <f t="shared" si="15"/>
        <v>132</v>
      </c>
      <c r="F211" s="8">
        <f t="shared" si="15"/>
        <v>0</v>
      </c>
      <c r="G211" s="209">
        <f t="shared" si="15"/>
        <v>0</v>
      </c>
      <c r="H211" s="31">
        <f t="shared" si="15"/>
        <v>0</v>
      </c>
      <c r="I211" s="8">
        <f t="shared" si="15"/>
        <v>0</v>
      </c>
      <c r="J211" s="8">
        <f t="shared" si="13"/>
        <v>0</v>
      </c>
      <c r="K211" s="72">
        <f t="shared" si="14"/>
        <v>-176711.46881287722</v>
      </c>
    </row>
    <row r="212" spans="1:11" x14ac:dyDescent="0.25">
      <c r="A212" s="38">
        <f>Données!A209</f>
        <v>5746</v>
      </c>
      <c r="B212" s="168" t="str">
        <f>Données!B209</f>
        <v>Bavois</v>
      </c>
      <c r="C212" s="8">
        <f>Données!Z209</f>
        <v>1009</v>
      </c>
      <c r="D212" s="8">
        <f t="shared" si="12"/>
        <v>1000</v>
      </c>
      <c r="E212" s="209">
        <f t="shared" si="15"/>
        <v>9</v>
      </c>
      <c r="F212" s="8">
        <f t="shared" si="15"/>
        <v>0</v>
      </c>
      <c r="G212" s="209">
        <f t="shared" si="15"/>
        <v>0</v>
      </c>
      <c r="H212" s="31">
        <f t="shared" si="15"/>
        <v>0</v>
      </c>
      <c r="I212" s="8">
        <f t="shared" si="15"/>
        <v>0</v>
      </c>
      <c r="J212" s="8">
        <f t="shared" si="13"/>
        <v>0</v>
      </c>
      <c r="K212" s="72">
        <f t="shared" si="14"/>
        <v>-132275.55331991948</v>
      </c>
    </row>
    <row r="213" spans="1:11" x14ac:dyDescent="0.25">
      <c r="A213" s="38">
        <f>Données!A210</f>
        <v>5747</v>
      </c>
      <c r="B213" s="168" t="str">
        <f>Données!B210</f>
        <v>Bofflens</v>
      </c>
      <c r="C213" s="8">
        <f>Données!Z210</f>
        <v>204</v>
      </c>
      <c r="D213" s="8">
        <f t="shared" si="12"/>
        <v>204</v>
      </c>
      <c r="E213" s="209">
        <f t="shared" si="15"/>
        <v>0</v>
      </c>
      <c r="F213" s="8">
        <f t="shared" si="15"/>
        <v>0</v>
      </c>
      <c r="G213" s="209">
        <f t="shared" si="15"/>
        <v>0</v>
      </c>
      <c r="H213" s="31">
        <f t="shared" si="15"/>
        <v>0</v>
      </c>
      <c r="I213" s="8">
        <f t="shared" si="15"/>
        <v>0</v>
      </c>
      <c r="J213" s="8">
        <f t="shared" si="13"/>
        <v>0</v>
      </c>
      <c r="K213" s="72">
        <f t="shared" si="14"/>
        <v>-26320.925553319914</v>
      </c>
    </row>
    <row r="214" spans="1:11" x14ac:dyDescent="0.25">
      <c r="A214" s="38">
        <f>Données!A211</f>
        <v>5748</v>
      </c>
      <c r="B214" s="168" t="str">
        <f>Données!B211</f>
        <v>Bretonnières</v>
      </c>
      <c r="C214" s="8">
        <f>Données!Z211</f>
        <v>264</v>
      </c>
      <c r="D214" s="8">
        <f t="shared" si="12"/>
        <v>264</v>
      </c>
      <c r="E214" s="209">
        <f t="shared" si="15"/>
        <v>0</v>
      </c>
      <c r="F214" s="8">
        <f t="shared" si="15"/>
        <v>0</v>
      </c>
      <c r="G214" s="209">
        <f t="shared" si="15"/>
        <v>0</v>
      </c>
      <c r="H214" s="31">
        <f t="shared" si="15"/>
        <v>0</v>
      </c>
      <c r="I214" s="8">
        <f t="shared" si="15"/>
        <v>0</v>
      </c>
      <c r="J214" s="8">
        <f t="shared" si="13"/>
        <v>0</v>
      </c>
      <c r="K214" s="72">
        <f t="shared" si="14"/>
        <v>-34062.374245472827</v>
      </c>
    </row>
    <row r="215" spans="1:11" x14ac:dyDescent="0.25">
      <c r="A215" s="38">
        <f>Données!A212</f>
        <v>5749</v>
      </c>
      <c r="B215" s="168" t="str">
        <f>Données!B212</f>
        <v>Chavornay</v>
      </c>
      <c r="C215" s="8">
        <f>Données!Z212</f>
        <v>5405</v>
      </c>
      <c r="D215" s="8">
        <f t="shared" si="12"/>
        <v>1000</v>
      </c>
      <c r="E215" s="209">
        <f t="shared" si="15"/>
        <v>2000</v>
      </c>
      <c r="F215" s="8">
        <f t="shared" si="15"/>
        <v>2000</v>
      </c>
      <c r="G215" s="209">
        <f t="shared" si="15"/>
        <v>405</v>
      </c>
      <c r="H215" s="31">
        <f t="shared" si="15"/>
        <v>0</v>
      </c>
      <c r="I215" s="8">
        <f t="shared" si="15"/>
        <v>0</v>
      </c>
      <c r="J215" s="8">
        <f t="shared" si="13"/>
        <v>0</v>
      </c>
      <c r="K215" s="72">
        <f t="shared" si="14"/>
        <v>-2134575.4527162975</v>
      </c>
    </row>
    <row r="216" spans="1:11" x14ac:dyDescent="0.25">
      <c r="A216" s="38">
        <f>Données!A213</f>
        <v>5750</v>
      </c>
      <c r="B216" s="168" t="str">
        <f>Données!B213</f>
        <v>Les Clées</v>
      </c>
      <c r="C216" s="8">
        <f>Données!Z213</f>
        <v>186</v>
      </c>
      <c r="D216" s="8">
        <f t="shared" si="12"/>
        <v>186</v>
      </c>
      <c r="E216" s="209">
        <f t="shared" si="15"/>
        <v>0</v>
      </c>
      <c r="F216" s="8">
        <f t="shared" si="15"/>
        <v>0</v>
      </c>
      <c r="G216" s="209">
        <f t="shared" si="15"/>
        <v>0</v>
      </c>
      <c r="H216" s="31">
        <f t="shared" si="15"/>
        <v>0</v>
      </c>
      <c r="I216" s="8">
        <f t="shared" si="15"/>
        <v>0</v>
      </c>
      <c r="J216" s="8">
        <f t="shared" si="13"/>
        <v>0</v>
      </c>
      <c r="K216" s="72">
        <f t="shared" si="14"/>
        <v>-23998.490945674039</v>
      </c>
    </row>
    <row r="217" spans="1:11" x14ac:dyDescent="0.25">
      <c r="A217" s="38">
        <f>Données!A214</f>
        <v>5752</v>
      </c>
      <c r="B217" s="168" t="str">
        <f>Données!B214</f>
        <v>Croy</v>
      </c>
      <c r="C217" s="8">
        <f>Données!Z214</f>
        <v>386</v>
      </c>
      <c r="D217" s="8">
        <f t="shared" si="12"/>
        <v>386</v>
      </c>
      <c r="E217" s="209">
        <f t="shared" si="15"/>
        <v>0</v>
      </c>
      <c r="F217" s="8">
        <f t="shared" si="15"/>
        <v>0</v>
      </c>
      <c r="G217" s="209">
        <f t="shared" si="15"/>
        <v>0</v>
      </c>
      <c r="H217" s="31">
        <f t="shared" si="15"/>
        <v>0</v>
      </c>
      <c r="I217" s="8">
        <f t="shared" si="15"/>
        <v>0</v>
      </c>
      <c r="J217" s="8">
        <f t="shared" si="13"/>
        <v>0</v>
      </c>
      <c r="K217" s="72">
        <f t="shared" si="14"/>
        <v>-49803.319919517089</v>
      </c>
    </row>
    <row r="218" spans="1:11" x14ac:dyDescent="0.25">
      <c r="A218" s="38">
        <f>Données!A215</f>
        <v>5754</v>
      </c>
      <c r="B218" s="168" t="str">
        <f>Données!B215</f>
        <v>Juriens</v>
      </c>
      <c r="C218" s="8">
        <f>Données!Z215</f>
        <v>346</v>
      </c>
      <c r="D218" s="8">
        <f t="shared" si="12"/>
        <v>346</v>
      </c>
      <c r="E218" s="209">
        <f t="shared" si="15"/>
        <v>0</v>
      </c>
      <c r="F218" s="8">
        <f t="shared" si="15"/>
        <v>0</v>
      </c>
      <c r="G218" s="209">
        <f t="shared" si="15"/>
        <v>0</v>
      </c>
      <c r="H218" s="31">
        <f t="shared" si="15"/>
        <v>0</v>
      </c>
      <c r="I218" s="8">
        <f t="shared" si="15"/>
        <v>0</v>
      </c>
      <c r="J218" s="8">
        <f t="shared" si="13"/>
        <v>0</v>
      </c>
      <c r="K218" s="72">
        <f t="shared" si="14"/>
        <v>-44642.354124748483</v>
      </c>
    </row>
    <row r="219" spans="1:11" x14ac:dyDescent="0.25">
      <c r="A219" s="38">
        <f>Données!A216</f>
        <v>5755</v>
      </c>
      <c r="B219" s="168" t="str">
        <f>Données!B216</f>
        <v>Lignerolle</v>
      </c>
      <c r="C219" s="8">
        <f>Données!Z216</f>
        <v>447</v>
      </c>
      <c r="D219" s="8">
        <f t="shared" si="12"/>
        <v>447</v>
      </c>
      <c r="E219" s="209">
        <f t="shared" si="15"/>
        <v>0</v>
      </c>
      <c r="F219" s="8">
        <f t="shared" si="15"/>
        <v>0</v>
      </c>
      <c r="G219" s="209">
        <f t="shared" si="15"/>
        <v>0</v>
      </c>
      <c r="H219" s="31">
        <f t="shared" si="15"/>
        <v>0</v>
      </c>
      <c r="I219" s="8">
        <f t="shared" si="15"/>
        <v>0</v>
      </c>
      <c r="J219" s="8">
        <f t="shared" si="13"/>
        <v>0</v>
      </c>
      <c r="K219" s="72">
        <f t="shared" si="14"/>
        <v>-57673.792756539224</v>
      </c>
    </row>
    <row r="220" spans="1:11" x14ac:dyDescent="0.25">
      <c r="A220" s="38">
        <f>Données!A217</f>
        <v>5756</v>
      </c>
      <c r="B220" s="168" t="str">
        <f>Données!B217</f>
        <v>Montcherand</v>
      </c>
      <c r="C220" s="8">
        <f>Données!Z217</f>
        <v>496</v>
      </c>
      <c r="D220" s="8">
        <f t="shared" si="12"/>
        <v>496</v>
      </c>
      <c r="E220" s="209">
        <f t="shared" si="15"/>
        <v>0</v>
      </c>
      <c r="F220" s="8">
        <f t="shared" si="15"/>
        <v>0</v>
      </c>
      <c r="G220" s="209">
        <f t="shared" si="15"/>
        <v>0</v>
      </c>
      <c r="H220" s="31">
        <f t="shared" si="15"/>
        <v>0</v>
      </c>
      <c r="I220" s="8">
        <f t="shared" si="15"/>
        <v>0</v>
      </c>
      <c r="J220" s="8">
        <f t="shared" si="13"/>
        <v>0</v>
      </c>
      <c r="K220" s="72">
        <f t="shared" si="14"/>
        <v>-63995.975855130768</v>
      </c>
    </row>
    <row r="221" spans="1:11" x14ac:dyDescent="0.25">
      <c r="A221" s="38">
        <f>Données!A218</f>
        <v>5757</v>
      </c>
      <c r="B221" s="168" t="str">
        <f>Données!B218</f>
        <v>Orbe</v>
      </c>
      <c r="C221" s="8">
        <f>Données!Z218</f>
        <v>7617</v>
      </c>
      <c r="D221" s="8">
        <f t="shared" si="12"/>
        <v>1000</v>
      </c>
      <c r="E221" s="209">
        <f t="shared" si="15"/>
        <v>2000</v>
      </c>
      <c r="F221" s="8">
        <f t="shared" si="15"/>
        <v>2000</v>
      </c>
      <c r="G221" s="209">
        <f t="shared" si="15"/>
        <v>2617</v>
      </c>
      <c r="H221" s="31">
        <f t="shared" si="15"/>
        <v>0</v>
      </c>
      <c r="I221" s="8">
        <f t="shared" si="15"/>
        <v>0</v>
      </c>
      <c r="J221" s="8">
        <f t="shared" si="13"/>
        <v>0</v>
      </c>
      <c r="K221" s="72">
        <f t="shared" si="14"/>
        <v>-3504502.2132796776</v>
      </c>
    </row>
    <row r="222" spans="1:11" x14ac:dyDescent="0.25">
      <c r="A222" s="38">
        <f>Données!A219</f>
        <v>5758</v>
      </c>
      <c r="B222" s="168" t="str">
        <f>Données!B219</f>
        <v>La Praz</v>
      </c>
      <c r="C222" s="8">
        <f>Données!Z219</f>
        <v>183</v>
      </c>
      <c r="D222" s="8">
        <f t="shared" si="12"/>
        <v>183</v>
      </c>
      <c r="E222" s="209">
        <f t="shared" si="15"/>
        <v>0</v>
      </c>
      <c r="F222" s="8">
        <f t="shared" si="15"/>
        <v>0</v>
      </c>
      <c r="G222" s="209">
        <f t="shared" si="15"/>
        <v>0</v>
      </c>
      <c r="H222" s="31">
        <f t="shared" si="15"/>
        <v>0</v>
      </c>
      <c r="I222" s="8">
        <f t="shared" si="15"/>
        <v>0</v>
      </c>
      <c r="J222" s="8">
        <f t="shared" si="13"/>
        <v>0</v>
      </c>
      <c r="K222" s="72">
        <f t="shared" si="14"/>
        <v>-23611.418511066393</v>
      </c>
    </row>
    <row r="223" spans="1:11" x14ac:dyDescent="0.25">
      <c r="A223" s="38">
        <f>Données!A220</f>
        <v>5759</v>
      </c>
      <c r="B223" s="168" t="str">
        <f>Données!B220</f>
        <v>Premier</v>
      </c>
      <c r="C223" s="8">
        <f>Données!Z220</f>
        <v>236</v>
      </c>
      <c r="D223" s="8">
        <f t="shared" si="12"/>
        <v>236</v>
      </c>
      <c r="E223" s="209">
        <f t="shared" si="15"/>
        <v>0</v>
      </c>
      <c r="F223" s="8">
        <f t="shared" si="15"/>
        <v>0</v>
      </c>
      <c r="G223" s="209">
        <f t="shared" si="15"/>
        <v>0</v>
      </c>
      <c r="H223" s="31">
        <f t="shared" si="15"/>
        <v>0</v>
      </c>
      <c r="I223" s="8">
        <f t="shared" si="15"/>
        <v>0</v>
      </c>
      <c r="J223" s="8">
        <f t="shared" si="13"/>
        <v>0</v>
      </c>
      <c r="K223" s="72">
        <f t="shared" si="14"/>
        <v>-30449.6981891348</v>
      </c>
    </row>
    <row r="224" spans="1:11" x14ac:dyDescent="0.25">
      <c r="A224" s="38">
        <f>Données!A221</f>
        <v>5760</v>
      </c>
      <c r="B224" s="168" t="str">
        <f>Données!B221</f>
        <v>Rances</v>
      </c>
      <c r="C224" s="8">
        <f>Données!Z221</f>
        <v>521</v>
      </c>
      <c r="D224" s="8">
        <f t="shared" si="12"/>
        <v>521</v>
      </c>
      <c r="E224" s="209">
        <f t="shared" si="15"/>
        <v>0</v>
      </c>
      <c r="F224" s="8">
        <f t="shared" si="15"/>
        <v>0</v>
      </c>
      <c r="G224" s="209">
        <f t="shared" si="15"/>
        <v>0</v>
      </c>
      <c r="H224" s="31">
        <f t="shared" si="15"/>
        <v>0</v>
      </c>
      <c r="I224" s="8">
        <f t="shared" si="15"/>
        <v>0</v>
      </c>
      <c r="J224" s="8">
        <f t="shared" si="13"/>
        <v>0</v>
      </c>
      <c r="K224" s="72">
        <f t="shared" si="14"/>
        <v>-67221.579476861152</v>
      </c>
    </row>
    <row r="225" spans="1:11" x14ac:dyDescent="0.25">
      <c r="A225" s="38">
        <f>Données!A222</f>
        <v>5761</v>
      </c>
      <c r="B225" s="168" t="str">
        <f>Données!B222</f>
        <v>Romainmôtier-Envy</v>
      </c>
      <c r="C225" s="8">
        <f>Données!Z222</f>
        <v>559</v>
      </c>
      <c r="D225" s="8">
        <f t="shared" si="12"/>
        <v>559</v>
      </c>
      <c r="E225" s="209">
        <f t="shared" si="15"/>
        <v>0</v>
      </c>
      <c r="F225" s="8">
        <f t="shared" si="15"/>
        <v>0</v>
      </c>
      <c r="G225" s="209">
        <f t="shared" si="15"/>
        <v>0</v>
      </c>
      <c r="H225" s="31">
        <f t="shared" si="15"/>
        <v>0</v>
      </c>
      <c r="I225" s="8">
        <f t="shared" si="15"/>
        <v>0</v>
      </c>
      <c r="J225" s="8">
        <f t="shared" si="13"/>
        <v>0</v>
      </c>
      <c r="K225" s="72">
        <f t="shared" si="14"/>
        <v>-72124.496981891338</v>
      </c>
    </row>
    <row r="226" spans="1:11" x14ac:dyDescent="0.25">
      <c r="A226" s="38">
        <f>Données!A223</f>
        <v>5762</v>
      </c>
      <c r="B226" s="168" t="str">
        <f>Données!B223</f>
        <v>Sergey</v>
      </c>
      <c r="C226" s="8">
        <f>Données!Z223</f>
        <v>140</v>
      </c>
      <c r="D226" s="8">
        <f t="shared" si="12"/>
        <v>140</v>
      </c>
      <c r="E226" s="209">
        <f t="shared" si="15"/>
        <v>0</v>
      </c>
      <c r="F226" s="8">
        <f t="shared" si="15"/>
        <v>0</v>
      </c>
      <c r="G226" s="209">
        <f t="shared" si="15"/>
        <v>0</v>
      </c>
      <c r="H226" s="31">
        <f t="shared" si="15"/>
        <v>0</v>
      </c>
      <c r="I226" s="8">
        <f t="shared" si="15"/>
        <v>0</v>
      </c>
      <c r="J226" s="8">
        <f t="shared" si="13"/>
        <v>0</v>
      </c>
      <c r="K226" s="72">
        <f t="shared" si="14"/>
        <v>-18063.380281690137</v>
      </c>
    </row>
    <row r="227" spans="1:11" x14ac:dyDescent="0.25">
      <c r="A227" s="38">
        <f>Données!A224</f>
        <v>5763</v>
      </c>
      <c r="B227" s="168" t="str">
        <f>Données!B224</f>
        <v>Valeyres-sous-Rances</v>
      </c>
      <c r="C227" s="8">
        <f>Données!Z224</f>
        <v>606</v>
      </c>
      <c r="D227" s="8">
        <f t="shared" si="12"/>
        <v>606</v>
      </c>
      <c r="E227" s="209">
        <f t="shared" si="15"/>
        <v>0</v>
      </c>
      <c r="F227" s="8">
        <f t="shared" si="15"/>
        <v>0</v>
      </c>
      <c r="G227" s="209">
        <f t="shared" si="15"/>
        <v>0</v>
      </c>
      <c r="H227" s="31">
        <f t="shared" si="15"/>
        <v>0</v>
      </c>
      <c r="I227" s="8">
        <f t="shared" si="15"/>
        <v>0</v>
      </c>
      <c r="J227" s="8">
        <f t="shared" si="13"/>
        <v>0</v>
      </c>
      <c r="K227" s="72">
        <f t="shared" si="14"/>
        <v>-78188.631790744446</v>
      </c>
    </row>
    <row r="228" spans="1:11" x14ac:dyDescent="0.25">
      <c r="A228" s="38">
        <f>Données!A225</f>
        <v>5764</v>
      </c>
      <c r="B228" s="168" t="str">
        <f>Données!B225</f>
        <v>Vallorbe</v>
      </c>
      <c r="C228" s="8">
        <f>Données!Z225</f>
        <v>3987</v>
      </c>
      <c r="D228" s="8">
        <f t="shared" si="12"/>
        <v>1000</v>
      </c>
      <c r="E228" s="209">
        <f t="shared" si="15"/>
        <v>2000</v>
      </c>
      <c r="F228" s="8">
        <f t="shared" si="15"/>
        <v>987</v>
      </c>
      <c r="G228" s="209">
        <f t="shared" si="15"/>
        <v>0</v>
      </c>
      <c r="H228" s="31">
        <f t="shared" si="15"/>
        <v>0</v>
      </c>
      <c r="I228" s="8">
        <f t="shared" si="15"/>
        <v>0</v>
      </c>
      <c r="J228" s="8">
        <f t="shared" si="13"/>
        <v>0</v>
      </c>
      <c r="K228" s="72">
        <f t="shared" si="14"/>
        <v>-1360946.6800804827</v>
      </c>
    </row>
    <row r="229" spans="1:11" x14ac:dyDescent="0.25">
      <c r="A229" s="38">
        <f>Données!A226</f>
        <v>5765</v>
      </c>
      <c r="B229" s="168" t="str">
        <f>Données!B226</f>
        <v>Vaulion</v>
      </c>
      <c r="C229" s="8">
        <f>Données!Z226</f>
        <v>483</v>
      </c>
      <c r="D229" s="8">
        <f t="shared" si="12"/>
        <v>483</v>
      </c>
      <c r="E229" s="209">
        <f t="shared" si="15"/>
        <v>0</v>
      </c>
      <c r="F229" s="8">
        <f t="shared" si="15"/>
        <v>0</v>
      </c>
      <c r="G229" s="209">
        <f t="shared" si="15"/>
        <v>0</v>
      </c>
      <c r="H229" s="31">
        <f t="shared" si="15"/>
        <v>0</v>
      </c>
      <c r="I229" s="8">
        <f t="shared" si="15"/>
        <v>0</v>
      </c>
      <c r="J229" s="8">
        <f t="shared" si="13"/>
        <v>0</v>
      </c>
      <c r="K229" s="72">
        <f t="shared" si="14"/>
        <v>-62318.661971830974</v>
      </c>
    </row>
    <row r="230" spans="1:11" x14ac:dyDescent="0.25">
      <c r="A230" s="38">
        <f>Données!A227</f>
        <v>5766</v>
      </c>
      <c r="B230" s="168" t="str">
        <f>Données!B227</f>
        <v>Vuiteboeuf</v>
      </c>
      <c r="C230" s="8">
        <f>Données!Z227</f>
        <v>592</v>
      </c>
      <c r="D230" s="8">
        <f t="shared" si="12"/>
        <v>592</v>
      </c>
      <c r="E230" s="209">
        <f t="shared" si="15"/>
        <v>0</v>
      </c>
      <c r="F230" s="8">
        <f t="shared" si="15"/>
        <v>0</v>
      </c>
      <c r="G230" s="209">
        <f t="shared" si="15"/>
        <v>0</v>
      </c>
      <c r="H230" s="31">
        <f t="shared" si="15"/>
        <v>0</v>
      </c>
      <c r="I230" s="8">
        <f t="shared" si="15"/>
        <v>0</v>
      </c>
      <c r="J230" s="8">
        <f t="shared" si="13"/>
        <v>0</v>
      </c>
      <c r="K230" s="72">
        <f t="shared" si="14"/>
        <v>-76382.293762575442</v>
      </c>
    </row>
    <row r="231" spans="1:11" x14ac:dyDescent="0.25">
      <c r="A231" s="38">
        <f>Données!A228</f>
        <v>5785</v>
      </c>
      <c r="B231" s="168" t="str">
        <f>Données!B228</f>
        <v>Corcelles-le-Jorat</v>
      </c>
      <c r="C231" s="8">
        <f>Données!Z228</f>
        <v>485</v>
      </c>
      <c r="D231" s="8">
        <f t="shared" si="12"/>
        <v>485</v>
      </c>
      <c r="E231" s="209">
        <f t="shared" si="15"/>
        <v>0</v>
      </c>
      <c r="F231" s="8">
        <f t="shared" si="15"/>
        <v>0</v>
      </c>
      <c r="G231" s="209">
        <f t="shared" si="15"/>
        <v>0</v>
      </c>
      <c r="H231" s="31">
        <f t="shared" si="15"/>
        <v>0</v>
      </c>
      <c r="I231" s="8">
        <f t="shared" si="15"/>
        <v>0</v>
      </c>
      <c r="J231" s="8">
        <f t="shared" si="13"/>
        <v>0</v>
      </c>
      <c r="K231" s="72">
        <f t="shared" si="14"/>
        <v>-62576.710261569402</v>
      </c>
    </row>
    <row r="232" spans="1:11" x14ac:dyDescent="0.25">
      <c r="A232" s="38">
        <f>Données!A229</f>
        <v>5790</v>
      </c>
      <c r="B232" s="168" t="str">
        <f>Données!B229</f>
        <v>Maracon</v>
      </c>
      <c r="C232" s="8">
        <f>Données!Z229</f>
        <v>544</v>
      </c>
      <c r="D232" s="8">
        <f t="shared" si="12"/>
        <v>544</v>
      </c>
      <c r="E232" s="209">
        <f t="shared" si="15"/>
        <v>0</v>
      </c>
      <c r="F232" s="8">
        <f t="shared" si="15"/>
        <v>0</v>
      </c>
      <c r="G232" s="209">
        <f t="shared" si="15"/>
        <v>0</v>
      </c>
      <c r="H232" s="31">
        <f t="shared" si="15"/>
        <v>0</v>
      </c>
      <c r="I232" s="8">
        <f t="shared" si="15"/>
        <v>0</v>
      </c>
      <c r="J232" s="8">
        <f t="shared" si="13"/>
        <v>0</v>
      </c>
      <c r="K232" s="72">
        <f t="shared" si="14"/>
        <v>-70189.134808853109</v>
      </c>
    </row>
    <row r="233" spans="1:11" x14ac:dyDescent="0.25">
      <c r="A233" s="38">
        <f>Données!A230</f>
        <v>5792</v>
      </c>
      <c r="B233" s="168" t="str">
        <f>Données!B230</f>
        <v>Montpreveyres</v>
      </c>
      <c r="C233" s="8">
        <f>Données!Z230</f>
        <v>661</v>
      </c>
      <c r="D233" s="8">
        <f t="shared" si="12"/>
        <v>661</v>
      </c>
      <c r="E233" s="209">
        <f t="shared" si="15"/>
        <v>0</v>
      </c>
      <c r="F233" s="8">
        <f t="shared" si="15"/>
        <v>0</v>
      </c>
      <c r="G233" s="209">
        <f t="shared" si="15"/>
        <v>0</v>
      </c>
      <c r="H233" s="31">
        <f t="shared" si="15"/>
        <v>0</v>
      </c>
      <c r="I233" s="8">
        <f t="shared" si="15"/>
        <v>0</v>
      </c>
      <c r="J233" s="8">
        <f t="shared" si="13"/>
        <v>0</v>
      </c>
      <c r="K233" s="72">
        <f t="shared" si="14"/>
        <v>-85284.959758551282</v>
      </c>
    </row>
    <row r="234" spans="1:11" x14ac:dyDescent="0.25">
      <c r="A234" s="38">
        <f>Données!A231</f>
        <v>5798</v>
      </c>
      <c r="B234" s="168" t="str">
        <f>Données!B231</f>
        <v>Ropraz</v>
      </c>
      <c r="C234" s="8">
        <f>Données!Z231</f>
        <v>529</v>
      </c>
      <c r="D234" s="8">
        <f t="shared" si="12"/>
        <v>529</v>
      </c>
      <c r="E234" s="209">
        <f t="shared" si="15"/>
        <v>0</v>
      </c>
      <c r="F234" s="8">
        <f t="shared" si="15"/>
        <v>0</v>
      </c>
      <c r="G234" s="209">
        <f t="shared" si="15"/>
        <v>0</v>
      </c>
      <c r="H234" s="31">
        <f t="shared" si="15"/>
        <v>0</v>
      </c>
      <c r="I234" s="8">
        <f t="shared" si="15"/>
        <v>0</v>
      </c>
      <c r="J234" s="8">
        <f t="shared" si="13"/>
        <v>0</v>
      </c>
      <c r="K234" s="72">
        <f t="shared" si="14"/>
        <v>-68253.772635814879</v>
      </c>
    </row>
    <row r="235" spans="1:11" x14ac:dyDescent="0.25">
      <c r="A235" s="38">
        <f>Données!A232</f>
        <v>5799</v>
      </c>
      <c r="B235" s="168" t="str">
        <f>Données!B232</f>
        <v>Servion</v>
      </c>
      <c r="C235" s="8">
        <f>Données!Z232</f>
        <v>2136</v>
      </c>
      <c r="D235" s="8">
        <f t="shared" si="12"/>
        <v>1000</v>
      </c>
      <c r="E235" s="209">
        <f t="shared" si="15"/>
        <v>1136</v>
      </c>
      <c r="F235" s="8">
        <f t="shared" si="15"/>
        <v>0</v>
      </c>
      <c r="G235" s="209">
        <f t="shared" si="15"/>
        <v>0</v>
      </c>
      <c r="H235" s="31">
        <f t="shared" si="15"/>
        <v>0</v>
      </c>
      <c r="I235" s="8">
        <f t="shared" si="15"/>
        <v>0</v>
      </c>
      <c r="J235" s="8">
        <f t="shared" si="13"/>
        <v>0</v>
      </c>
      <c r="K235" s="72">
        <f t="shared" si="14"/>
        <v>-539424.1448692152</v>
      </c>
    </row>
    <row r="236" spans="1:11" x14ac:dyDescent="0.25">
      <c r="A236" s="38">
        <f>Données!A233</f>
        <v>5803</v>
      </c>
      <c r="B236" s="168" t="str">
        <f>Données!B233</f>
        <v>Vulliens</v>
      </c>
      <c r="C236" s="8">
        <f>Données!Z233</f>
        <v>632</v>
      </c>
      <c r="D236" s="8">
        <f t="shared" ref="D236:D299" si="16">IF($C236&gt;D$5,IF($C236&lt;D$6,$C236-D$5,D$6-D$5),0)</f>
        <v>632</v>
      </c>
      <c r="E236" s="209">
        <f t="shared" si="15"/>
        <v>0</v>
      </c>
      <c r="F236" s="8">
        <f t="shared" si="15"/>
        <v>0</v>
      </c>
      <c r="G236" s="209">
        <f t="shared" si="15"/>
        <v>0</v>
      </c>
      <c r="H236" s="31">
        <f t="shared" si="15"/>
        <v>0</v>
      </c>
      <c r="I236" s="8">
        <f t="shared" si="15"/>
        <v>0</v>
      </c>
      <c r="J236" s="8">
        <f t="shared" si="13"/>
        <v>0</v>
      </c>
      <c r="K236" s="72">
        <f t="shared" si="14"/>
        <v>-81543.259557344049</v>
      </c>
    </row>
    <row r="237" spans="1:11" x14ac:dyDescent="0.25">
      <c r="A237" s="38">
        <f>Données!A234</f>
        <v>5804</v>
      </c>
      <c r="B237" s="168" t="str">
        <f>Données!B234</f>
        <v>Jorat-Menthue</v>
      </c>
      <c r="C237" s="8">
        <f>Données!Z234</f>
        <v>1565</v>
      </c>
      <c r="D237" s="8">
        <f t="shared" si="16"/>
        <v>1000</v>
      </c>
      <c r="E237" s="209">
        <f t="shared" si="15"/>
        <v>565</v>
      </c>
      <c r="F237" s="8">
        <f t="shared" si="15"/>
        <v>0</v>
      </c>
      <c r="G237" s="209">
        <f t="shared" si="15"/>
        <v>0</v>
      </c>
      <c r="H237" s="31">
        <f t="shared" si="15"/>
        <v>0</v>
      </c>
      <c r="I237" s="8">
        <f t="shared" si="15"/>
        <v>0</v>
      </c>
      <c r="J237" s="8">
        <f t="shared" si="13"/>
        <v>0</v>
      </c>
      <c r="K237" s="72">
        <f t="shared" si="14"/>
        <v>-333140.34205231385</v>
      </c>
    </row>
    <row r="238" spans="1:11" x14ac:dyDescent="0.25">
      <c r="A238" s="38">
        <f>Données!A235</f>
        <v>5805</v>
      </c>
      <c r="B238" s="168" t="str">
        <f>Données!B235</f>
        <v>Oron</v>
      </c>
      <c r="C238" s="8">
        <f>Données!Z235</f>
        <v>6119</v>
      </c>
      <c r="D238" s="8">
        <f t="shared" si="16"/>
        <v>1000</v>
      </c>
      <c r="E238" s="209">
        <f t="shared" si="15"/>
        <v>2000</v>
      </c>
      <c r="F238" s="8">
        <f t="shared" si="15"/>
        <v>2000</v>
      </c>
      <c r="G238" s="209">
        <f t="shared" si="15"/>
        <v>1119</v>
      </c>
      <c r="H238" s="31">
        <f t="shared" si="15"/>
        <v>0</v>
      </c>
      <c r="I238" s="8">
        <f t="shared" si="15"/>
        <v>0</v>
      </c>
      <c r="J238" s="8">
        <f t="shared" si="13"/>
        <v>0</v>
      </c>
      <c r="K238" s="72">
        <f t="shared" si="14"/>
        <v>-2576767.0020120721</v>
      </c>
    </row>
    <row r="239" spans="1:11" x14ac:dyDescent="0.25">
      <c r="A239" s="38">
        <f>Données!A236</f>
        <v>5806</v>
      </c>
      <c r="B239" s="168" t="str">
        <f>Données!B236</f>
        <v>Jorat-Mézières</v>
      </c>
      <c r="C239" s="8">
        <f>Données!Z236</f>
        <v>3110</v>
      </c>
      <c r="D239" s="8">
        <f t="shared" si="16"/>
        <v>1000</v>
      </c>
      <c r="E239" s="209">
        <f t="shared" si="15"/>
        <v>2000</v>
      </c>
      <c r="F239" s="8">
        <f t="shared" si="15"/>
        <v>110</v>
      </c>
      <c r="G239" s="209">
        <f t="shared" si="15"/>
        <v>0</v>
      </c>
      <c r="H239" s="31">
        <f t="shared" si="15"/>
        <v>0</v>
      </c>
      <c r="I239" s="8">
        <f t="shared" si="15"/>
        <v>0</v>
      </c>
      <c r="J239" s="8">
        <f t="shared" si="13"/>
        <v>0</v>
      </c>
      <c r="K239" s="72">
        <f t="shared" si="14"/>
        <v>-908329.97987927543</v>
      </c>
    </row>
    <row r="240" spans="1:11" x14ac:dyDescent="0.25">
      <c r="A240" s="38">
        <f>Données!A237</f>
        <v>5812</v>
      </c>
      <c r="B240" s="168" t="str">
        <f>Données!B237</f>
        <v>Champtauroz</v>
      </c>
      <c r="C240" s="8">
        <f>Données!Z237</f>
        <v>169</v>
      </c>
      <c r="D240" s="8">
        <f t="shared" si="16"/>
        <v>169</v>
      </c>
      <c r="E240" s="209">
        <f t="shared" si="15"/>
        <v>0</v>
      </c>
      <c r="F240" s="8">
        <f t="shared" si="15"/>
        <v>0</v>
      </c>
      <c r="G240" s="209">
        <f t="shared" si="15"/>
        <v>0</v>
      </c>
      <c r="H240" s="31">
        <f t="shared" si="15"/>
        <v>0</v>
      </c>
      <c r="I240" s="8">
        <f t="shared" si="15"/>
        <v>0</v>
      </c>
      <c r="J240" s="8">
        <f t="shared" si="13"/>
        <v>0</v>
      </c>
      <c r="K240" s="72">
        <f t="shared" si="14"/>
        <v>-21805.080482897378</v>
      </c>
    </row>
    <row r="241" spans="1:11" x14ac:dyDescent="0.25">
      <c r="A241" s="38">
        <f>Données!A238</f>
        <v>5813</v>
      </c>
      <c r="B241" s="168" t="str">
        <f>Données!B238</f>
        <v>Chevroux</v>
      </c>
      <c r="C241" s="8">
        <f>Données!Z238</f>
        <v>522</v>
      </c>
      <c r="D241" s="8">
        <f t="shared" si="16"/>
        <v>522</v>
      </c>
      <c r="E241" s="209">
        <f t="shared" si="15"/>
        <v>0</v>
      </c>
      <c r="F241" s="8">
        <f t="shared" si="15"/>
        <v>0</v>
      </c>
      <c r="G241" s="209">
        <f t="shared" si="15"/>
        <v>0</v>
      </c>
      <c r="H241" s="31">
        <f t="shared" si="15"/>
        <v>0</v>
      </c>
      <c r="I241" s="8">
        <f t="shared" si="15"/>
        <v>0</v>
      </c>
      <c r="J241" s="8">
        <f t="shared" si="13"/>
        <v>0</v>
      </c>
      <c r="K241" s="72">
        <f t="shared" si="14"/>
        <v>-67350.603621730363</v>
      </c>
    </row>
    <row r="242" spans="1:11" x14ac:dyDescent="0.25">
      <c r="A242" s="38">
        <f>Données!A239</f>
        <v>5816</v>
      </c>
      <c r="B242" s="168" t="str">
        <f>Données!B239</f>
        <v>Corcelles-près-Payerne</v>
      </c>
      <c r="C242" s="8">
        <f>Données!Z239</f>
        <v>2856</v>
      </c>
      <c r="D242" s="8">
        <f t="shared" si="16"/>
        <v>1000</v>
      </c>
      <c r="E242" s="209">
        <f t="shared" si="15"/>
        <v>1856</v>
      </c>
      <c r="F242" s="8">
        <f t="shared" si="15"/>
        <v>0</v>
      </c>
      <c r="G242" s="209">
        <f t="shared" si="15"/>
        <v>0</v>
      </c>
      <c r="H242" s="31">
        <f t="shared" si="15"/>
        <v>0</v>
      </c>
      <c r="I242" s="8">
        <f t="shared" si="15"/>
        <v>0</v>
      </c>
      <c r="J242" s="8">
        <f t="shared" si="13"/>
        <v>0</v>
      </c>
      <c r="K242" s="72">
        <f t="shared" si="14"/>
        <v>-799536.8209255531</v>
      </c>
    </row>
    <row r="243" spans="1:11" x14ac:dyDescent="0.25">
      <c r="A243" s="38">
        <f>Données!A240</f>
        <v>5817</v>
      </c>
      <c r="B243" s="168" t="str">
        <f>Données!B240</f>
        <v>Grandcour</v>
      </c>
      <c r="C243" s="8">
        <f>Données!Z240</f>
        <v>1001</v>
      </c>
      <c r="D243" s="8">
        <f t="shared" si="16"/>
        <v>1000</v>
      </c>
      <c r="E243" s="209">
        <f t="shared" si="15"/>
        <v>1</v>
      </c>
      <c r="F243" s="8">
        <f t="shared" si="15"/>
        <v>0</v>
      </c>
      <c r="G243" s="209">
        <f t="shared" si="15"/>
        <v>0</v>
      </c>
      <c r="H243" s="31">
        <f t="shared" si="15"/>
        <v>0</v>
      </c>
      <c r="I243" s="8">
        <f t="shared" si="15"/>
        <v>0</v>
      </c>
      <c r="J243" s="8">
        <f t="shared" si="13"/>
        <v>0</v>
      </c>
      <c r="K243" s="72">
        <f t="shared" si="14"/>
        <v>-129385.41247484907</v>
      </c>
    </row>
    <row r="244" spans="1:11" x14ac:dyDescent="0.25">
      <c r="A244" s="38">
        <f>Données!A241</f>
        <v>5819</v>
      </c>
      <c r="B244" s="168" t="str">
        <f>Données!B241</f>
        <v>Henniez</v>
      </c>
      <c r="C244" s="8">
        <f>Données!Z241</f>
        <v>414</v>
      </c>
      <c r="D244" s="8">
        <f t="shared" si="16"/>
        <v>414</v>
      </c>
      <c r="E244" s="209">
        <f t="shared" si="15"/>
        <v>0</v>
      </c>
      <c r="F244" s="8">
        <f t="shared" si="15"/>
        <v>0</v>
      </c>
      <c r="G244" s="209">
        <f t="shared" si="15"/>
        <v>0</v>
      </c>
      <c r="H244" s="31">
        <f t="shared" si="15"/>
        <v>0</v>
      </c>
      <c r="I244" s="8">
        <f t="shared" si="15"/>
        <v>0</v>
      </c>
      <c r="J244" s="8">
        <f t="shared" si="13"/>
        <v>0</v>
      </c>
      <c r="K244" s="72">
        <f t="shared" si="14"/>
        <v>-53415.995975855119</v>
      </c>
    </row>
    <row r="245" spans="1:11" x14ac:dyDescent="0.25">
      <c r="A245" s="38">
        <f>Données!A242</f>
        <v>5821</v>
      </c>
      <c r="B245" s="168" t="str">
        <f>Données!B242</f>
        <v>Missy</v>
      </c>
      <c r="C245" s="8">
        <f>Données!Z242</f>
        <v>387</v>
      </c>
      <c r="D245" s="8">
        <f t="shared" si="16"/>
        <v>387</v>
      </c>
      <c r="E245" s="209">
        <f t="shared" si="15"/>
        <v>0</v>
      </c>
      <c r="F245" s="8">
        <f t="shared" si="15"/>
        <v>0</v>
      </c>
      <c r="G245" s="209">
        <f t="shared" si="15"/>
        <v>0</v>
      </c>
      <c r="H245" s="31">
        <f t="shared" si="15"/>
        <v>0</v>
      </c>
      <c r="I245" s="8">
        <f t="shared" si="15"/>
        <v>0</v>
      </c>
      <c r="J245" s="8">
        <f t="shared" si="13"/>
        <v>0</v>
      </c>
      <c r="K245" s="72">
        <f t="shared" si="14"/>
        <v>-49932.344064386307</v>
      </c>
    </row>
    <row r="246" spans="1:11" x14ac:dyDescent="0.25">
      <c r="A246" s="38">
        <f>Données!A243</f>
        <v>5822</v>
      </c>
      <c r="B246" s="168" t="str">
        <f>Données!B243</f>
        <v>Payerne</v>
      </c>
      <c r="C246" s="8">
        <f>Données!Z243</f>
        <v>10372</v>
      </c>
      <c r="D246" s="8">
        <f t="shared" si="16"/>
        <v>1000</v>
      </c>
      <c r="E246" s="209">
        <f t="shared" si="15"/>
        <v>2000</v>
      </c>
      <c r="F246" s="8">
        <f t="shared" si="15"/>
        <v>2000</v>
      </c>
      <c r="G246" s="209">
        <f t="shared" si="15"/>
        <v>4000</v>
      </c>
      <c r="H246" s="31">
        <f t="shared" si="15"/>
        <v>1372</v>
      </c>
      <c r="I246" s="8">
        <f t="shared" si="15"/>
        <v>0</v>
      </c>
      <c r="J246" s="8">
        <f t="shared" si="13"/>
        <v>0</v>
      </c>
      <c r="K246" s="72">
        <f t="shared" si="14"/>
        <v>-5564759.7585513061</v>
      </c>
    </row>
    <row r="247" spans="1:11" x14ac:dyDescent="0.25">
      <c r="A247" s="38">
        <f>Données!A244</f>
        <v>5827</v>
      </c>
      <c r="B247" s="168" t="str">
        <f>Données!B244</f>
        <v>Trey</v>
      </c>
      <c r="C247" s="8">
        <f>Données!Z244</f>
        <v>302</v>
      </c>
      <c r="D247" s="8">
        <f t="shared" si="16"/>
        <v>302</v>
      </c>
      <c r="E247" s="209">
        <f t="shared" si="15"/>
        <v>0</v>
      </c>
      <c r="F247" s="8">
        <f t="shared" si="15"/>
        <v>0</v>
      </c>
      <c r="G247" s="209">
        <f t="shared" si="15"/>
        <v>0</v>
      </c>
      <c r="H247" s="31">
        <f t="shared" si="15"/>
        <v>0</v>
      </c>
      <c r="I247" s="8">
        <f t="shared" si="15"/>
        <v>0</v>
      </c>
      <c r="J247" s="8">
        <f t="shared" si="13"/>
        <v>0</v>
      </c>
      <c r="K247" s="72">
        <f t="shared" si="14"/>
        <v>-38965.291750503013</v>
      </c>
    </row>
    <row r="248" spans="1:11" x14ac:dyDescent="0.25">
      <c r="A248" s="38">
        <f>Données!A245</f>
        <v>5828</v>
      </c>
      <c r="B248" s="168" t="str">
        <f>Données!B245</f>
        <v>Treytorrens (Payerne)</v>
      </c>
      <c r="C248" s="8">
        <f>Données!Z245</f>
        <v>105</v>
      </c>
      <c r="D248" s="8">
        <f t="shared" si="16"/>
        <v>105</v>
      </c>
      <c r="E248" s="209">
        <f t="shared" si="15"/>
        <v>0</v>
      </c>
      <c r="F248" s="8">
        <f t="shared" si="15"/>
        <v>0</v>
      </c>
      <c r="G248" s="209">
        <f t="shared" si="15"/>
        <v>0</v>
      </c>
      <c r="H248" s="31">
        <f t="shared" si="15"/>
        <v>0</v>
      </c>
      <c r="I248" s="8">
        <f t="shared" si="15"/>
        <v>0</v>
      </c>
      <c r="J248" s="8">
        <f t="shared" si="13"/>
        <v>0</v>
      </c>
      <c r="K248" s="72">
        <f t="shared" si="14"/>
        <v>-13547.535211267603</v>
      </c>
    </row>
    <row r="249" spans="1:11" x14ac:dyDescent="0.25">
      <c r="A249" s="38">
        <f>Données!A246</f>
        <v>5830</v>
      </c>
      <c r="B249" s="168" t="str">
        <f>Données!B246</f>
        <v>Villarzel</v>
      </c>
      <c r="C249" s="8">
        <f>Données!Z246</f>
        <v>486</v>
      </c>
      <c r="D249" s="8">
        <f t="shared" si="16"/>
        <v>486</v>
      </c>
      <c r="E249" s="209">
        <f t="shared" si="15"/>
        <v>0</v>
      </c>
      <c r="F249" s="8">
        <f t="shared" si="15"/>
        <v>0</v>
      </c>
      <c r="G249" s="209">
        <f t="shared" si="15"/>
        <v>0</v>
      </c>
      <c r="H249" s="31">
        <f t="shared" si="15"/>
        <v>0</v>
      </c>
      <c r="I249" s="8">
        <f t="shared" si="15"/>
        <v>0</v>
      </c>
      <c r="J249" s="8">
        <f t="shared" si="13"/>
        <v>0</v>
      </c>
      <c r="K249" s="72">
        <f t="shared" si="14"/>
        <v>-62705.73440643862</v>
      </c>
    </row>
    <row r="250" spans="1:11" x14ac:dyDescent="0.25">
      <c r="A250" s="38">
        <f>Données!A247</f>
        <v>5831</v>
      </c>
      <c r="B250" s="168" t="str">
        <f>Données!B247</f>
        <v>Valbroye</v>
      </c>
      <c r="C250" s="8">
        <f>Données!Z247</f>
        <v>3361</v>
      </c>
      <c r="D250" s="8">
        <f t="shared" si="16"/>
        <v>1000</v>
      </c>
      <c r="E250" s="209">
        <f t="shared" si="15"/>
        <v>2000</v>
      </c>
      <c r="F250" s="8">
        <f t="shared" si="15"/>
        <v>361</v>
      </c>
      <c r="G250" s="209">
        <f t="shared" si="15"/>
        <v>0</v>
      </c>
      <c r="H250" s="31">
        <f t="shared" si="15"/>
        <v>0</v>
      </c>
      <c r="I250" s="8">
        <f t="shared" si="15"/>
        <v>0</v>
      </c>
      <c r="J250" s="8">
        <f t="shared" si="13"/>
        <v>0</v>
      </c>
      <c r="K250" s="72">
        <f t="shared" si="14"/>
        <v>-1037870.2213279676</v>
      </c>
    </row>
    <row r="251" spans="1:11" x14ac:dyDescent="0.25">
      <c r="A251" s="38">
        <f>Données!A248</f>
        <v>5841</v>
      </c>
      <c r="B251" s="168" t="str">
        <f>Données!B248</f>
        <v>Château-d'Oex</v>
      </c>
      <c r="C251" s="8">
        <f>Données!Z248</f>
        <v>3568</v>
      </c>
      <c r="D251" s="8">
        <f t="shared" si="16"/>
        <v>1000</v>
      </c>
      <c r="E251" s="209">
        <f t="shared" si="15"/>
        <v>2000</v>
      </c>
      <c r="F251" s="8">
        <f t="shared" si="15"/>
        <v>568</v>
      </c>
      <c r="G251" s="209">
        <f t="shared" si="15"/>
        <v>0</v>
      </c>
      <c r="H251" s="31">
        <f t="shared" si="15"/>
        <v>0</v>
      </c>
      <c r="I251" s="8">
        <f t="shared" si="15"/>
        <v>0</v>
      </c>
      <c r="J251" s="8">
        <f t="shared" si="13"/>
        <v>0</v>
      </c>
      <c r="K251" s="72">
        <f t="shared" si="14"/>
        <v>-1144702.2132796778</v>
      </c>
    </row>
    <row r="252" spans="1:11" x14ac:dyDescent="0.25">
      <c r="A252" s="38">
        <f>Données!A249</f>
        <v>5842</v>
      </c>
      <c r="B252" s="168" t="str">
        <f>Données!B249</f>
        <v>Rossinière</v>
      </c>
      <c r="C252" s="8">
        <f>Données!Z249</f>
        <v>534</v>
      </c>
      <c r="D252" s="8">
        <f t="shared" si="16"/>
        <v>534</v>
      </c>
      <c r="E252" s="209">
        <f t="shared" si="15"/>
        <v>0</v>
      </c>
      <c r="F252" s="8">
        <f t="shared" si="15"/>
        <v>0</v>
      </c>
      <c r="G252" s="209">
        <f t="shared" si="15"/>
        <v>0</v>
      </c>
      <c r="H252" s="31">
        <f t="shared" si="15"/>
        <v>0</v>
      </c>
      <c r="I252" s="8">
        <f t="shared" si="15"/>
        <v>0</v>
      </c>
      <c r="J252" s="8">
        <f t="shared" si="13"/>
        <v>0</v>
      </c>
      <c r="K252" s="72">
        <f t="shared" si="14"/>
        <v>-68898.893360160946</v>
      </c>
    </row>
    <row r="253" spans="1:11" x14ac:dyDescent="0.25">
      <c r="A253" s="38">
        <f>Données!A250</f>
        <v>5843</v>
      </c>
      <c r="B253" s="168" t="str">
        <f>Données!B250</f>
        <v>Rougemont</v>
      </c>
      <c r="C253" s="8">
        <f>Données!Z250</f>
        <v>826</v>
      </c>
      <c r="D253" s="8">
        <f t="shared" si="16"/>
        <v>826</v>
      </c>
      <c r="E253" s="209">
        <f t="shared" si="15"/>
        <v>0</v>
      </c>
      <c r="F253" s="8">
        <f t="shared" si="15"/>
        <v>0</v>
      </c>
      <c r="G253" s="209">
        <f t="shared" si="15"/>
        <v>0</v>
      </c>
      <c r="H253" s="31">
        <f t="shared" si="15"/>
        <v>0</v>
      </c>
      <c r="I253" s="8">
        <f t="shared" si="15"/>
        <v>0</v>
      </c>
      <c r="J253" s="8">
        <f t="shared" si="13"/>
        <v>0</v>
      </c>
      <c r="K253" s="72">
        <f t="shared" si="14"/>
        <v>-106573.9436619718</v>
      </c>
    </row>
    <row r="254" spans="1:11" x14ac:dyDescent="0.25">
      <c r="A254" s="38">
        <f>Données!A251</f>
        <v>5851</v>
      </c>
      <c r="B254" s="168" t="str">
        <f>Données!B251</f>
        <v>Allaman</v>
      </c>
      <c r="C254" s="8">
        <f>Données!Z251</f>
        <v>420</v>
      </c>
      <c r="D254" s="8">
        <f t="shared" si="16"/>
        <v>420</v>
      </c>
      <c r="E254" s="209">
        <f t="shared" si="15"/>
        <v>0</v>
      </c>
      <c r="F254" s="8">
        <f t="shared" si="15"/>
        <v>0</v>
      </c>
      <c r="G254" s="209">
        <f t="shared" si="15"/>
        <v>0</v>
      </c>
      <c r="H254" s="31">
        <f t="shared" si="15"/>
        <v>0</v>
      </c>
      <c r="I254" s="8">
        <f t="shared" si="15"/>
        <v>0</v>
      </c>
      <c r="J254" s="8">
        <f t="shared" si="13"/>
        <v>0</v>
      </c>
      <c r="K254" s="72">
        <f t="shared" si="14"/>
        <v>-54190.140845070411</v>
      </c>
    </row>
    <row r="255" spans="1:11" x14ac:dyDescent="0.25">
      <c r="A255" s="38">
        <f>Données!A252</f>
        <v>5852</v>
      </c>
      <c r="B255" s="168" t="str">
        <f>Données!B252</f>
        <v>Bursinel</v>
      </c>
      <c r="C255" s="8">
        <f>Données!Z252</f>
        <v>503</v>
      </c>
      <c r="D255" s="8">
        <f t="shared" si="16"/>
        <v>503</v>
      </c>
      <c r="E255" s="209">
        <f t="shared" si="15"/>
        <v>0</v>
      </c>
      <c r="F255" s="8">
        <f t="shared" si="15"/>
        <v>0</v>
      </c>
      <c r="G255" s="209">
        <f t="shared" si="15"/>
        <v>0</v>
      </c>
      <c r="H255" s="31">
        <f t="shared" si="15"/>
        <v>0</v>
      </c>
      <c r="I255" s="8">
        <f t="shared" si="15"/>
        <v>0</v>
      </c>
      <c r="J255" s="8">
        <f t="shared" si="13"/>
        <v>0</v>
      </c>
      <c r="K255" s="72">
        <f t="shared" si="14"/>
        <v>-64899.144869215277</v>
      </c>
    </row>
    <row r="256" spans="1:11" x14ac:dyDescent="0.25">
      <c r="A256" s="38">
        <f>Données!A253</f>
        <v>5853</v>
      </c>
      <c r="B256" s="168" t="str">
        <f>Données!B253</f>
        <v>Bursins</v>
      </c>
      <c r="C256" s="8">
        <f>Données!Z253</f>
        <v>766</v>
      </c>
      <c r="D256" s="8">
        <f t="shared" si="16"/>
        <v>766</v>
      </c>
      <c r="E256" s="209">
        <f t="shared" si="15"/>
        <v>0</v>
      </c>
      <c r="F256" s="8">
        <f t="shared" si="15"/>
        <v>0</v>
      </c>
      <c r="G256" s="209">
        <f t="shared" si="15"/>
        <v>0</v>
      </c>
      <c r="H256" s="31">
        <f t="shared" si="15"/>
        <v>0</v>
      </c>
      <c r="I256" s="8">
        <f t="shared" si="15"/>
        <v>0</v>
      </c>
      <c r="J256" s="8">
        <f t="shared" si="13"/>
        <v>0</v>
      </c>
      <c r="K256" s="72">
        <f t="shared" si="14"/>
        <v>-98832.494969818887</v>
      </c>
    </row>
    <row r="257" spans="1:11" x14ac:dyDescent="0.25">
      <c r="A257" s="38">
        <f>Données!A254</f>
        <v>5854</v>
      </c>
      <c r="B257" s="168" t="str">
        <f>Données!B254</f>
        <v>Burtigny</v>
      </c>
      <c r="C257" s="8">
        <f>Données!Z254</f>
        <v>414</v>
      </c>
      <c r="D257" s="8">
        <f t="shared" si="16"/>
        <v>414</v>
      </c>
      <c r="E257" s="209">
        <f t="shared" si="15"/>
        <v>0</v>
      </c>
      <c r="F257" s="8">
        <f t="shared" si="15"/>
        <v>0</v>
      </c>
      <c r="G257" s="209">
        <f t="shared" si="15"/>
        <v>0</v>
      </c>
      <c r="H257" s="31">
        <f t="shared" si="15"/>
        <v>0</v>
      </c>
      <c r="I257" s="8">
        <f t="shared" si="15"/>
        <v>0</v>
      </c>
      <c r="J257" s="8">
        <f t="shared" si="13"/>
        <v>0</v>
      </c>
      <c r="K257" s="72">
        <f t="shared" si="14"/>
        <v>-53415.995975855119</v>
      </c>
    </row>
    <row r="258" spans="1:11" x14ac:dyDescent="0.25">
      <c r="A258" s="38">
        <f>Données!A255</f>
        <v>5855</v>
      </c>
      <c r="B258" s="168" t="str">
        <f>Données!B255</f>
        <v>Dully</v>
      </c>
      <c r="C258" s="8">
        <f>Données!Z255</f>
        <v>631</v>
      </c>
      <c r="D258" s="8">
        <f t="shared" si="16"/>
        <v>631</v>
      </c>
      <c r="E258" s="209">
        <f t="shared" si="15"/>
        <v>0</v>
      </c>
      <c r="F258" s="8">
        <f t="shared" si="15"/>
        <v>0</v>
      </c>
      <c r="G258" s="209">
        <f t="shared" si="15"/>
        <v>0</v>
      </c>
      <c r="H258" s="31">
        <f t="shared" si="15"/>
        <v>0</v>
      </c>
      <c r="I258" s="8">
        <f t="shared" si="15"/>
        <v>0</v>
      </c>
      <c r="J258" s="8">
        <f t="shared" si="13"/>
        <v>0</v>
      </c>
      <c r="K258" s="72">
        <f t="shared" si="14"/>
        <v>-81414.235412474838</v>
      </c>
    </row>
    <row r="259" spans="1:11" x14ac:dyDescent="0.25">
      <c r="A259" s="38">
        <f>Données!A256</f>
        <v>5856</v>
      </c>
      <c r="B259" s="168" t="str">
        <f>Données!B256</f>
        <v>Essertines-sur-Rolle</v>
      </c>
      <c r="C259" s="8">
        <f>Données!Z256</f>
        <v>749</v>
      </c>
      <c r="D259" s="8">
        <f t="shared" si="16"/>
        <v>749</v>
      </c>
      <c r="E259" s="209">
        <f t="shared" si="15"/>
        <v>0</v>
      </c>
      <c r="F259" s="8">
        <f t="shared" si="15"/>
        <v>0</v>
      </c>
      <c r="G259" s="209">
        <f t="shared" si="15"/>
        <v>0</v>
      </c>
      <c r="H259" s="31">
        <f t="shared" si="15"/>
        <v>0</v>
      </c>
      <c r="I259" s="8">
        <f t="shared" si="15"/>
        <v>0</v>
      </c>
      <c r="J259" s="8">
        <f t="shared" si="13"/>
        <v>0</v>
      </c>
      <c r="K259" s="72">
        <f t="shared" si="14"/>
        <v>-96639.084507042237</v>
      </c>
    </row>
    <row r="260" spans="1:11" x14ac:dyDescent="0.25">
      <c r="A260" s="38">
        <f>Données!A257</f>
        <v>5857</v>
      </c>
      <c r="B260" s="168" t="str">
        <f>Données!B257</f>
        <v>Gilly</v>
      </c>
      <c r="C260" s="8">
        <f>Données!Z257</f>
        <v>1446</v>
      </c>
      <c r="D260" s="8">
        <f t="shared" si="16"/>
        <v>1000</v>
      </c>
      <c r="E260" s="209">
        <f t="shared" si="15"/>
        <v>446</v>
      </c>
      <c r="F260" s="8">
        <f t="shared" si="15"/>
        <v>0</v>
      </c>
      <c r="G260" s="209">
        <f t="shared" ref="E260:I308" si="17">IF($C260&gt;G$5,IF($C260&lt;G$6,$C260-G$5,G$6-G$5),0)</f>
        <v>0</v>
      </c>
      <c r="H260" s="31">
        <f t="shared" si="17"/>
        <v>0</v>
      </c>
      <c r="I260" s="8">
        <f t="shared" si="17"/>
        <v>0</v>
      </c>
      <c r="J260" s="8">
        <f t="shared" si="13"/>
        <v>0</v>
      </c>
      <c r="K260" s="72">
        <f t="shared" si="14"/>
        <v>-290149.49698189128</v>
      </c>
    </row>
    <row r="261" spans="1:11" x14ac:dyDescent="0.25">
      <c r="A261" s="38">
        <f>Données!A258</f>
        <v>5858</v>
      </c>
      <c r="B261" s="168" t="str">
        <f>Données!B258</f>
        <v>Luins</v>
      </c>
      <c r="C261" s="8">
        <f>Données!Z258</f>
        <v>618</v>
      </c>
      <c r="D261" s="8">
        <f t="shared" si="16"/>
        <v>618</v>
      </c>
      <c r="E261" s="209">
        <f t="shared" si="17"/>
        <v>0</v>
      </c>
      <c r="F261" s="8">
        <f t="shared" si="17"/>
        <v>0</v>
      </c>
      <c r="G261" s="209">
        <f t="shared" si="17"/>
        <v>0</v>
      </c>
      <c r="H261" s="31">
        <f t="shared" si="17"/>
        <v>0</v>
      </c>
      <c r="I261" s="8">
        <f t="shared" si="17"/>
        <v>0</v>
      </c>
      <c r="J261" s="8">
        <f t="shared" si="13"/>
        <v>0</v>
      </c>
      <c r="K261" s="72">
        <f t="shared" si="14"/>
        <v>-79736.92152917503</v>
      </c>
    </row>
    <row r="262" spans="1:11" x14ac:dyDescent="0.25">
      <c r="A262" s="38">
        <f>Données!A259</f>
        <v>5859</v>
      </c>
      <c r="B262" s="168" t="str">
        <f>Données!B259</f>
        <v>Mont-sur-Rolle</v>
      </c>
      <c r="C262" s="8">
        <f>Données!Z259</f>
        <v>2759</v>
      </c>
      <c r="D262" s="8">
        <f t="shared" si="16"/>
        <v>1000</v>
      </c>
      <c r="E262" s="209">
        <f t="shared" si="17"/>
        <v>1759</v>
      </c>
      <c r="F262" s="8">
        <f t="shared" si="17"/>
        <v>0</v>
      </c>
      <c r="G262" s="209">
        <f t="shared" si="17"/>
        <v>0</v>
      </c>
      <c r="H262" s="31">
        <f t="shared" si="17"/>
        <v>0</v>
      </c>
      <c r="I262" s="8">
        <f t="shared" si="17"/>
        <v>0</v>
      </c>
      <c r="J262" s="8">
        <f t="shared" si="13"/>
        <v>0</v>
      </c>
      <c r="K262" s="72">
        <f t="shared" si="14"/>
        <v>-764493.86317907437</v>
      </c>
    </row>
    <row r="263" spans="1:11" x14ac:dyDescent="0.25">
      <c r="A263" s="38">
        <f>Données!A260</f>
        <v>5860</v>
      </c>
      <c r="B263" s="168" t="str">
        <f>Données!B260</f>
        <v>Perroy</v>
      </c>
      <c r="C263" s="8">
        <f>Données!Z260</f>
        <v>1542</v>
      </c>
      <c r="D263" s="8">
        <f t="shared" si="16"/>
        <v>1000</v>
      </c>
      <c r="E263" s="209">
        <f t="shared" si="17"/>
        <v>542</v>
      </c>
      <c r="F263" s="8">
        <f t="shared" si="17"/>
        <v>0</v>
      </c>
      <c r="G263" s="209">
        <f t="shared" si="17"/>
        <v>0</v>
      </c>
      <c r="H263" s="31">
        <f t="shared" si="17"/>
        <v>0</v>
      </c>
      <c r="I263" s="8">
        <f t="shared" si="17"/>
        <v>0</v>
      </c>
      <c r="J263" s="8">
        <f t="shared" si="13"/>
        <v>0</v>
      </c>
      <c r="K263" s="72">
        <f t="shared" si="14"/>
        <v>-324831.18712273636</v>
      </c>
    </row>
    <row r="264" spans="1:11" x14ac:dyDescent="0.25">
      <c r="A264" s="38">
        <f>Données!A261</f>
        <v>5861</v>
      </c>
      <c r="B264" s="168" t="str">
        <f>Données!B261</f>
        <v>Rolle</v>
      </c>
      <c r="C264" s="8">
        <f>Données!Z261</f>
        <v>6321</v>
      </c>
      <c r="D264" s="8">
        <f t="shared" si="16"/>
        <v>1000</v>
      </c>
      <c r="E264" s="209">
        <f t="shared" si="17"/>
        <v>2000</v>
      </c>
      <c r="F264" s="8">
        <f t="shared" si="17"/>
        <v>2000</v>
      </c>
      <c r="G264" s="209">
        <f t="shared" si="17"/>
        <v>1321</v>
      </c>
      <c r="H264" s="31">
        <f t="shared" si="17"/>
        <v>0</v>
      </c>
      <c r="I264" s="8">
        <f t="shared" si="17"/>
        <v>0</v>
      </c>
      <c r="J264" s="8">
        <f t="shared" si="13"/>
        <v>0</v>
      </c>
      <c r="K264" s="72">
        <f t="shared" si="14"/>
        <v>-2701868.8128772629</v>
      </c>
    </row>
    <row r="265" spans="1:11" x14ac:dyDescent="0.25">
      <c r="A265" s="38">
        <f>Données!A262</f>
        <v>5862</v>
      </c>
      <c r="B265" s="168" t="str">
        <f>Données!B262</f>
        <v>Tartegnin</v>
      </c>
      <c r="C265" s="8">
        <f>Données!Z262</f>
        <v>249</v>
      </c>
      <c r="D265" s="8">
        <f t="shared" si="16"/>
        <v>249</v>
      </c>
      <c r="E265" s="209">
        <f t="shared" si="17"/>
        <v>0</v>
      </c>
      <c r="F265" s="8">
        <f t="shared" si="17"/>
        <v>0</v>
      </c>
      <c r="G265" s="209">
        <f t="shared" si="17"/>
        <v>0</v>
      </c>
      <c r="H265" s="31">
        <f t="shared" si="17"/>
        <v>0</v>
      </c>
      <c r="I265" s="8">
        <f t="shared" si="17"/>
        <v>0</v>
      </c>
      <c r="J265" s="8">
        <f t="shared" si="13"/>
        <v>0</v>
      </c>
      <c r="K265" s="72">
        <f t="shared" si="14"/>
        <v>-32127.012072434602</v>
      </c>
    </row>
    <row r="266" spans="1:11" x14ac:dyDescent="0.25">
      <c r="A266" s="38">
        <f>Données!A263</f>
        <v>5863</v>
      </c>
      <c r="B266" s="168" t="str">
        <f>Données!B263</f>
        <v>Vinzel</v>
      </c>
      <c r="C266" s="8">
        <f>Données!Z263</f>
        <v>378</v>
      </c>
      <c r="D266" s="8">
        <f t="shared" si="16"/>
        <v>378</v>
      </c>
      <c r="E266" s="209">
        <f t="shared" si="17"/>
        <v>0</v>
      </c>
      <c r="F266" s="8">
        <f t="shared" si="17"/>
        <v>0</v>
      </c>
      <c r="G266" s="209">
        <f t="shared" si="17"/>
        <v>0</v>
      </c>
      <c r="H266" s="31">
        <f t="shared" si="17"/>
        <v>0</v>
      </c>
      <c r="I266" s="8">
        <f t="shared" si="17"/>
        <v>0</v>
      </c>
      <c r="J266" s="8">
        <f t="shared" ref="J266:J308" si="18">IF(C266&gt;$J$5,C266-$J$5,0)</f>
        <v>0</v>
      </c>
      <c r="K266" s="72">
        <f t="shared" ref="K266:K308" si="19">-((D266*D$8)+(E266*E$8)+(F266*F$8)+(G266*G$8)+(H266*H$8)+(I266*I$8)+(J266*J$8))</f>
        <v>-48771.126760563369</v>
      </c>
    </row>
    <row r="267" spans="1:11" x14ac:dyDescent="0.25">
      <c r="A267" s="38">
        <f>Données!A264</f>
        <v>5871</v>
      </c>
      <c r="B267" s="168" t="str">
        <f>Données!B264</f>
        <v>L'Abbaye</v>
      </c>
      <c r="C267" s="8">
        <f>Données!Z264</f>
        <v>1534</v>
      </c>
      <c r="D267" s="8">
        <f t="shared" si="16"/>
        <v>1000</v>
      </c>
      <c r="E267" s="209">
        <f t="shared" si="17"/>
        <v>534</v>
      </c>
      <c r="F267" s="8">
        <f t="shared" si="17"/>
        <v>0</v>
      </c>
      <c r="G267" s="209">
        <f t="shared" si="17"/>
        <v>0</v>
      </c>
      <c r="H267" s="31">
        <f t="shared" si="17"/>
        <v>0</v>
      </c>
      <c r="I267" s="8">
        <f t="shared" si="17"/>
        <v>0</v>
      </c>
      <c r="J267" s="8">
        <f t="shared" si="18"/>
        <v>0</v>
      </c>
      <c r="K267" s="72">
        <f t="shared" si="19"/>
        <v>-321941.04627766594</v>
      </c>
    </row>
    <row r="268" spans="1:11" x14ac:dyDescent="0.25">
      <c r="A268" s="38">
        <f>Données!A265</f>
        <v>5872</v>
      </c>
      <c r="B268" s="168" t="str">
        <f>Données!B265</f>
        <v>Le Chenit</v>
      </c>
      <c r="C268" s="8">
        <f>Données!Z265</f>
        <v>4613</v>
      </c>
      <c r="D268" s="8">
        <f t="shared" si="16"/>
        <v>1000</v>
      </c>
      <c r="E268" s="209">
        <f t="shared" si="17"/>
        <v>2000</v>
      </c>
      <c r="F268" s="8">
        <f t="shared" si="17"/>
        <v>1613</v>
      </c>
      <c r="G268" s="209">
        <f t="shared" si="17"/>
        <v>0</v>
      </c>
      <c r="H268" s="31">
        <f t="shared" si="17"/>
        <v>0</v>
      </c>
      <c r="I268" s="8">
        <f t="shared" si="17"/>
        <v>0</v>
      </c>
      <c r="J268" s="8">
        <f t="shared" si="18"/>
        <v>0</v>
      </c>
      <c r="K268" s="72">
        <f t="shared" si="19"/>
        <v>-1684023.1388329975</v>
      </c>
    </row>
    <row r="269" spans="1:11" x14ac:dyDescent="0.25">
      <c r="A269" s="38">
        <f>Données!A266</f>
        <v>5873</v>
      </c>
      <c r="B269" s="168" t="str">
        <f>Données!B266</f>
        <v>Le Lieu</v>
      </c>
      <c r="C269" s="8">
        <f>Données!Z266</f>
        <v>886</v>
      </c>
      <c r="D269" s="8">
        <f t="shared" si="16"/>
        <v>886</v>
      </c>
      <c r="E269" s="209">
        <f t="shared" si="17"/>
        <v>0</v>
      </c>
      <c r="F269" s="8">
        <f t="shared" si="17"/>
        <v>0</v>
      </c>
      <c r="G269" s="209">
        <f t="shared" si="17"/>
        <v>0</v>
      </c>
      <c r="H269" s="31">
        <f t="shared" si="17"/>
        <v>0</v>
      </c>
      <c r="I269" s="8">
        <f t="shared" si="17"/>
        <v>0</v>
      </c>
      <c r="J269" s="8">
        <f t="shared" si="18"/>
        <v>0</v>
      </c>
      <c r="K269" s="72">
        <f t="shared" si="19"/>
        <v>-114315.39235412472</v>
      </c>
    </row>
    <row r="270" spans="1:11" x14ac:dyDescent="0.25">
      <c r="A270" s="38">
        <f>Données!A267</f>
        <v>5882</v>
      </c>
      <c r="B270" s="168" t="str">
        <f>Données!B267</f>
        <v>Chardonne</v>
      </c>
      <c r="C270" s="8">
        <f>Données!Z267</f>
        <v>3192</v>
      </c>
      <c r="D270" s="8">
        <f t="shared" si="16"/>
        <v>1000</v>
      </c>
      <c r="E270" s="209">
        <f t="shared" si="17"/>
        <v>2000</v>
      </c>
      <c r="F270" s="8">
        <f t="shared" si="17"/>
        <v>192</v>
      </c>
      <c r="G270" s="209">
        <f t="shared" si="17"/>
        <v>0</v>
      </c>
      <c r="H270" s="31">
        <f t="shared" si="17"/>
        <v>0</v>
      </c>
      <c r="I270" s="8">
        <f t="shared" si="17"/>
        <v>0</v>
      </c>
      <c r="J270" s="8">
        <f t="shared" si="18"/>
        <v>0</v>
      </c>
      <c r="K270" s="72">
        <f t="shared" si="19"/>
        <v>-950649.89939637808</v>
      </c>
    </row>
    <row r="271" spans="1:11" x14ac:dyDescent="0.25">
      <c r="A271" s="38">
        <f>Données!A268</f>
        <v>5883</v>
      </c>
      <c r="B271" s="168" t="str">
        <f>Données!B268</f>
        <v>Corseaux</v>
      </c>
      <c r="C271" s="8">
        <f>Données!Z268</f>
        <v>2307</v>
      </c>
      <c r="D271" s="8">
        <f t="shared" si="16"/>
        <v>1000</v>
      </c>
      <c r="E271" s="209">
        <f t="shared" si="17"/>
        <v>1307</v>
      </c>
      <c r="F271" s="8">
        <f t="shared" si="17"/>
        <v>0</v>
      </c>
      <c r="G271" s="209">
        <f t="shared" si="17"/>
        <v>0</v>
      </c>
      <c r="H271" s="31">
        <f t="shared" si="17"/>
        <v>0</v>
      </c>
      <c r="I271" s="8">
        <f t="shared" si="17"/>
        <v>0</v>
      </c>
      <c r="J271" s="8">
        <f t="shared" si="18"/>
        <v>0</v>
      </c>
      <c r="K271" s="72">
        <f t="shared" si="19"/>
        <v>-601200.90543259541</v>
      </c>
    </row>
    <row r="272" spans="1:11" x14ac:dyDescent="0.25">
      <c r="A272" s="38">
        <f>Données!A269</f>
        <v>5884</v>
      </c>
      <c r="B272" s="168" t="str">
        <f>Données!B269</f>
        <v>Corsier-sur-Vevey</v>
      </c>
      <c r="C272" s="8">
        <f>Données!Z269</f>
        <v>3366</v>
      </c>
      <c r="D272" s="8">
        <f t="shared" si="16"/>
        <v>1000</v>
      </c>
      <c r="E272" s="209">
        <f t="shared" si="17"/>
        <v>2000</v>
      </c>
      <c r="F272" s="8">
        <f t="shared" si="17"/>
        <v>366</v>
      </c>
      <c r="G272" s="209">
        <f t="shared" si="17"/>
        <v>0</v>
      </c>
      <c r="H272" s="31">
        <f t="shared" si="17"/>
        <v>0</v>
      </c>
      <c r="I272" s="8">
        <f t="shared" si="17"/>
        <v>0</v>
      </c>
      <c r="J272" s="8">
        <f t="shared" si="18"/>
        <v>0</v>
      </c>
      <c r="K272" s="72">
        <f t="shared" si="19"/>
        <v>-1040450.7042253519</v>
      </c>
    </row>
    <row r="273" spans="1:11" x14ac:dyDescent="0.25">
      <c r="A273" s="38">
        <f>Données!A270</f>
        <v>5885</v>
      </c>
      <c r="B273" s="168" t="str">
        <f>Données!B270</f>
        <v>Jongny</v>
      </c>
      <c r="C273" s="8">
        <f>Données!Z270</f>
        <v>1842</v>
      </c>
      <c r="D273" s="8">
        <f t="shared" si="16"/>
        <v>1000</v>
      </c>
      <c r="E273" s="209">
        <f t="shared" si="17"/>
        <v>842</v>
      </c>
      <c r="F273" s="8">
        <f t="shared" si="17"/>
        <v>0</v>
      </c>
      <c r="G273" s="209">
        <f t="shared" si="17"/>
        <v>0</v>
      </c>
      <c r="H273" s="31">
        <f t="shared" si="17"/>
        <v>0</v>
      </c>
      <c r="I273" s="8">
        <f t="shared" si="17"/>
        <v>0</v>
      </c>
      <c r="J273" s="8">
        <f t="shared" si="18"/>
        <v>0</v>
      </c>
      <c r="K273" s="72">
        <f t="shared" si="19"/>
        <v>-433211.4688128772</v>
      </c>
    </row>
    <row r="274" spans="1:11" x14ac:dyDescent="0.25">
      <c r="A274" s="38">
        <f>Données!A271</f>
        <v>5886</v>
      </c>
      <c r="B274" s="168" t="str">
        <f>Données!B271</f>
        <v>Montreux</v>
      </c>
      <c r="C274" s="8">
        <f>Données!Z271</f>
        <v>26081</v>
      </c>
      <c r="D274" s="8">
        <f t="shared" si="16"/>
        <v>1000</v>
      </c>
      <c r="E274" s="209">
        <f t="shared" si="17"/>
        <v>2000</v>
      </c>
      <c r="F274" s="8">
        <f t="shared" si="17"/>
        <v>2000</v>
      </c>
      <c r="G274" s="209">
        <f t="shared" si="17"/>
        <v>4000</v>
      </c>
      <c r="H274" s="31">
        <f t="shared" si="17"/>
        <v>3000</v>
      </c>
      <c r="I274" s="8">
        <f t="shared" si="17"/>
        <v>3000</v>
      </c>
      <c r="J274" s="8">
        <f t="shared" si="18"/>
        <v>11081</v>
      </c>
      <c r="K274" s="72">
        <f t="shared" si="19"/>
        <v>-22099307.142857138</v>
      </c>
    </row>
    <row r="275" spans="1:11" x14ac:dyDescent="0.25">
      <c r="A275" s="38">
        <f>Données!A272</f>
        <v>5889</v>
      </c>
      <c r="B275" s="168" t="str">
        <f>Données!B272</f>
        <v>La Tour-de-Peilz</v>
      </c>
      <c r="C275" s="8">
        <f>Données!Z272</f>
        <v>12400</v>
      </c>
      <c r="D275" s="8">
        <f t="shared" si="16"/>
        <v>1000</v>
      </c>
      <c r="E275" s="209">
        <f t="shared" si="17"/>
        <v>2000</v>
      </c>
      <c r="F275" s="8">
        <f t="shared" si="17"/>
        <v>2000</v>
      </c>
      <c r="G275" s="209">
        <f t="shared" si="17"/>
        <v>4000</v>
      </c>
      <c r="H275" s="31">
        <f t="shared" si="17"/>
        <v>3000</v>
      </c>
      <c r="I275" s="8">
        <f t="shared" si="17"/>
        <v>400</v>
      </c>
      <c r="J275" s="8">
        <f t="shared" si="18"/>
        <v>0</v>
      </c>
      <c r="K275" s="72">
        <f t="shared" si="19"/>
        <v>-7405985.9154929565</v>
      </c>
    </row>
    <row r="276" spans="1:11" x14ac:dyDescent="0.25">
      <c r="A276" s="38">
        <f>Données!A273</f>
        <v>5890</v>
      </c>
      <c r="B276" s="168" t="str">
        <f>Données!B273</f>
        <v>Vevey</v>
      </c>
      <c r="C276" s="8">
        <f>Données!Z273</f>
        <v>19743</v>
      </c>
      <c r="D276" s="8">
        <f t="shared" si="16"/>
        <v>1000</v>
      </c>
      <c r="E276" s="209">
        <f t="shared" si="17"/>
        <v>2000</v>
      </c>
      <c r="F276" s="8">
        <f t="shared" si="17"/>
        <v>2000</v>
      </c>
      <c r="G276" s="209">
        <f t="shared" si="17"/>
        <v>4000</v>
      </c>
      <c r="H276" s="31">
        <f t="shared" si="17"/>
        <v>3000</v>
      </c>
      <c r="I276" s="8">
        <f t="shared" si="17"/>
        <v>3000</v>
      </c>
      <c r="J276" s="8">
        <f t="shared" si="18"/>
        <v>4743</v>
      </c>
      <c r="K276" s="72">
        <f t="shared" si="19"/>
        <v>-15230164.889336012</v>
      </c>
    </row>
    <row r="277" spans="1:11" x14ac:dyDescent="0.25">
      <c r="A277" s="38">
        <f>Données!A274</f>
        <v>5891</v>
      </c>
      <c r="B277" s="168" t="str">
        <f>Données!B274</f>
        <v>Veytaux</v>
      </c>
      <c r="C277" s="8">
        <f>Données!Z274</f>
        <v>970</v>
      </c>
      <c r="D277" s="8">
        <f t="shared" si="16"/>
        <v>970</v>
      </c>
      <c r="E277" s="209">
        <f t="shared" si="17"/>
        <v>0</v>
      </c>
      <c r="F277" s="8">
        <f t="shared" si="17"/>
        <v>0</v>
      </c>
      <c r="G277" s="209">
        <f t="shared" si="17"/>
        <v>0</v>
      </c>
      <c r="H277" s="31">
        <f t="shared" si="17"/>
        <v>0</v>
      </c>
      <c r="I277" s="8">
        <f t="shared" si="17"/>
        <v>0</v>
      </c>
      <c r="J277" s="8">
        <f t="shared" si="18"/>
        <v>0</v>
      </c>
      <c r="K277" s="72">
        <f t="shared" si="19"/>
        <v>-125153.4205231388</v>
      </c>
    </row>
    <row r="278" spans="1:11" x14ac:dyDescent="0.25">
      <c r="A278" s="38">
        <f>Données!A275</f>
        <v>5892</v>
      </c>
      <c r="B278" s="168" t="str">
        <f>Données!B275</f>
        <v>Blonay-Saint-Légier</v>
      </c>
      <c r="C278" s="8">
        <f>Données!Z275</f>
        <v>12123</v>
      </c>
      <c r="D278" s="8">
        <f t="shared" si="16"/>
        <v>1000</v>
      </c>
      <c r="E278" s="209">
        <f t="shared" si="17"/>
        <v>2000</v>
      </c>
      <c r="F278" s="8">
        <f t="shared" si="17"/>
        <v>2000</v>
      </c>
      <c r="G278" s="209">
        <f t="shared" si="17"/>
        <v>4000</v>
      </c>
      <c r="H278" s="31">
        <f t="shared" si="17"/>
        <v>3000</v>
      </c>
      <c r="I278" s="8">
        <f t="shared" si="17"/>
        <v>123</v>
      </c>
      <c r="J278" s="8">
        <f t="shared" si="18"/>
        <v>0</v>
      </c>
      <c r="K278" s="72">
        <f t="shared" si="19"/>
        <v>-7120068.4104627753</v>
      </c>
    </row>
    <row r="279" spans="1:11" x14ac:dyDescent="0.25">
      <c r="A279" s="38">
        <f>Données!A276</f>
        <v>5902</v>
      </c>
      <c r="B279" s="168" t="str">
        <f>Données!B276</f>
        <v>Belmont-sur-Yverdon</v>
      </c>
      <c r="C279" s="8">
        <f>Données!Z276</f>
        <v>434</v>
      </c>
      <c r="D279" s="8">
        <f t="shared" si="16"/>
        <v>434</v>
      </c>
      <c r="E279" s="209">
        <f t="shared" si="17"/>
        <v>0</v>
      </c>
      <c r="F279" s="8">
        <f t="shared" si="17"/>
        <v>0</v>
      </c>
      <c r="G279" s="209">
        <f t="shared" si="17"/>
        <v>0</v>
      </c>
      <c r="H279" s="31">
        <f t="shared" si="17"/>
        <v>0</v>
      </c>
      <c r="I279" s="8">
        <f t="shared" si="17"/>
        <v>0</v>
      </c>
      <c r="J279" s="8">
        <f t="shared" si="18"/>
        <v>0</v>
      </c>
      <c r="K279" s="72">
        <f t="shared" si="19"/>
        <v>-55996.478873239423</v>
      </c>
    </row>
    <row r="280" spans="1:11" x14ac:dyDescent="0.25">
      <c r="A280" s="38">
        <f>Données!A277</f>
        <v>5903</v>
      </c>
      <c r="B280" s="168" t="str">
        <f>Données!B277</f>
        <v>Bioley-Magnoux</v>
      </c>
      <c r="C280" s="8">
        <f>Données!Z277</f>
        <v>247</v>
      </c>
      <c r="D280" s="8">
        <f t="shared" si="16"/>
        <v>247</v>
      </c>
      <c r="E280" s="209">
        <f t="shared" si="17"/>
        <v>0</v>
      </c>
      <c r="F280" s="8">
        <f t="shared" si="17"/>
        <v>0</v>
      </c>
      <c r="G280" s="209">
        <f t="shared" si="17"/>
        <v>0</v>
      </c>
      <c r="H280" s="31">
        <f t="shared" si="17"/>
        <v>0</v>
      </c>
      <c r="I280" s="8">
        <f t="shared" si="17"/>
        <v>0</v>
      </c>
      <c r="J280" s="8">
        <f t="shared" si="18"/>
        <v>0</v>
      </c>
      <c r="K280" s="72">
        <f t="shared" si="19"/>
        <v>-31868.96378269617</v>
      </c>
    </row>
    <row r="281" spans="1:11" x14ac:dyDescent="0.25">
      <c r="A281" s="38">
        <f>Données!A278</f>
        <v>5904</v>
      </c>
      <c r="B281" s="168" t="str">
        <f>Données!B278</f>
        <v>Chamblon</v>
      </c>
      <c r="C281" s="8">
        <f>Données!Z278</f>
        <v>567</v>
      </c>
      <c r="D281" s="8">
        <f t="shared" si="16"/>
        <v>567</v>
      </c>
      <c r="E281" s="209">
        <f t="shared" si="17"/>
        <v>0</v>
      </c>
      <c r="F281" s="8">
        <f t="shared" si="17"/>
        <v>0</v>
      </c>
      <c r="G281" s="209">
        <f t="shared" si="17"/>
        <v>0</v>
      </c>
      <c r="H281" s="31">
        <f t="shared" si="17"/>
        <v>0</v>
      </c>
      <c r="I281" s="8">
        <f t="shared" si="17"/>
        <v>0</v>
      </c>
      <c r="J281" s="8">
        <f t="shared" si="18"/>
        <v>0</v>
      </c>
      <c r="K281" s="72">
        <f t="shared" si="19"/>
        <v>-73156.69014084505</v>
      </c>
    </row>
    <row r="282" spans="1:11" x14ac:dyDescent="0.25">
      <c r="A282" s="38">
        <f>Données!A279</f>
        <v>5905</v>
      </c>
      <c r="B282" s="168" t="str">
        <f>Données!B279</f>
        <v>Champvent</v>
      </c>
      <c r="C282" s="8">
        <f>Données!Z279</f>
        <v>734</v>
      </c>
      <c r="D282" s="8">
        <f t="shared" si="16"/>
        <v>734</v>
      </c>
      <c r="E282" s="209">
        <f t="shared" si="17"/>
        <v>0</v>
      </c>
      <c r="F282" s="8">
        <f t="shared" si="17"/>
        <v>0</v>
      </c>
      <c r="G282" s="209">
        <f t="shared" si="17"/>
        <v>0</v>
      </c>
      <c r="H282" s="31">
        <f t="shared" si="17"/>
        <v>0</v>
      </c>
      <c r="I282" s="8">
        <f t="shared" si="17"/>
        <v>0</v>
      </c>
      <c r="J282" s="8">
        <f t="shared" si="18"/>
        <v>0</v>
      </c>
      <c r="K282" s="72">
        <f t="shared" si="19"/>
        <v>-94703.722334004007</v>
      </c>
    </row>
    <row r="283" spans="1:11" x14ac:dyDescent="0.25">
      <c r="A283" s="38">
        <f>Données!A280</f>
        <v>5907</v>
      </c>
      <c r="B283" s="168" t="str">
        <f>Données!B280</f>
        <v>Chavannes-le-Chêne</v>
      </c>
      <c r="C283" s="8">
        <f>Données!Z280</f>
        <v>316</v>
      </c>
      <c r="D283" s="8">
        <f t="shared" si="16"/>
        <v>316</v>
      </c>
      <c r="E283" s="209">
        <f t="shared" si="17"/>
        <v>0</v>
      </c>
      <c r="F283" s="8">
        <f t="shared" si="17"/>
        <v>0</v>
      </c>
      <c r="G283" s="209">
        <f t="shared" si="17"/>
        <v>0</v>
      </c>
      <c r="H283" s="31">
        <f t="shared" si="17"/>
        <v>0</v>
      </c>
      <c r="I283" s="8">
        <f t="shared" si="17"/>
        <v>0</v>
      </c>
      <c r="J283" s="8">
        <f t="shared" si="18"/>
        <v>0</v>
      </c>
      <c r="K283" s="72">
        <f t="shared" si="19"/>
        <v>-40771.629778672024</v>
      </c>
    </row>
    <row r="284" spans="1:11" x14ac:dyDescent="0.25">
      <c r="A284" s="38">
        <f>Données!A281</f>
        <v>5908</v>
      </c>
      <c r="B284" s="168" t="str">
        <f>Données!B281</f>
        <v>Chêne-Pâquier</v>
      </c>
      <c r="C284" s="8">
        <f>Données!Z281</f>
        <v>163</v>
      </c>
      <c r="D284" s="8">
        <f t="shared" si="16"/>
        <v>163</v>
      </c>
      <c r="E284" s="209">
        <f t="shared" si="17"/>
        <v>0</v>
      </c>
      <c r="F284" s="8">
        <f t="shared" si="17"/>
        <v>0</v>
      </c>
      <c r="G284" s="209">
        <f t="shared" si="17"/>
        <v>0</v>
      </c>
      <c r="H284" s="31">
        <f t="shared" si="17"/>
        <v>0</v>
      </c>
      <c r="I284" s="8">
        <f t="shared" si="17"/>
        <v>0</v>
      </c>
      <c r="J284" s="8">
        <f t="shared" si="18"/>
        <v>0</v>
      </c>
      <c r="K284" s="72">
        <f t="shared" si="19"/>
        <v>-21030.935613682086</v>
      </c>
    </row>
    <row r="285" spans="1:11" x14ac:dyDescent="0.25">
      <c r="A285" s="38">
        <f>Données!A282</f>
        <v>5909</v>
      </c>
      <c r="B285" s="168" t="str">
        <f>Données!B282</f>
        <v>Cheseaux-Noréaz</v>
      </c>
      <c r="C285" s="8">
        <f>Données!Z282</f>
        <v>734</v>
      </c>
      <c r="D285" s="8">
        <f t="shared" si="16"/>
        <v>734</v>
      </c>
      <c r="E285" s="209">
        <f t="shared" si="17"/>
        <v>0</v>
      </c>
      <c r="F285" s="8">
        <f t="shared" si="17"/>
        <v>0</v>
      </c>
      <c r="G285" s="209">
        <f t="shared" si="17"/>
        <v>0</v>
      </c>
      <c r="H285" s="31">
        <f t="shared" si="17"/>
        <v>0</v>
      </c>
      <c r="I285" s="8">
        <f t="shared" si="17"/>
        <v>0</v>
      </c>
      <c r="J285" s="8">
        <f t="shared" si="18"/>
        <v>0</v>
      </c>
      <c r="K285" s="72">
        <f t="shared" si="19"/>
        <v>-94703.722334004007</v>
      </c>
    </row>
    <row r="286" spans="1:11" x14ac:dyDescent="0.25">
      <c r="A286" s="38">
        <f>Données!A283</f>
        <v>5910</v>
      </c>
      <c r="B286" s="168" t="str">
        <f>Données!B283</f>
        <v>Cronay</v>
      </c>
      <c r="C286" s="8">
        <f>Données!Z283</f>
        <v>410</v>
      </c>
      <c r="D286" s="8">
        <f t="shared" si="16"/>
        <v>410</v>
      </c>
      <c r="E286" s="209">
        <f t="shared" si="17"/>
        <v>0</v>
      </c>
      <c r="F286" s="8">
        <f t="shared" si="17"/>
        <v>0</v>
      </c>
      <c r="G286" s="209">
        <f t="shared" si="17"/>
        <v>0</v>
      </c>
      <c r="H286" s="31">
        <f t="shared" si="17"/>
        <v>0</v>
      </c>
      <c r="I286" s="8">
        <f t="shared" si="17"/>
        <v>0</v>
      </c>
      <c r="J286" s="8">
        <f t="shared" si="18"/>
        <v>0</v>
      </c>
      <c r="K286" s="72">
        <f t="shared" si="19"/>
        <v>-52899.899396378256</v>
      </c>
    </row>
    <row r="287" spans="1:11" x14ac:dyDescent="0.25">
      <c r="A287" s="38">
        <f>Données!A284</f>
        <v>5911</v>
      </c>
      <c r="B287" s="168" t="str">
        <f>Données!B284</f>
        <v>Cuarny</v>
      </c>
      <c r="C287" s="8">
        <f>Données!Z284</f>
        <v>236</v>
      </c>
      <c r="D287" s="8">
        <f t="shared" si="16"/>
        <v>236</v>
      </c>
      <c r="E287" s="209">
        <f t="shared" si="17"/>
        <v>0</v>
      </c>
      <c r="F287" s="8">
        <f t="shared" si="17"/>
        <v>0</v>
      </c>
      <c r="G287" s="209">
        <f t="shared" si="17"/>
        <v>0</v>
      </c>
      <c r="H287" s="31">
        <f t="shared" si="17"/>
        <v>0</v>
      </c>
      <c r="I287" s="8">
        <f t="shared" si="17"/>
        <v>0</v>
      </c>
      <c r="J287" s="8">
        <f t="shared" si="18"/>
        <v>0</v>
      </c>
      <c r="K287" s="72">
        <f t="shared" si="19"/>
        <v>-30449.6981891348</v>
      </c>
    </row>
    <row r="288" spans="1:11" x14ac:dyDescent="0.25">
      <c r="A288" s="38">
        <f>Données!A285</f>
        <v>5912</v>
      </c>
      <c r="B288" s="168" t="str">
        <f>Données!B285</f>
        <v>Démoret</v>
      </c>
      <c r="C288" s="8">
        <f>Données!Z285</f>
        <v>167</v>
      </c>
      <c r="D288" s="8">
        <f t="shared" si="16"/>
        <v>167</v>
      </c>
      <c r="E288" s="209">
        <f t="shared" si="17"/>
        <v>0</v>
      </c>
      <c r="F288" s="8">
        <f t="shared" si="17"/>
        <v>0</v>
      </c>
      <c r="G288" s="209">
        <f t="shared" si="17"/>
        <v>0</v>
      </c>
      <c r="H288" s="31">
        <f t="shared" si="17"/>
        <v>0</v>
      </c>
      <c r="I288" s="8">
        <f t="shared" si="17"/>
        <v>0</v>
      </c>
      <c r="J288" s="8">
        <f t="shared" si="18"/>
        <v>0</v>
      </c>
      <c r="K288" s="72">
        <f t="shared" si="19"/>
        <v>-21547.03219315895</v>
      </c>
    </row>
    <row r="289" spans="1:11" x14ac:dyDescent="0.25">
      <c r="A289" s="38">
        <f>Données!A286</f>
        <v>5913</v>
      </c>
      <c r="B289" s="168" t="str">
        <f>Données!B286</f>
        <v>Donneloye</v>
      </c>
      <c r="C289" s="8">
        <f>Données!Z286</f>
        <v>905</v>
      </c>
      <c r="D289" s="8">
        <f t="shared" si="16"/>
        <v>905</v>
      </c>
      <c r="E289" s="209">
        <f t="shared" si="17"/>
        <v>0</v>
      </c>
      <c r="F289" s="8">
        <f t="shared" si="17"/>
        <v>0</v>
      </c>
      <c r="G289" s="209">
        <f t="shared" si="17"/>
        <v>0</v>
      </c>
      <c r="H289" s="31">
        <f t="shared" si="17"/>
        <v>0</v>
      </c>
      <c r="I289" s="8">
        <f t="shared" si="17"/>
        <v>0</v>
      </c>
      <c r="J289" s="8">
        <f t="shared" si="18"/>
        <v>0</v>
      </c>
      <c r="K289" s="72">
        <f t="shared" si="19"/>
        <v>-116766.85110663981</v>
      </c>
    </row>
    <row r="290" spans="1:11" x14ac:dyDescent="0.25">
      <c r="A290" s="38">
        <f>Données!A287</f>
        <v>5914</v>
      </c>
      <c r="B290" s="168" t="str">
        <f>Données!B287</f>
        <v>Ependes</v>
      </c>
      <c r="C290" s="8">
        <f>Données!Z287</f>
        <v>372</v>
      </c>
      <c r="D290" s="8">
        <f t="shared" si="16"/>
        <v>372</v>
      </c>
      <c r="E290" s="209">
        <f t="shared" si="17"/>
        <v>0</v>
      </c>
      <c r="F290" s="8">
        <f t="shared" si="17"/>
        <v>0</v>
      </c>
      <c r="G290" s="209">
        <f t="shared" si="17"/>
        <v>0</v>
      </c>
      <c r="H290" s="31">
        <f t="shared" si="17"/>
        <v>0</v>
      </c>
      <c r="I290" s="8">
        <f t="shared" si="17"/>
        <v>0</v>
      </c>
      <c r="J290" s="8">
        <f t="shared" si="18"/>
        <v>0</v>
      </c>
      <c r="K290" s="72">
        <f t="shared" si="19"/>
        <v>-47996.981891348078</v>
      </c>
    </row>
    <row r="291" spans="1:11" x14ac:dyDescent="0.25">
      <c r="A291" s="38">
        <f>Données!A288</f>
        <v>5919</v>
      </c>
      <c r="B291" s="168" t="str">
        <f>Données!B288</f>
        <v>Mathod</v>
      </c>
      <c r="C291" s="8">
        <f>Données!Z288</f>
        <v>684</v>
      </c>
      <c r="D291" s="8">
        <f t="shared" si="16"/>
        <v>684</v>
      </c>
      <c r="E291" s="209">
        <f t="shared" si="17"/>
        <v>0</v>
      </c>
      <c r="F291" s="8">
        <f t="shared" si="17"/>
        <v>0</v>
      </c>
      <c r="G291" s="209">
        <f t="shared" si="17"/>
        <v>0</v>
      </c>
      <c r="H291" s="31">
        <f t="shared" si="17"/>
        <v>0</v>
      </c>
      <c r="I291" s="8">
        <f t="shared" si="17"/>
        <v>0</v>
      </c>
      <c r="J291" s="8">
        <f t="shared" si="18"/>
        <v>0</v>
      </c>
      <c r="K291" s="72">
        <f t="shared" si="19"/>
        <v>-88252.515090543238</v>
      </c>
    </row>
    <row r="292" spans="1:11" x14ac:dyDescent="0.25">
      <c r="A292" s="38">
        <f>Données!A289</f>
        <v>5921</v>
      </c>
      <c r="B292" s="168" t="str">
        <f>Données!B289</f>
        <v>Molondin</v>
      </c>
      <c r="C292" s="8">
        <f>Données!Z289</f>
        <v>257</v>
      </c>
      <c r="D292" s="8">
        <f t="shared" si="16"/>
        <v>257</v>
      </c>
      <c r="E292" s="209">
        <f t="shared" si="17"/>
        <v>0</v>
      </c>
      <c r="F292" s="8">
        <f t="shared" si="17"/>
        <v>0</v>
      </c>
      <c r="G292" s="209">
        <f t="shared" si="17"/>
        <v>0</v>
      </c>
      <c r="H292" s="31">
        <f t="shared" si="17"/>
        <v>0</v>
      </c>
      <c r="I292" s="8">
        <f t="shared" si="17"/>
        <v>0</v>
      </c>
      <c r="J292" s="8">
        <f t="shared" si="18"/>
        <v>0</v>
      </c>
      <c r="K292" s="72">
        <f t="shared" si="19"/>
        <v>-33159.205231388325</v>
      </c>
    </row>
    <row r="293" spans="1:11" x14ac:dyDescent="0.25">
      <c r="A293" s="38">
        <f>Données!A290</f>
        <v>5922</v>
      </c>
      <c r="B293" s="168" t="str">
        <f>Données!B290</f>
        <v>Montagny-près-Yverdon</v>
      </c>
      <c r="C293" s="8">
        <f>Données!Z290</f>
        <v>770</v>
      </c>
      <c r="D293" s="8">
        <f t="shared" si="16"/>
        <v>770</v>
      </c>
      <c r="E293" s="209">
        <f t="shared" si="17"/>
        <v>0</v>
      </c>
      <c r="F293" s="8">
        <f t="shared" si="17"/>
        <v>0</v>
      </c>
      <c r="G293" s="209">
        <f t="shared" si="17"/>
        <v>0</v>
      </c>
      <c r="H293" s="31">
        <f t="shared" si="17"/>
        <v>0</v>
      </c>
      <c r="I293" s="8">
        <f t="shared" si="17"/>
        <v>0</v>
      </c>
      <c r="J293" s="8">
        <f t="shared" si="18"/>
        <v>0</v>
      </c>
      <c r="K293" s="72">
        <f t="shared" si="19"/>
        <v>-99348.591549295757</v>
      </c>
    </row>
    <row r="294" spans="1:11" x14ac:dyDescent="0.25">
      <c r="A294" s="38">
        <f>Données!A291</f>
        <v>5923</v>
      </c>
      <c r="B294" s="168" t="str">
        <f>Données!B291</f>
        <v>Oppens</v>
      </c>
      <c r="C294" s="8">
        <f>Données!Z291</f>
        <v>202</v>
      </c>
      <c r="D294" s="8">
        <f t="shared" si="16"/>
        <v>202</v>
      </c>
      <c r="E294" s="209">
        <f t="shared" si="17"/>
        <v>0</v>
      </c>
      <c r="F294" s="8">
        <f t="shared" si="17"/>
        <v>0</v>
      </c>
      <c r="G294" s="209">
        <f t="shared" si="17"/>
        <v>0</v>
      </c>
      <c r="H294" s="31">
        <f t="shared" si="17"/>
        <v>0</v>
      </c>
      <c r="I294" s="8">
        <f t="shared" si="17"/>
        <v>0</v>
      </c>
      <c r="J294" s="8">
        <f t="shared" si="18"/>
        <v>0</v>
      </c>
      <c r="K294" s="72">
        <f t="shared" si="19"/>
        <v>-26062.877263581482</v>
      </c>
    </row>
    <row r="295" spans="1:11" x14ac:dyDescent="0.25">
      <c r="A295" s="38">
        <f>Données!A292</f>
        <v>5924</v>
      </c>
      <c r="B295" s="168" t="str">
        <f>Données!B292</f>
        <v>Orges</v>
      </c>
      <c r="C295" s="8">
        <f>Données!Z292</f>
        <v>407</v>
      </c>
      <c r="D295" s="8">
        <f t="shared" si="16"/>
        <v>407</v>
      </c>
      <c r="E295" s="209">
        <f t="shared" si="17"/>
        <v>0</v>
      </c>
      <c r="F295" s="8">
        <f t="shared" si="17"/>
        <v>0</v>
      </c>
      <c r="G295" s="209">
        <f t="shared" si="17"/>
        <v>0</v>
      </c>
      <c r="H295" s="31">
        <f t="shared" si="17"/>
        <v>0</v>
      </c>
      <c r="I295" s="8">
        <f t="shared" si="17"/>
        <v>0</v>
      </c>
      <c r="J295" s="8">
        <f t="shared" si="18"/>
        <v>0</v>
      </c>
      <c r="K295" s="72">
        <f t="shared" si="19"/>
        <v>-52512.82696177061</v>
      </c>
    </row>
    <row r="296" spans="1:11" x14ac:dyDescent="0.25">
      <c r="A296" s="38">
        <f>Données!A293</f>
        <v>5925</v>
      </c>
      <c r="B296" s="168" t="str">
        <f>Données!B293</f>
        <v>Orzens</v>
      </c>
      <c r="C296" s="8">
        <f>Données!Z293</f>
        <v>212</v>
      </c>
      <c r="D296" s="8">
        <f t="shared" si="16"/>
        <v>212</v>
      </c>
      <c r="E296" s="209">
        <f t="shared" si="17"/>
        <v>0</v>
      </c>
      <c r="F296" s="8">
        <f t="shared" si="17"/>
        <v>0</v>
      </c>
      <c r="G296" s="209">
        <f t="shared" si="17"/>
        <v>0</v>
      </c>
      <c r="H296" s="31">
        <f t="shared" si="17"/>
        <v>0</v>
      </c>
      <c r="I296" s="8">
        <f t="shared" si="17"/>
        <v>0</v>
      </c>
      <c r="J296" s="8">
        <f t="shared" si="18"/>
        <v>0</v>
      </c>
      <c r="K296" s="72">
        <f t="shared" si="19"/>
        <v>-27353.118712273637</v>
      </c>
    </row>
    <row r="297" spans="1:11" x14ac:dyDescent="0.25">
      <c r="A297" s="38">
        <f>Données!A294</f>
        <v>5926</v>
      </c>
      <c r="B297" s="168" t="str">
        <f>Données!B294</f>
        <v>Pomy</v>
      </c>
      <c r="C297" s="8">
        <f>Données!Z294</f>
        <v>868</v>
      </c>
      <c r="D297" s="8">
        <f t="shared" si="16"/>
        <v>868</v>
      </c>
      <c r="E297" s="209">
        <f t="shared" si="17"/>
        <v>0</v>
      </c>
      <c r="F297" s="8">
        <f t="shared" si="17"/>
        <v>0</v>
      </c>
      <c r="G297" s="209">
        <f t="shared" si="17"/>
        <v>0</v>
      </c>
      <c r="H297" s="31">
        <f t="shared" si="17"/>
        <v>0</v>
      </c>
      <c r="I297" s="8">
        <f t="shared" si="17"/>
        <v>0</v>
      </c>
      <c r="J297" s="8">
        <f t="shared" si="18"/>
        <v>0</v>
      </c>
      <c r="K297" s="72">
        <f t="shared" si="19"/>
        <v>-111992.95774647885</v>
      </c>
    </row>
    <row r="298" spans="1:11" x14ac:dyDescent="0.25">
      <c r="A298" s="38">
        <f>Données!A295</f>
        <v>5928</v>
      </c>
      <c r="B298" s="168" t="str">
        <f>Données!B295</f>
        <v>Rovray</v>
      </c>
      <c r="C298" s="8">
        <f>Données!Z295</f>
        <v>197</v>
      </c>
      <c r="D298" s="8">
        <f t="shared" si="16"/>
        <v>197</v>
      </c>
      <c r="E298" s="209">
        <f t="shared" si="17"/>
        <v>0</v>
      </c>
      <c r="F298" s="8">
        <f t="shared" si="17"/>
        <v>0</v>
      </c>
      <c r="G298" s="209">
        <f t="shared" si="17"/>
        <v>0</v>
      </c>
      <c r="H298" s="31">
        <f t="shared" si="17"/>
        <v>0</v>
      </c>
      <c r="I298" s="8">
        <f t="shared" si="17"/>
        <v>0</v>
      </c>
      <c r="J298" s="8">
        <f t="shared" si="18"/>
        <v>0</v>
      </c>
      <c r="K298" s="72">
        <f t="shared" si="19"/>
        <v>-25417.756539235408</v>
      </c>
    </row>
    <row r="299" spans="1:11" x14ac:dyDescent="0.25">
      <c r="A299" s="38">
        <f>Données!A296</f>
        <v>5929</v>
      </c>
      <c r="B299" s="168" t="str">
        <f>Données!B296</f>
        <v>Suchy</v>
      </c>
      <c r="C299" s="8">
        <f>Données!Z296</f>
        <v>671</v>
      </c>
      <c r="D299" s="8">
        <f t="shared" si="16"/>
        <v>671</v>
      </c>
      <c r="E299" s="209">
        <f t="shared" si="17"/>
        <v>0</v>
      </c>
      <c r="F299" s="8">
        <f t="shared" si="17"/>
        <v>0</v>
      </c>
      <c r="G299" s="209">
        <f t="shared" si="17"/>
        <v>0</v>
      </c>
      <c r="H299" s="31">
        <f t="shared" si="17"/>
        <v>0</v>
      </c>
      <c r="I299" s="8">
        <f t="shared" si="17"/>
        <v>0</v>
      </c>
      <c r="J299" s="8">
        <f t="shared" si="18"/>
        <v>0</v>
      </c>
      <c r="K299" s="72">
        <f t="shared" si="19"/>
        <v>-86575.201207243445</v>
      </c>
    </row>
    <row r="300" spans="1:11" x14ac:dyDescent="0.25">
      <c r="A300" s="38">
        <f>Données!A297</f>
        <v>5930</v>
      </c>
      <c r="B300" s="168" t="str">
        <f>Données!B297</f>
        <v>Suscévaz</v>
      </c>
      <c r="C300" s="8">
        <f>Données!Z297</f>
        <v>220</v>
      </c>
      <c r="D300" s="8">
        <f t="shared" ref="D300:D308" si="20">IF($C300&gt;D$5,IF($C300&lt;D$6,$C300-D$5,D$6-D$5),0)</f>
        <v>220</v>
      </c>
      <c r="E300" s="209">
        <f t="shared" si="17"/>
        <v>0</v>
      </c>
      <c r="F300" s="8">
        <f t="shared" si="17"/>
        <v>0</v>
      </c>
      <c r="G300" s="209">
        <f t="shared" si="17"/>
        <v>0</v>
      </c>
      <c r="H300" s="31">
        <f t="shared" si="17"/>
        <v>0</v>
      </c>
      <c r="I300" s="8">
        <f t="shared" si="17"/>
        <v>0</v>
      </c>
      <c r="J300" s="8">
        <f t="shared" si="18"/>
        <v>0</v>
      </c>
      <c r="K300" s="72">
        <f t="shared" si="19"/>
        <v>-28385.311871227357</v>
      </c>
    </row>
    <row r="301" spans="1:11" x14ac:dyDescent="0.25">
      <c r="A301" s="38">
        <f>Données!A298</f>
        <v>5931</v>
      </c>
      <c r="B301" s="168" t="str">
        <f>Données!B298</f>
        <v>Treycovagnes</v>
      </c>
      <c r="C301" s="8">
        <f>Données!Z298</f>
        <v>520</v>
      </c>
      <c r="D301" s="8">
        <f t="shared" si="20"/>
        <v>520</v>
      </c>
      <c r="E301" s="209">
        <f t="shared" si="17"/>
        <v>0</v>
      </c>
      <c r="F301" s="8">
        <f t="shared" si="17"/>
        <v>0</v>
      </c>
      <c r="G301" s="209">
        <f t="shared" si="17"/>
        <v>0</v>
      </c>
      <c r="H301" s="31">
        <f t="shared" si="17"/>
        <v>0</v>
      </c>
      <c r="I301" s="8">
        <f t="shared" si="17"/>
        <v>0</v>
      </c>
      <c r="J301" s="8">
        <f t="shared" si="18"/>
        <v>0</v>
      </c>
      <c r="K301" s="72">
        <f t="shared" si="19"/>
        <v>-67092.555331991942</v>
      </c>
    </row>
    <row r="302" spans="1:11" x14ac:dyDescent="0.25">
      <c r="A302" s="38">
        <f>Données!A299</f>
        <v>5932</v>
      </c>
      <c r="B302" s="168" t="str">
        <f>Données!B299</f>
        <v>Ursins</v>
      </c>
      <c r="C302" s="8">
        <f>Données!Z299</f>
        <v>230</v>
      </c>
      <c r="D302" s="8">
        <f t="shared" si="20"/>
        <v>230</v>
      </c>
      <c r="E302" s="209">
        <f t="shared" si="17"/>
        <v>0</v>
      </c>
      <c r="F302" s="8">
        <f t="shared" si="17"/>
        <v>0</v>
      </c>
      <c r="G302" s="209">
        <f t="shared" si="17"/>
        <v>0</v>
      </c>
      <c r="H302" s="31">
        <f t="shared" si="17"/>
        <v>0</v>
      </c>
      <c r="I302" s="8">
        <f t="shared" si="17"/>
        <v>0</v>
      </c>
      <c r="J302" s="8">
        <f t="shared" si="18"/>
        <v>0</v>
      </c>
      <c r="K302" s="72">
        <f t="shared" si="19"/>
        <v>-29675.553319919509</v>
      </c>
    </row>
    <row r="303" spans="1:11" x14ac:dyDescent="0.25">
      <c r="A303" s="38">
        <f>Données!A300</f>
        <v>5933</v>
      </c>
      <c r="B303" s="168" t="str">
        <f>Données!B300</f>
        <v>Valeyres-sous-Montagny</v>
      </c>
      <c r="C303" s="8">
        <f>Données!Z300</f>
        <v>703</v>
      </c>
      <c r="D303" s="8">
        <f t="shared" si="20"/>
        <v>703</v>
      </c>
      <c r="E303" s="209">
        <f t="shared" si="17"/>
        <v>0</v>
      </c>
      <c r="F303" s="8">
        <f t="shared" si="17"/>
        <v>0</v>
      </c>
      <c r="G303" s="209">
        <f t="shared" si="17"/>
        <v>0</v>
      </c>
      <c r="H303" s="31">
        <f t="shared" si="17"/>
        <v>0</v>
      </c>
      <c r="I303" s="8">
        <f t="shared" si="17"/>
        <v>0</v>
      </c>
      <c r="J303" s="8">
        <f t="shared" si="18"/>
        <v>0</v>
      </c>
      <c r="K303" s="72">
        <f t="shared" si="19"/>
        <v>-90703.973843058324</v>
      </c>
    </row>
    <row r="304" spans="1:11" x14ac:dyDescent="0.25">
      <c r="A304" s="38">
        <f>Données!A301</f>
        <v>5934</v>
      </c>
      <c r="B304" s="168" t="str">
        <f>Données!B301</f>
        <v>Valeyres-sous-Ursins</v>
      </c>
      <c r="C304" s="8">
        <f>Données!Z301</f>
        <v>241</v>
      </c>
      <c r="D304" s="8">
        <f t="shared" si="20"/>
        <v>241</v>
      </c>
      <c r="E304" s="209">
        <f t="shared" si="17"/>
        <v>0</v>
      </c>
      <c r="F304" s="8">
        <f t="shared" si="17"/>
        <v>0</v>
      </c>
      <c r="G304" s="209">
        <f t="shared" si="17"/>
        <v>0</v>
      </c>
      <c r="H304" s="31">
        <f t="shared" si="17"/>
        <v>0</v>
      </c>
      <c r="I304" s="8">
        <f t="shared" si="17"/>
        <v>0</v>
      </c>
      <c r="J304" s="8">
        <f t="shared" si="18"/>
        <v>0</v>
      </c>
      <c r="K304" s="72">
        <f t="shared" si="19"/>
        <v>-31094.818913480878</v>
      </c>
    </row>
    <row r="305" spans="1:11" x14ac:dyDescent="0.25">
      <c r="A305" s="38">
        <f>Données!A302</f>
        <v>5935</v>
      </c>
      <c r="B305" s="168" t="str">
        <f>Données!B302</f>
        <v>Villars-Epeney</v>
      </c>
      <c r="C305" s="8">
        <f>Données!Z302</f>
        <v>92</v>
      </c>
      <c r="D305" s="8">
        <f t="shared" si="20"/>
        <v>92</v>
      </c>
      <c r="E305" s="209">
        <f t="shared" si="17"/>
        <v>0</v>
      </c>
      <c r="F305" s="8">
        <f t="shared" si="17"/>
        <v>0</v>
      </c>
      <c r="G305" s="209">
        <f t="shared" si="17"/>
        <v>0</v>
      </c>
      <c r="H305" s="31">
        <f t="shared" si="17"/>
        <v>0</v>
      </c>
      <c r="I305" s="8">
        <f t="shared" si="17"/>
        <v>0</v>
      </c>
      <c r="J305" s="8">
        <f t="shared" si="18"/>
        <v>0</v>
      </c>
      <c r="K305" s="72">
        <f t="shared" si="19"/>
        <v>-11870.221327967804</v>
      </c>
    </row>
    <row r="306" spans="1:11" x14ac:dyDescent="0.25">
      <c r="A306" s="38">
        <f>Données!A303</f>
        <v>5937</v>
      </c>
      <c r="B306" s="168" t="str">
        <f>Données!B303</f>
        <v>Vugelles-La Mothe</v>
      </c>
      <c r="C306" s="8">
        <f>Données!Z303</f>
        <v>137</v>
      </c>
      <c r="D306" s="8">
        <f t="shared" si="20"/>
        <v>137</v>
      </c>
      <c r="E306" s="209">
        <f t="shared" si="17"/>
        <v>0</v>
      </c>
      <c r="F306" s="8">
        <f t="shared" si="17"/>
        <v>0</v>
      </c>
      <c r="G306" s="209">
        <f t="shared" si="17"/>
        <v>0</v>
      </c>
      <c r="H306" s="31">
        <f t="shared" si="17"/>
        <v>0</v>
      </c>
      <c r="I306" s="8">
        <f t="shared" si="17"/>
        <v>0</v>
      </c>
      <c r="J306" s="8">
        <f t="shared" si="18"/>
        <v>0</v>
      </c>
      <c r="K306" s="72">
        <f t="shared" si="19"/>
        <v>-17676.307847082491</v>
      </c>
    </row>
    <row r="307" spans="1:11" x14ac:dyDescent="0.25">
      <c r="A307" s="38">
        <f>Données!A304</f>
        <v>5938</v>
      </c>
      <c r="B307" s="168" t="str">
        <f>Données!B304</f>
        <v>Yverdon-les-Bains</v>
      </c>
      <c r="C307" s="8">
        <f>Données!Z304</f>
        <v>29877</v>
      </c>
      <c r="D307" s="8">
        <f t="shared" si="20"/>
        <v>1000</v>
      </c>
      <c r="E307" s="209">
        <f t="shared" si="17"/>
        <v>2000</v>
      </c>
      <c r="F307" s="8">
        <f t="shared" si="17"/>
        <v>2000</v>
      </c>
      <c r="G307" s="209">
        <f t="shared" si="17"/>
        <v>4000</v>
      </c>
      <c r="H307" s="31">
        <f t="shared" si="17"/>
        <v>3000</v>
      </c>
      <c r="I307" s="8">
        <f t="shared" si="17"/>
        <v>3000</v>
      </c>
      <c r="J307" s="8">
        <f t="shared" si="18"/>
        <v>14877</v>
      </c>
      <c r="K307" s="72">
        <f t="shared" si="19"/>
        <v>-26213422.635814883</v>
      </c>
    </row>
    <row r="308" spans="1:11" x14ac:dyDescent="0.25">
      <c r="A308" s="38">
        <f>Données!A305</f>
        <v>5939</v>
      </c>
      <c r="B308" s="168" t="str">
        <f>Données!B305</f>
        <v>Yvonand</v>
      </c>
      <c r="C308" s="210">
        <f>Données!Z305</f>
        <v>3531</v>
      </c>
      <c r="D308" s="8">
        <f t="shared" si="20"/>
        <v>1000</v>
      </c>
      <c r="E308" s="209">
        <f t="shared" si="17"/>
        <v>2000</v>
      </c>
      <c r="F308" s="8">
        <f t="shared" si="17"/>
        <v>531</v>
      </c>
      <c r="G308" s="209">
        <f t="shared" si="17"/>
        <v>0</v>
      </c>
      <c r="H308" s="31">
        <f t="shared" si="17"/>
        <v>0</v>
      </c>
      <c r="I308" s="8">
        <f t="shared" si="17"/>
        <v>0</v>
      </c>
      <c r="J308" s="8">
        <f t="shared" si="18"/>
        <v>0</v>
      </c>
      <c r="K308" s="72">
        <f t="shared" si="19"/>
        <v>-1125606.6398390341</v>
      </c>
    </row>
    <row r="309" spans="1:11" x14ac:dyDescent="0.25">
      <c r="A309" s="25"/>
      <c r="B309" s="74">
        <f>COUNTA(B9:B308)</f>
        <v>300</v>
      </c>
      <c r="C309" s="9">
        <f>SUM(C9:C308)</f>
        <v>830791</v>
      </c>
      <c r="D309" s="9">
        <f t="shared" ref="D309:J309" si="21">SUM(D9:D308)</f>
        <v>216028</v>
      </c>
      <c r="E309" s="9">
        <f t="shared" si="21"/>
        <v>174322</v>
      </c>
      <c r="F309" s="9">
        <f t="shared" si="21"/>
        <v>89020</v>
      </c>
      <c r="G309" s="9">
        <f t="shared" si="21"/>
        <v>99742</v>
      </c>
      <c r="H309" s="9">
        <f t="shared" si="21"/>
        <v>46697</v>
      </c>
      <c r="I309" s="9">
        <f t="shared" si="21"/>
        <v>27656</v>
      </c>
      <c r="J309" s="9">
        <f t="shared" si="21"/>
        <v>177326</v>
      </c>
      <c r="K309" s="30">
        <f>SUM(K9:K308)</f>
        <v>-460267470.7243461</v>
      </c>
    </row>
    <row r="310" spans="1:11" x14ac:dyDescent="0.25">
      <c r="C310" s="52"/>
      <c r="K310" s="5"/>
    </row>
    <row r="311" spans="1:11" x14ac:dyDescent="0.25">
      <c r="K311" s="211"/>
    </row>
    <row r="312" spans="1:11" x14ac:dyDescent="0.25">
      <c r="K312" s="211"/>
    </row>
    <row r="320" spans="1:11" x14ac:dyDescent="0.25">
      <c r="C320" s="45"/>
    </row>
  </sheetData>
  <sheetProtection sheet="1" objects="1" scenarios="1"/>
  <mergeCells count="6">
    <mergeCell ref="K7:K8"/>
    <mergeCell ref="C4:J4"/>
    <mergeCell ref="A7:A8"/>
    <mergeCell ref="B7:B8"/>
    <mergeCell ref="C7:C8"/>
    <mergeCell ref="D7:J7"/>
  </mergeCells>
  <phoneticPr fontId="20" type="noConversion"/>
  <hyperlinks>
    <hyperlink ref="G1" location="'Péréquation directe'!A1" display="← Précédent" xr:uid="{4A68310A-425D-4B7C-A602-B19E50C59698}"/>
    <hyperlink ref="H1" location="'Table des matières'!A1" display="Table des             matières" xr:uid="{45E00C4B-D76D-485B-A963-90DFF5ED91F9}"/>
    <hyperlink ref="I1" location="Solidarité!A1" display="Suivant →" xr:uid="{3CE52556-7647-4955-BB2C-AB3DA5B0FC22}"/>
  </hyperlinks>
  <pageMargins left="0.78740157499999996" right="0.78740157499999996" top="0.984251969" bottom="0.984251969" header="0.4921259845" footer="0.4921259845"/>
  <pageSetup paperSize="9" orientation="portrait" horizontalDpi="4294967292" verticalDpi="4294967292"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theme="6" tint="0.39997558519241921"/>
  </sheetPr>
  <dimension ref="A1:L306"/>
  <sheetViews>
    <sheetView workbookViewId="0">
      <pane ySplit="5" topLeftCell="A6" activePane="bottomLeft" state="frozen"/>
      <selection activeCell="D32" sqref="D32"/>
      <selection pane="bottomLeft" activeCell="A6" sqref="A6"/>
    </sheetView>
  </sheetViews>
  <sheetFormatPr baseColWidth="10" defaultColWidth="11" defaultRowHeight="15" x14ac:dyDescent="0.25"/>
  <cols>
    <col min="1" max="1" width="7.25" style="11" customWidth="1"/>
    <col min="2" max="2" width="21.25" style="11" customWidth="1"/>
    <col min="3" max="3" width="10.125" style="11" customWidth="1"/>
    <col min="4" max="4" width="20.5" style="11" customWidth="1"/>
    <col min="5" max="5" width="12" style="11" bestFit="1" customWidth="1"/>
    <col min="6" max="6" width="10.625" style="12" customWidth="1"/>
    <col min="7" max="7" width="12.5" style="13" bestFit="1" customWidth="1"/>
    <col min="8" max="8" width="11.125" style="11" bestFit="1" customWidth="1"/>
    <col min="9" max="9" width="13.875" style="5" customWidth="1"/>
    <col min="10" max="16384" width="11" style="11"/>
  </cols>
  <sheetData>
    <row r="1" spans="1:12" s="261" customFormat="1" ht="26.25" x14ac:dyDescent="0.4">
      <c r="A1" s="254" t="s">
        <v>358</v>
      </c>
      <c r="B1" s="259"/>
      <c r="C1" s="260"/>
      <c r="D1" s="260"/>
      <c r="E1" s="374" t="s">
        <v>405</v>
      </c>
      <c r="F1" s="278" t="s">
        <v>397</v>
      </c>
      <c r="G1" s="439" t="s">
        <v>406</v>
      </c>
      <c r="I1" s="262"/>
      <c r="J1" s="349"/>
      <c r="K1" s="349"/>
      <c r="L1" s="349"/>
    </row>
    <row r="2" spans="1:12" s="202" customFormat="1" ht="15.75" customHeight="1" x14ac:dyDescent="0.25">
      <c r="A2" s="327" t="str">
        <f>Paramètres!B4</f>
        <v>Décompte 2022</v>
      </c>
      <c r="B2" s="32"/>
      <c r="C2" s="60"/>
      <c r="D2" s="60"/>
      <c r="F2" s="221"/>
      <c r="G2" s="222"/>
      <c r="I2" s="5"/>
      <c r="J2" s="356"/>
      <c r="K2" s="356"/>
      <c r="L2" s="356"/>
    </row>
    <row r="3" spans="1:12" ht="26.45" customHeight="1" x14ac:dyDescent="0.25">
      <c r="J3" s="356"/>
      <c r="K3" s="356"/>
      <c r="L3" s="356"/>
    </row>
    <row r="4" spans="1:12" ht="36.75" customHeight="1" x14ac:dyDescent="0.25">
      <c r="A4" s="762" t="s">
        <v>44</v>
      </c>
      <c r="B4" s="762" t="s">
        <v>84</v>
      </c>
      <c r="C4" s="762" t="s">
        <v>257</v>
      </c>
      <c r="D4" s="762" t="s">
        <v>497</v>
      </c>
      <c r="E4" s="286" t="s">
        <v>299</v>
      </c>
      <c r="F4" s="770" t="s">
        <v>71</v>
      </c>
      <c r="G4" s="768" t="s">
        <v>486</v>
      </c>
      <c r="H4" s="762" t="s">
        <v>425</v>
      </c>
      <c r="I4" s="768" t="s">
        <v>501</v>
      </c>
      <c r="J4" s="356"/>
      <c r="K4" s="356"/>
      <c r="L4" s="356"/>
    </row>
    <row r="5" spans="1:12" x14ac:dyDescent="0.25">
      <c r="A5" s="764"/>
      <c r="B5" s="764"/>
      <c r="C5" s="764"/>
      <c r="D5" s="764"/>
      <c r="E5" s="228">
        <f>+Paramètres!B36</f>
        <v>0.27</v>
      </c>
      <c r="F5" s="771"/>
      <c r="G5" s="772"/>
      <c r="H5" s="764"/>
      <c r="I5" s="769"/>
    </row>
    <row r="6" spans="1:12" x14ac:dyDescent="0.25">
      <c r="A6" s="38">
        <f>Données!A6</f>
        <v>5401</v>
      </c>
      <c r="B6" s="27" t="str">
        <f>Données!B6</f>
        <v>Aigle</v>
      </c>
      <c r="C6" s="31">
        <f>Données!Z6</f>
        <v>10937</v>
      </c>
      <c r="D6" s="225">
        <f>Ecrêtage!E6</f>
        <v>26.939244377578465</v>
      </c>
      <c r="E6" s="225">
        <f>IF($D$306-D6&lt;0,0,$D$306-D6)</f>
        <v>21.531518235333248</v>
      </c>
      <c r="F6" s="225">
        <f>+Données!X6</f>
        <v>66</v>
      </c>
      <c r="G6" s="351">
        <f>-((C6*E6*F6)*$E$5)</f>
        <v>-4196435.6302279448</v>
      </c>
      <c r="H6" s="160">
        <f>F6/$F$306</f>
        <v>0.9769794599484426</v>
      </c>
      <c r="I6" s="42">
        <f t="shared" ref="I6" si="0">G6*H6</f>
        <v>-4099831.4157284996</v>
      </c>
    </row>
    <row r="7" spans="1:12" x14ac:dyDescent="0.25">
      <c r="A7" s="38">
        <f>Données!A7</f>
        <v>5402</v>
      </c>
      <c r="B7" s="27" t="str">
        <f>Données!B7</f>
        <v>Bex</v>
      </c>
      <c r="C7" s="31">
        <f>Données!Z7</f>
        <v>8151</v>
      </c>
      <c r="D7" s="225">
        <f>Ecrêtage!E7</f>
        <v>23.550630286441997</v>
      </c>
      <c r="E7" s="225">
        <f t="shared" ref="E7:E70" si="1">IF($D$306-D7&lt;0,0,$D$306-D7)</f>
        <v>24.920132326469716</v>
      </c>
      <c r="F7" s="225">
        <f>+Données!X7</f>
        <v>71</v>
      </c>
      <c r="G7" s="352">
        <f t="shared" ref="G7:G70" si="2">-((C7*E7*F7)*$E$5)</f>
        <v>-3893887.0530288583</v>
      </c>
      <c r="H7" s="160">
        <f t="shared" ref="H7:H70" si="3">F7/$F$306</f>
        <v>1.0509930553990823</v>
      </c>
      <c r="I7" s="42">
        <f t="shared" ref="I7:I70" si="4">G7*H7</f>
        <v>-4092448.2512417282</v>
      </c>
    </row>
    <row r="8" spans="1:12" x14ac:dyDescent="0.25">
      <c r="A8" s="38">
        <f>Données!A8</f>
        <v>5403</v>
      </c>
      <c r="B8" s="27" t="str">
        <f>Données!B8</f>
        <v>Chessel</v>
      </c>
      <c r="C8" s="31">
        <f>Données!Z8</f>
        <v>528</v>
      </c>
      <c r="D8" s="225">
        <f>Ecrêtage!E8</f>
        <v>25.608770104895104</v>
      </c>
      <c r="E8" s="225">
        <f t="shared" si="1"/>
        <v>22.861992508016609</v>
      </c>
      <c r="F8" s="225">
        <f>+Données!X8</f>
        <v>65</v>
      </c>
      <c r="G8" s="352">
        <f t="shared" si="2"/>
        <v>-211848.36737628511</v>
      </c>
      <c r="H8" s="160">
        <f t="shared" si="3"/>
        <v>0.96217674085831462</v>
      </c>
      <c r="I8" s="42">
        <f t="shared" si="4"/>
        <v>-203835.5716782689</v>
      </c>
    </row>
    <row r="9" spans="1:12" x14ac:dyDescent="0.25">
      <c r="A9" s="38">
        <f>Données!A9</f>
        <v>5404</v>
      </c>
      <c r="B9" s="27" t="str">
        <f>Données!B9</f>
        <v>Corbeyrier</v>
      </c>
      <c r="C9" s="31">
        <f>Données!Z9</f>
        <v>440</v>
      </c>
      <c r="D9" s="225">
        <f>Ecrêtage!E9</f>
        <v>26.507381552006557</v>
      </c>
      <c r="E9" s="225">
        <f t="shared" si="1"/>
        <v>21.963381060905157</v>
      </c>
      <c r="F9" s="225">
        <f>+Données!X9</f>
        <v>74</v>
      </c>
      <c r="G9" s="352">
        <f t="shared" si="2"/>
        <v>-193084.47558262944</v>
      </c>
      <c r="H9" s="160">
        <f t="shared" si="3"/>
        <v>1.0954012126694659</v>
      </c>
      <c r="I9" s="42">
        <f t="shared" si="4"/>
        <v>-211504.96870086016</v>
      </c>
    </row>
    <row r="10" spans="1:12" x14ac:dyDescent="0.25">
      <c r="A10" s="38">
        <f>Données!A10</f>
        <v>5405</v>
      </c>
      <c r="B10" s="27" t="str">
        <f>Données!B10</f>
        <v>Gryon</v>
      </c>
      <c r="C10" s="31">
        <f>Données!Z10</f>
        <v>1389</v>
      </c>
      <c r="D10" s="225">
        <f>Ecrêtage!E10</f>
        <v>52.761853468049097</v>
      </c>
      <c r="E10" s="225">
        <f t="shared" si="1"/>
        <v>0</v>
      </c>
      <c r="F10" s="225">
        <f>+Données!X10</f>
        <v>73.5</v>
      </c>
      <c r="G10" s="352">
        <f t="shared" si="2"/>
        <v>0</v>
      </c>
      <c r="H10" s="160">
        <f t="shared" si="3"/>
        <v>1.0879998531244019</v>
      </c>
      <c r="I10" s="42">
        <f t="shared" si="4"/>
        <v>0</v>
      </c>
    </row>
    <row r="11" spans="1:12" x14ac:dyDescent="0.25">
      <c r="A11" s="38">
        <f>Données!A11</f>
        <v>5406</v>
      </c>
      <c r="B11" s="27" t="str">
        <f>Données!B11</f>
        <v>Lavey-Morcles</v>
      </c>
      <c r="C11" s="31">
        <f>Données!Z11</f>
        <v>979</v>
      </c>
      <c r="D11" s="225">
        <f>Ecrêtage!E11</f>
        <v>22.585831850242943</v>
      </c>
      <c r="E11" s="225">
        <f t="shared" si="1"/>
        <v>25.88493076266877</v>
      </c>
      <c r="F11" s="225">
        <f>+Données!X11</f>
        <v>71.5</v>
      </c>
      <c r="G11" s="352">
        <f t="shared" si="2"/>
        <v>-489214.70801748091</v>
      </c>
      <c r="H11" s="160">
        <f t="shared" si="3"/>
        <v>1.0583944149441462</v>
      </c>
      <c r="I11" s="42">
        <f t="shared" si="4"/>
        <v>-517782.11467423302</v>
      </c>
    </row>
    <row r="12" spans="1:12" x14ac:dyDescent="0.25">
      <c r="A12" s="38">
        <f>Données!A12</f>
        <v>5407</v>
      </c>
      <c r="B12" s="27" t="str">
        <f>Données!B12</f>
        <v>Leysin</v>
      </c>
      <c r="C12" s="31">
        <f>Données!Z12</f>
        <v>3743</v>
      </c>
      <c r="D12" s="225">
        <f>Ecrêtage!E12</f>
        <v>24.002514699804308</v>
      </c>
      <c r="E12" s="225">
        <f t="shared" si="1"/>
        <v>24.468247913107405</v>
      </c>
      <c r="F12" s="225">
        <f>+Données!X12</f>
        <v>78</v>
      </c>
      <c r="G12" s="352">
        <f t="shared" si="2"/>
        <v>-1928772.769830307</v>
      </c>
      <c r="H12" s="160">
        <f t="shared" si="3"/>
        <v>1.1546120890299776</v>
      </c>
      <c r="I12" s="42">
        <f t="shared" si="4"/>
        <v>-2226984.357037907</v>
      </c>
    </row>
    <row r="13" spans="1:12" x14ac:dyDescent="0.25">
      <c r="A13" s="38">
        <f>Données!A13</f>
        <v>5408</v>
      </c>
      <c r="B13" s="27" t="str">
        <f>Données!B13</f>
        <v>Noville</v>
      </c>
      <c r="C13" s="31">
        <f>Données!Z13</f>
        <v>1169</v>
      </c>
      <c r="D13" s="225">
        <f>Ecrêtage!E13</f>
        <v>35.905372188955432</v>
      </c>
      <c r="E13" s="225">
        <f t="shared" si="1"/>
        <v>12.565390423956281</v>
      </c>
      <c r="F13" s="225">
        <f>+Données!X13</f>
        <v>75</v>
      </c>
      <c r="G13" s="352">
        <f t="shared" si="2"/>
        <v>-297451.06346349907</v>
      </c>
      <c r="H13" s="160">
        <f t="shared" si="3"/>
        <v>1.1102039317595938</v>
      </c>
      <c r="I13" s="42">
        <f t="shared" si="4"/>
        <v>-330231.34016324911</v>
      </c>
    </row>
    <row r="14" spans="1:12" x14ac:dyDescent="0.25">
      <c r="A14" s="38">
        <f>Données!A14</f>
        <v>5409</v>
      </c>
      <c r="B14" s="27" t="str">
        <f>Données!B14</f>
        <v>Ollon</v>
      </c>
      <c r="C14" s="31">
        <f>Données!Z14</f>
        <v>7967</v>
      </c>
      <c r="D14" s="225">
        <f>Ecrêtage!E14</f>
        <v>50.95246607470748</v>
      </c>
      <c r="E14" s="225">
        <f t="shared" si="1"/>
        <v>0</v>
      </c>
      <c r="F14" s="225">
        <f>+Données!X14</f>
        <v>68</v>
      </c>
      <c r="G14" s="352">
        <f t="shared" si="2"/>
        <v>0</v>
      </c>
      <c r="H14" s="160">
        <f t="shared" si="3"/>
        <v>1.0065848981286984</v>
      </c>
      <c r="I14" s="42">
        <f t="shared" si="4"/>
        <v>0</v>
      </c>
    </row>
    <row r="15" spans="1:12" x14ac:dyDescent="0.25">
      <c r="A15" s="38">
        <f>Données!A15</f>
        <v>5410</v>
      </c>
      <c r="B15" s="27" t="str">
        <f>Données!B15</f>
        <v>Ormont-Dessous</v>
      </c>
      <c r="C15" s="31">
        <f>Données!Z15</f>
        <v>1178</v>
      </c>
      <c r="D15" s="225">
        <f>Ecrêtage!E15</f>
        <v>32.608961222704856</v>
      </c>
      <c r="E15" s="225">
        <f t="shared" si="1"/>
        <v>15.861801390206857</v>
      </c>
      <c r="F15" s="225">
        <f>+Données!X15</f>
        <v>77</v>
      </c>
      <c r="G15" s="352">
        <f t="shared" si="2"/>
        <v>-388465.35036302789</v>
      </c>
      <c r="H15" s="160">
        <f t="shared" si="3"/>
        <v>1.1398093699398497</v>
      </c>
      <c r="I15" s="42">
        <f t="shared" si="4"/>
        <v>-442776.44624074578</v>
      </c>
    </row>
    <row r="16" spans="1:12" x14ac:dyDescent="0.25">
      <c r="A16" s="38">
        <f>Données!A16</f>
        <v>5411</v>
      </c>
      <c r="B16" s="27" t="str">
        <f>Données!B16</f>
        <v>Ormont-Dessus</v>
      </c>
      <c r="C16" s="31">
        <f>Données!Z16</f>
        <v>1425</v>
      </c>
      <c r="D16" s="225">
        <f>Ecrêtage!E16</f>
        <v>53.44664256694368</v>
      </c>
      <c r="E16" s="225">
        <f t="shared" si="1"/>
        <v>0</v>
      </c>
      <c r="F16" s="225">
        <f>+Données!X16</f>
        <v>76</v>
      </c>
      <c r="G16" s="352">
        <f t="shared" si="2"/>
        <v>0</v>
      </c>
      <c r="H16" s="160">
        <f t="shared" si="3"/>
        <v>1.1250066508497218</v>
      </c>
      <c r="I16" s="42">
        <f t="shared" si="4"/>
        <v>0</v>
      </c>
    </row>
    <row r="17" spans="1:9" x14ac:dyDescent="0.25">
      <c r="A17" s="38">
        <f>Données!A17</f>
        <v>5412</v>
      </c>
      <c r="B17" s="27" t="str">
        <f>Données!B17</f>
        <v>Rennaz</v>
      </c>
      <c r="C17" s="31">
        <f>Données!Z17</f>
        <v>929</v>
      </c>
      <c r="D17" s="225">
        <f>Ecrêtage!E17</f>
        <v>34.704457028751499</v>
      </c>
      <c r="E17" s="225">
        <f t="shared" si="1"/>
        <v>13.766305584160214</v>
      </c>
      <c r="F17" s="225">
        <f>+Données!X17</f>
        <v>69</v>
      </c>
      <c r="G17" s="352">
        <f t="shared" si="2"/>
        <v>-238257.1676475686</v>
      </c>
      <c r="H17" s="160">
        <f t="shared" si="3"/>
        <v>1.0213876172188263</v>
      </c>
      <c r="I17" s="42">
        <f t="shared" si="4"/>
        <v>-243352.92074885653</v>
      </c>
    </row>
    <row r="18" spans="1:9" x14ac:dyDescent="0.25">
      <c r="A18" s="38">
        <f>Données!A18</f>
        <v>5413</v>
      </c>
      <c r="B18" s="27" t="str">
        <f>Données!B18</f>
        <v>Roche</v>
      </c>
      <c r="C18" s="31">
        <f>Données!Z18</f>
        <v>1940</v>
      </c>
      <c r="D18" s="225">
        <f>Ecrêtage!E18</f>
        <v>21.957032734485548</v>
      </c>
      <c r="E18" s="225">
        <f t="shared" si="1"/>
        <v>26.513729878426165</v>
      </c>
      <c r="F18" s="225">
        <f>+Données!X18</f>
        <v>68</v>
      </c>
      <c r="G18" s="352">
        <f t="shared" si="2"/>
        <v>-944376.6363017346</v>
      </c>
      <c r="H18" s="160">
        <f t="shared" si="3"/>
        <v>1.0065848981286984</v>
      </c>
      <c r="I18" s="42">
        <f t="shared" si="4"/>
        <v>-950595.26024690445</v>
      </c>
    </row>
    <row r="19" spans="1:9" x14ac:dyDescent="0.25">
      <c r="A19" s="38">
        <f>Données!A19</f>
        <v>5414</v>
      </c>
      <c r="B19" s="27" t="str">
        <f>Données!B19</f>
        <v>Villeneuve</v>
      </c>
      <c r="C19" s="31">
        <f>Données!Z19</f>
        <v>5979</v>
      </c>
      <c r="D19" s="225">
        <f>Ecrêtage!E19</f>
        <v>27.744015238520003</v>
      </c>
      <c r="E19" s="225">
        <f t="shared" si="1"/>
        <v>20.72674737439171</v>
      </c>
      <c r="F19" s="225">
        <f>+Données!X19</f>
        <v>67.5</v>
      </c>
      <c r="G19" s="352">
        <f t="shared" si="2"/>
        <v>-2258537.1810008697</v>
      </c>
      <c r="H19" s="160">
        <f t="shared" si="3"/>
        <v>0.99918353858363451</v>
      </c>
      <c r="I19" s="42">
        <f t="shared" si="4"/>
        <v>-2256693.1725351554</v>
      </c>
    </row>
    <row r="20" spans="1:9" x14ac:dyDescent="0.25">
      <c r="A20" s="38">
        <f>Données!A20</f>
        <v>5415</v>
      </c>
      <c r="B20" s="27" t="str">
        <f>Données!B20</f>
        <v>Yvorne</v>
      </c>
      <c r="C20" s="31">
        <f>Données!Z20</f>
        <v>1088</v>
      </c>
      <c r="D20" s="225">
        <f>Ecrêtage!E20</f>
        <v>30.951761020841907</v>
      </c>
      <c r="E20" s="225">
        <f t="shared" si="1"/>
        <v>17.519001592069806</v>
      </c>
      <c r="F20" s="225">
        <f>+Données!X20</f>
        <v>71.5</v>
      </c>
      <c r="G20" s="352">
        <f t="shared" si="2"/>
        <v>-367966.30639957951</v>
      </c>
      <c r="H20" s="160">
        <f t="shared" si="3"/>
        <v>1.0583944149441462</v>
      </c>
      <c r="I20" s="42">
        <f t="shared" si="4"/>
        <v>-389453.48358094139</v>
      </c>
    </row>
    <row r="21" spans="1:9" x14ac:dyDescent="0.25">
      <c r="A21" s="38">
        <f>Données!A21</f>
        <v>5422</v>
      </c>
      <c r="B21" s="27" t="str">
        <f>Données!B21</f>
        <v>Aubonne</v>
      </c>
      <c r="C21" s="31">
        <f>Données!Z21</f>
        <v>3792</v>
      </c>
      <c r="D21" s="225">
        <f>Ecrêtage!E21</f>
        <v>78.483221895720334</v>
      </c>
      <c r="E21" s="225">
        <f t="shared" si="1"/>
        <v>0</v>
      </c>
      <c r="F21" s="225">
        <f>+Données!X21</f>
        <v>70</v>
      </c>
      <c r="G21" s="352">
        <f t="shared" si="2"/>
        <v>0</v>
      </c>
      <c r="H21" s="160">
        <f t="shared" si="3"/>
        <v>1.0361903363089542</v>
      </c>
      <c r="I21" s="42">
        <f t="shared" si="4"/>
        <v>0</v>
      </c>
    </row>
    <row r="22" spans="1:9" x14ac:dyDescent="0.25">
      <c r="A22" s="38">
        <f>Données!A22</f>
        <v>5423</v>
      </c>
      <c r="B22" s="27" t="str">
        <f>Données!B22</f>
        <v>Ballens</v>
      </c>
      <c r="C22" s="31">
        <f>Données!Z22</f>
        <v>590</v>
      </c>
      <c r="D22" s="225">
        <f>Ecrêtage!E22</f>
        <v>29.399814488042733</v>
      </c>
      <c r="E22" s="225">
        <f t="shared" si="1"/>
        <v>19.07094812486898</v>
      </c>
      <c r="F22" s="225">
        <f>+Données!X22</f>
        <v>73</v>
      </c>
      <c r="G22" s="352">
        <f t="shared" si="2"/>
        <v>-221774.14864928889</v>
      </c>
      <c r="H22" s="160">
        <f t="shared" si="3"/>
        <v>1.080598493579338</v>
      </c>
      <c r="I22" s="42">
        <f t="shared" si="4"/>
        <v>-239648.81094526176</v>
      </c>
    </row>
    <row r="23" spans="1:9" x14ac:dyDescent="0.25">
      <c r="A23" s="38">
        <f>Données!A23</f>
        <v>5424</v>
      </c>
      <c r="B23" s="27" t="str">
        <f>Données!B23</f>
        <v>Berolle</v>
      </c>
      <c r="C23" s="31">
        <f>Données!Z23</f>
        <v>303</v>
      </c>
      <c r="D23" s="225">
        <f>Ecrêtage!E23</f>
        <v>33.87212641793981</v>
      </c>
      <c r="E23" s="225">
        <f t="shared" si="1"/>
        <v>14.598636194971903</v>
      </c>
      <c r="F23" s="225">
        <f>+Données!X23</f>
        <v>75.5</v>
      </c>
      <c r="G23" s="352">
        <f t="shared" si="2"/>
        <v>-90170.73924685418</v>
      </c>
      <c r="H23" s="160">
        <f t="shared" si="3"/>
        <v>1.1176052913046579</v>
      </c>
      <c r="I23" s="42">
        <f t="shared" si="4"/>
        <v>-100775.29530313681</v>
      </c>
    </row>
    <row r="24" spans="1:9" x14ac:dyDescent="0.25">
      <c r="A24" s="38">
        <f>Données!A24</f>
        <v>5425</v>
      </c>
      <c r="B24" s="27" t="str">
        <f>Données!B24</f>
        <v>Bière</v>
      </c>
      <c r="C24" s="31">
        <f>Données!Z24</f>
        <v>1683</v>
      </c>
      <c r="D24" s="225">
        <f>Ecrêtage!E24</f>
        <v>25.102766044191217</v>
      </c>
      <c r="E24" s="225">
        <f t="shared" si="1"/>
        <v>23.367996568720496</v>
      </c>
      <c r="F24" s="225">
        <f>+Données!X24</f>
        <v>69</v>
      </c>
      <c r="G24" s="352">
        <f t="shared" si="2"/>
        <v>-732686.94113466737</v>
      </c>
      <c r="H24" s="160">
        <f t="shared" si="3"/>
        <v>1.0213876172188263</v>
      </c>
      <c r="I24" s="42">
        <f t="shared" si="4"/>
        <v>-748357.36897288833</v>
      </c>
    </row>
    <row r="25" spans="1:9" x14ac:dyDescent="0.25">
      <c r="A25" s="38">
        <f>Données!A25</f>
        <v>5426</v>
      </c>
      <c r="B25" s="27" t="str">
        <f>Données!B25</f>
        <v>Bougy-Villars</v>
      </c>
      <c r="C25" s="31">
        <f>Données!Z25</f>
        <v>506</v>
      </c>
      <c r="D25" s="225">
        <f>Ecrêtage!E25</f>
        <v>122.42111111111109</v>
      </c>
      <c r="E25" s="225">
        <f t="shared" si="1"/>
        <v>0</v>
      </c>
      <c r="F25" s="225">
        <f>+Données!X25</f>
        <v>64.5</v>
      </c>
      <c r="G25" s="352">
        <f t="shared" si="2"/>
        <v>0</v>
      </c>
      <c r="H25" s="160">
        <f t="shared" si="3"/>
        <v>0.95477538131325068</v>
      </c>
      <c r="I25" s="42">
        <f t="shared" si="4"/>
        <v>0</v>
      </c>
    </row>
    <row r="26" spans="1:9" x14ac:dyDescent="0.25">
      <c r="A26" s="38">
        <f>Données!A26</f>
        <v>5427</v>
      </c>
      <c r="B26" s="27" t="str">
        <f>Données!B26</f>
        <v>Féchy</v>
      </c>
      <c r="C26" s="31">
        <f>Données!Z26</f>
        <v>887</v>
      </c>
      <c r="D26" s="225">
        <f>Ecrêtage!E26</f>
        <v>97.995610392637232</v>
      </c>
      <c r="E26" s="225">
        <f t="shared" si="1"/>
        <v>0</v>
      </c>
      <c r="F26" s="225">
        <f>+Données!X26</f>
        <v>64</v>
      </c>
      <c r="G26" s="352">
        <f t="shared" si="2"/>
        <v>0</v>
      </c>
      <c r="H26" s="160">
        <f t="shared" si="3"/>
        <v>0.94737402176818675</v>
      </c>
      <c r="I26" s="42">
        <f t="shared" si="4"/>
        <v>0</v>
      </c>
    </row>
    <row r="27" spans="1:9" x14ac:dyDescent="0.25">
      <c r="A27" s="38">
        <f>Données!A27</f>
        <v>5428</v>
      </c>
      <c r="B27" s="27" t="str">
        <f>Données!B27</f>
        <v>Gimel</v>
      </c>
      <c r="C27" s="31">
        <f>Données!Z27</f>
        <v>2414</v>
      </c>
      <c r="D27" s="225">
        <f>Ecrêtage!E27</f>
        <v>29.559895603387396</v>
      </c>
      <c r="E27" s="225">
        <f t="shared" si="1"/>
        <v>18.910867009524317</v>
      </c>
      <c r="F27" s="225">
        <f>+Données!X27</f>
        <v>74.5</v>
      </c>
      <c r="G27" s="352">
        <f t="shared" si="2"/>
        <v>-918266.50501034805</v>
      </c>
      <c r="H27" s="160">
        <f t="shared" si="3"/>
        <v>1.1028025722145298</v>
      </c>
      <c r="I27" s="42">
        <f t="shared" si="4"/>
        <v>-1012666.6637038583</v>
      </c>
    </row>
    <row r="28" spans="1:9" x14ac:dyDescent="0.25">
      <c r="A28" s="38">
        <f>Données!A28</f>
        <v>5429</v>
      </c>
      <c r="B28" s="27" t="str">
        <f>Données!B28</f>
        <v>Longirod</v>
      </c>
      <c r="C28" s="31">
        <f>Données!Z28</f>
        <v>541</v>
      </c>
      <c r="D28" s="225">
        <f>Ecrêtage!E28</f>
        <v>31.686471885993686</v>
      </c>
      <c r="E28" s="225">
        <f t="shared" si="1"/>
        <v>16.784290726918027</v>
      </c>
      <c r="F28" s="225">
        <f>+Données!X28</f>
        <v>77.5</v>
      </c>
      <c r="G28" s="352">
        <f t="shared" si="2"/>
        <v>-190005.30435227099</v>
      </c>
      <c r="H28" s="160">
        <f t="shared" si="3"/>
        <v>1.1472107294849136</v>
      </c>
      <c r="I28" s="42">
        <f t="shared" si="4"/>
        <v>-217976.12381197183</v>
      </c>
    </row>
    <row r="29" spans="1:9" x14ac:dyDescent="0.25">
      <c r="A29" s="38">
        <f>Données!A29</f>
        <v>5430</v>
      </c>
      <c r="B29" s="27" t="str">
        <f>Données!B29</f>
        <v>Marchissy</v>
      </c>
      <c r="C29" s="31">
        <f>Données!Z29</f>
        <v>499</v>
      </c>
      <c r="D29" s="225">
        <f>Ecrêtage!E29</f>
        <v>34.312055077897732</v>
      </c>
      <c r="E29" s="225">
        <f t="shared" si="1"/>
        <v>14.158707535013981</v>
      </c>
      <c r="F29" s="225">
        <f>+Données!X29</f>
        <v>77.5</v>
      </c>
      <c r="G29" s="352">
        <f t="shared" si="2"/>
        <v>-147839.20662991362</v>
      </c>
      <c r="H29" s="160">
        <f t="shared" si="3"/>
        <v>1.1472107294849136</v>
      </c>
      <c r="I29" s="42">
        <f t="shared" si="4"/>
        <v>-169602.72408437409</v>
      </c>
    </row>
    <row r="30" spans="1:9" x14ac:dyDescent="0.25">
      <c r="A30" s="38">
        <f>Données!A30</f>
        <v>5431</v>
      </c>
      <c r="B30" s="27" t="str">
        <f>Données!B30</f>
        <v>Mollens</v>
      </c>
      <c r="C30" s="31">
        <f>Données!Z30</f>
        <v>324</v>
      </c>
      <c r="D30" s="225">
        <f>Ecrêtage!E30</f>
        <v>29.243980230230232</v>
      </c>
      <c r="E30" s="225">
        <f t="shared" si="1"/>
        <v>19.226782382681481</v>
      </c>
      <c r="F30" s="225">
        <f>+Données!X30</f>
        <v>74</v>
      </c>
      <c r="G30" s="352">
        <f t="shared" si="2"/>
        <v>-124464.96028993622</v>
      </c>
      <c r="H30" s="160">
        <f t="shared" si="3"/>
        <v>1.0954012126694659</v>
      </c>
      <c r="I30" s="42">
        <f t="shared" si="4"/>
        <v>-136339.06843645306</v>
      </c>
    </row>
    <row r="31" spans="1:9" x14ac:dyDescent="0.25">
      <c r="A31" s="38">
        <f>Données!A31</f>
        <v>5434</v>
      </c>
      <c r="B31" s="27" t="str">
        <f>Données!B31</f>
        <v>Saint-George</v>
      </c>
      <c r="C31" s="31">
        <f>Données!Z31</f>
        <v>1069</v>
      </c>
      <c r="D31" s="225">
        <f>Ecrêtage!E31</f>
        <v>38.269830362090119</v>
      </c>
      <c r="E31" s="225">
        <f t="shared" si="1"/>
        <v>10.200932250821594</v>
      </c>
      <c r="F31" s="225">
        <f>+Données!X31</f>
        <v>69.5</v>
      </c>
      <c r="G31" s="352">
        <f t="shared" si="2"/>
        <v>-204628.50775104726</v>
      </c>
      <c r="H31" s="160">
        <f t="shared" si="3"/>
        <v>1.0287889767638903</v>
      </c>
      <c r="I31" s="42">
        <f t="shared" si="4"/>
        <v>-210519.55310592169</v>
      </c>
    </row>
    <row r="32" spans="1:9" x14ac:dyDescent="0.25">
      <c r="A32" s="38">
        <f>Données!A32</f>
        <v>5435</v>
      </c>
      <c r="B32" s="27" t="str">
        <f>Données!B32</f>
        <v>Saint-Livres</v>
      </c>
      <c r="C32" s="31">
        <f>Données!Z32</f>
        <v>697</v>
      </c>
      <c r="D32" s="225">
        <f>Ecrêtage!E32</f>
        <v>36.531265256898088</v>
      </c>
      <c r="E32" s="225">
        <f t="shared" si="1"/>
        <v>11.939497356013625</v>
      </c>
      <c r="F32" s="225">
        <f>+Données!X32</f>
        <v>69</v>
      </c>
      <c r="G32" s="352">
        <f t="shared" si="2"/>
        <v>-155035.68651254606</v>
      </c>
      <c r="H32" s="160">
        <f t="shared" si="3"/>
        <v>1.0213876172188263</v>
      </c>
      <c r="I32" s="42">
        <f t="shared" si="4"/>
        <v>-158351.53043093436</v>
      </c>
    </row>
    <row r="33" spans="1:9" x14ac:dyDescent="0.25">
      <c r="A33" s="38">
        <f>Données!A33</f>
        <v>5436</v>
      </c>
      <c r="B33" s="27" t="str">
        <f>Données!B33</f>
        <v>Saint-Oyens</v>
      </c>
      <c r="C33" s="31">
        <f>Données!Z33</f>
        <v>456</v>
      </c>
      <c r="D33" s="225">
        <f>Ecrêtage!E33</f>
        <v>36.020552131912062</v>
      </c>
      <c r="E33" s="225">
        <f t="shared" si="1"/>
        <v>12.450210480999651</v>
      </c>
      <c r="F33" s="225">
        <f>+Données!X33</f>
        <v>79</v>
      </c>
      <c r="G33" s="352">
        <f t="shared" si="2"/>
        <v>-121096.72323923348</v>
      </c>
      <c r="H33" s="160">
        <f t="shared" si="3"/>
        <v>1.1694148081201055</v>
      </c>
      <c r="I33" s="42">
        <f t="shared" si="4"/>
        <v>-141612.30137078173</v>
      </c>
    </row>
    <row r="34" spans="1:9" x14ac:dyDescent="0.25">
      <c r="A34" s="38">
        <f>Données!A34</f>
        <v>5437</v>
      </c>
      <c r="B34" s="27" t="str">
        <f>Données!B34</f>
        <v>Saubraz</v>
      </c>
      <c r="C34" s="31">
        <f>Données!Z34</f>
        <v>449</v>
      </c>
      <c r="D34" s="225">
        <f>Ecrêtage!E34</f>
        <v>27.010951559020047</v>
      </c>
      <c r="E34" s="225">
        <f t="shared" si="1"/>
        <v>21.459811053891666</v>
      </c>
      <c r="F34" s="225">
        <f>+Données!X34</f>
        <v>80</v>
      </c>
      <c r="G34" s="352">
        <f t="shared" si="2"/>
        <v>-208125.83152506297</v>
      </c>
      <c r="H34" s="160">
        <f t="shared" si="3"/>
        <v>1.1842175272102335</v>
      </c>
      <c r="I34" s="42">
        <f t="shared" si="4"/>
        <v>-246466.25755718374</v>
      </c>
    </row>
    <row r="35" spans="1:9" x14ac:dyDescent="0.25">
      <c r="A35" s="38">
        <f>Données!A35</f>
        <v>5451</v>
      </c>
      <c r="B35" s="27" t="str">
        <f>Données!B35</f>
        <v>Avenches</v>
      </c>
      <c r="C35" s="31">
        <f>Données!Z35</f>
        <v>4696</v>
      </c>
      <c r="D35" s="225">
        <f>Ecrêtage!E35</f>
        <v>30.373321228966784</v>
      </c>
      <c r="E35" s="225">
        <f t="shared" si="1"/>
        <v>18.097441383944929</v>
      </c>
      <c r="F35" s="225">
        <f>+Données!X35</f>
        <v>66.5</v>
      </c>
      <c r="G35" s="352">
        <f t="shared" si="2"/>
        <v>-1525916.1739888419</v>
      </c>
      <c r="H35" s="160">
        <f t="shared" si="3"/>
        <v>0.98438081949350653</v>
      </c>
      <c r="I35" s="42">
        <f t="shared" si="4"/>
        <v>-1502082.6138295324</v>
      </c>
    </row>
    <row r="36" spans="1:9" x14ac:dyDescent="0.25">
      <c r="A36" s="38">
        <f>Données!A36</f>
        <v>5456</v>
      </c>
      <c r="B36" s="27" t="str">
        <f>Données!B36</f>
        <v>Cudrefin</v>
      </c>
      <c r="C36" s="31">
        <f>Données!Z36</f>
        <v>1876</v>
      </c>
      <c r="D36" s="225">
        <f>Ecrêtage!E36</f>
        <v>34.147327255971952</v>
      </c>
      <c r="E36" s="225">
        <f t="shared" si="1"/>
        <v>14.323435356939761</v>
      </c>
      <c r="F36" s="225">
        <f>+Données!X36</f>
        <v>59</v>
      </c>
      <c r="G36" s="352">
        <f t="shared" si="2"/>
        <v>-428051.28214283061</v>
      </c>
      <c r="H36" s="160">
        <f t="shared" si="3"/>
        <v>0.87336042631754718</v>
      </c>
      <c r="I36" s="42">
        <f t="shared" si="4"/>
        <v>-373843.05025803519</v>
      </c>
    </row>
    <row r="37" spans="1:9" x14ac:dyDescent="0.25">
      <c r="A37" s="38">
        <f>Données!A37</f>
        <v>5458</v>
      </c>
      <c r="B37" s="27" t="str">
        <f>Données!B37</f>
        <v>Faoug</v>
      </c>
      <c r="C37" s="31">
        <f>Données!Z37</f>
        <v>903</v>
      </c>
      <c r="D37" s="225">
        <f>Ecrêtage!E37</f>
        <v>36.136124598915288</v>
      </c>
      <c r="E37" s="225">
        <f t="shared" si="1"/>
        <v>12.334638013996425</v>
      </c>
      <c r="F37" s="225">
        <f>+Données!X37</f>
        <v>65</v>
      </c>
      <c r="G37" s="352">
        <f t="shared" si="2"/>
        <v>-195475.02612251046</v>
      </c>
      <c r="H37" s="160">
        <f t="shared" si="3"/>
        <v>0.96217674085831462</v>
      </c>
      <c r="I37" s="42">
        <f t="shared" si="4"/>
        <v>-188081.52355375103</v>
      </c>
    </row>
    <row r="38" spans="1:9" x14ac:dyDescent="0.25">
      <c r="A38" s="38">
        <f>Données!A38</f>
        <v>5464</v>
      </c>
      <c r="B38" s="27" t="str">
        <f>Données!B38</f>
        <v>Vully-les-Lacs</v>
      </c>
      <c r="C38" s="31">
        <f>Données!Z38</f>
        <v>3540</v>
      </c>
      <c r="D38" s="225">
        <f>Ecrêtage!E38</f>
        <v>33.314533139387812</v>
      </c>
      <c r="E38" s="225">
        <f t="shared" si="1"/>
        <v>15.156229473523901</v>
      </c>
      <c r="F38" s="225">
        <f>+Données!X38</f>
        <v>67</v>
      </c>
      <c r="G38" s="352">
        <f t="shared" si="2"/>
        <v>-970583.71676320781</v>
      </c>
      <c r="H38" s="160">
        <f t="shared" si="3"/>
        <v>0.99178217903857047</v>
      </c>
      <c r="I38" s="42">
        <f t="shared" si="4"/>
        <v>-962607.63355076895</v>
      </c>
    </row>
    <row r="39" spans="1:9" x14ac:dyDescent="0.25">
      <c r="A39" s="38">
        <f>Données!A39</f>
        <v>5471</v>
      </c>
      <c r="B39" s="27" t="str">
        <f>Données!B39</f>
        <v>Bettens</v>
      </c>
      <c r="C39" s="31">
        <f>Données!Z39</f>
        <v>650</v>
      </c>
      <c r="D39" s="225">
        <f>Ecrêtage!E39</f>
        <v>34.911211404151402</v>
      </c>
      <c r="E39" s="225">
        <f t="shared" si="1"/>
        <v>13.559551208760311</v>
      </c>
      <c r="F39" s="225">
        <f>+Données!X39</f>
        <v>70</v>
      </c>
      <c r="G39" s="352">
        <f t="shared" si="2"/>
        <v>-166579.08659962044</v>
      </c>
      <c r="H39" s="160">
        <f t="shared" si="3"/>
        <v>1.0361903363089542</v>
      </c>
      <c r="I39" s="42">
        <f t="shared" si="4"/>
        <v>-172607.6397656991</v>
      </c>
    </row>
    <row r="40" spans="1:9" x14ac:dyDescent="0.25">
      <c r="A40" s="38">
        <f>Données!A40</f>
        <v>5472</v>
      </c>
      <c r="B40" s="27" t="str">
        <f>Données!B40</f>
        <v>Bournens</v>
      </c>
      <c r="C40" s="31">
        <f>Données!Z40</f>
        <v>514</v>
      </c>
      <c r="D40" s="225">
        <f>Ecrêtage!E40</f>
        <v>38.861549839780274</v>
      </c>
      <c r="E40" s="225">
        <f t="shared" si="1"/>
        <v>9.6092127731314392</v>
      </c>
      <c r="F40" s="225">
        <f>+Données!X40</f>
        <v>68</v>
      </c>
      <c r="G40" s="352">
        <f t="shared" si="2"/>
        <v>-90682.525308552315</v>
      </c>
      <c r="H40" s="160">
        <f t="shared" si="3"/>
        <v>1.0065848981286984</v>
      </c>
      <c r="I40" s="42">
        <f t="shared" si="4"/>
        <v>-91279.660499762249</v>
      </c>
    </row>
    <row r="41" spans="1:9" x14ac:dyDescent="0.25">
      <c r="A41" s="38">
        <f>Données!A41</f>
        <v>5473</v>
      </c>
      <c r="B41" s="27" t="str">
        <f>Données!B41</f>
        <v>Boussens</v>
      </c>
      <c r="C41" s="31">
        <f>Données!Z41</f>
        <v>1009</v>
      </c>
      <c r="D41" s="225">
        <f>Ecrêtage!E41</f>
        <v>39.686010901883051</v>
      </c>
      <c r="E41" s="225">
        <f t="shared" si="1"/>
        <v>8.7847517110286617</v>
      </c>
      <c r="F41" s="225">
        <f>+Données!X41</f>
        <v>66</v>
      </c>
      <c r="G41" s="352">
        <f t="shared" si="2"/>
        <v>-157953.17396994555</v>
      </c>
      <c r="H41" s="160">
        <f t="shared" si="3"/>
        <v>0.9769794599484426</v>
      </c>
      <c r="I41" s="42">
        <f t="shared" si="4"/>
        <v>-154317.00660229981</v>
      </c>
    </row>
    <row r="42" spans="1:9" x14ac:dyDescent="0.25">
      <c r="A42" s="38">
        <f>Données!A42</f>
        <v>5474</v>
      </c>
      <c r="B42" s="27" t="str">
        <f>Données!B42</f>
        <v>La Chaux (Cossonay)</v>
      </c>
      <c r="C42" s="31">
        <f>Données!Z42</f>
        <v>412</v>
      </c>
      <c r="D42" s="225">
        <f>Ecrêtage!E42</f>
        <v>33.646884527763582</v>
      </c>
      <c r="E42" s="225">
        <f t="shared" si="1"/>
        <v>14.823878085148131</v>
      </c>
      <c r="F42" s="225">
        <f>+Données!X42</f>
        <v>76</v>
      </c>
      <c r="G42" s="352">
        <f t="shared" si="2"/>
        <v>-125324.62306258274</v>
      </c>
      <c r="H42" s="160">
        <f t="shared" si="3"/>
        <v>1.1250066508497218</v>
      </c>
      <c r="I42" s="42">
        <f t="shared" si="4"/>
        <v>-140991.03446064002</v>
      </c>
    </row>
    <row r="43" spans="1:9" x14ac:dyDescent="0.25">
      <c r="A43" s="38">
        <f>Données!A43</f>
        <v>5475</v>
      </c>
      <c r="B43" s="27" t="str">
        <f>Données!B43</f>
        <v>Chavannes-le-Veyron</v>
      </c>
      <c r="C43" s="31">
        <f>Données!Z43</f>
        <v>163</v>
      </c>
      <c r="D43" s="225">
        <f>Ecrêtage!E43</f>
        <v>26.363219631901842</v>
      </c>
      <c r="E43" s="225">
        <f t="shared" si="1"/>
        <v>22.107542981009871</v>
      </c>
      <c r="F43" s="225">
        <f>+Données!X43</f>
        <v>75</v>
      </c>
      <c r="G43" s="352">
        <f t="shared" si="2"/>
        <v>-72971.472494568327</v>
      </c>
      <c r="H43" s="160">
        <f t="shared" si="3"/>
        <v>1.1102039317595938</v>
      </c>
      <c r="I43" s="42">
        <f t="shared" si="4"/>
        <v>-81013.215669756813</v>
      </c>
    </row>
    <row r="44" spans="1:9" x14ac:dyDescent="0.25">
      <c r="A44" s="38">
        <f>Données!A44</f>
        <v>5476</v>
      </c>
      <c r="B44" s="27" t="str">
        <f>Données!B44</f>
        <v>Chevilly</v>
      </c>
      <c r="C44" s="31">
        <f>Données!Z44</f>
        <v>331</v>
      </c>
      <c r="D44" s="225">
        <f>Ecrêtage!E44</f>
        <v>40.962093551411613</v>
      </c>
      <c r="E44" s="225">
        <f t="shared" si="1"/>
        <v>7.5086690615001004</v>
      </c>
      <c r="F44" s="225">
        <f>+Données!X44</f>
        <v>72.5</v>
      </c>
      <c r="G44" s="352">
        <f t="shared" si="2"/>
        <v>-48651.107166904141</v>
      </c>
      <c r="H44" s="160">
        <f t="shared" si="3"/>
        <v>1.0731971340342741</v>
      </c>
      <c r="I44" s="42">
        <f t="shared" si="4"/>
        <v>-52212.228779115852</v>
      </c>
    </row>
    <row r="45" spans="1:9" x14ac:dyDescent="0.25">
      <c r="A45" s="38">
        <f>Données!A45</f>
        <v>5477</v>
      </c>
      <c r="B45" s="27" t="str">
        <f>Données!B45</f>
        <v>Cossonay</v>
      </c>
      <c r="C45" s="31">
        <f>Données!Z45</f>
        <v>4389</v>
      </c>
      <c r="D45" s="225">
        <f>Ecrêtage!E45</f>
        <v>34.515955530537568</v>
      </c>
      <c r="E45" s="225">
        <f t="shared" si="1"/>
        <v>13.954807082374145</v>
      </c>
      <c r="F45" s="225">
        <f>+Données!X45</f>
        <v>68</v>
      </c>
      <c r="G45" s="352">
        <f t="shared" si="2"/>
        <v>-1124506.8225041567</v>
      </c>
      <c r="H45" s="160">
        <f t="shared" si="3"/>
        <v>1.0065848981286984</v>
      </c>
      <c r="I45" s="42">
        <f t="shared" si="4"/>
        <v>-1131911.585375373</v>
      </c>
    </row>
    <row r="46" spans="1:9" x14ac:dyDescent="0.25">
      <c r="A46" s="38">
        <f>Données!A46</f>
        <v>5479</v>
      </c>
      <c r="B46" s="27" t="str">
        <f>Données!B46</f>
        <v>Cuarnens</v>
      </c>
      <c r="C46" s="31">
        <f>Données!Z46</f>
        <v>545</v>
      </c>
      <c r="D46" s="225">
        <f>Ecrêtage!E46</f>
        <v>26.296032646252829</v>
      </c>
      <c r="E46" s="225">
        <f t="shared" si="1"/>
        <v>22.174729966658884</v>
      </c>
      <c r="F46" s="225">
        <f>+Données!X46</f>
        <v>77</v>
      </c>
      <c r="G46" s="352">
        <f t="shared" si="2"/>
        <v>-251251.88662372684</v>
      </c>
      <c r="H46" s="160">
        <f t="shared" si="3"/>
        <v>1.1398093699398497</v>
      </c>
      <c r="I46" s="42">
        <f t="shared" si="4"/>
        <v>-286379.25458878867</v>
      </c>
    </row>
    <row r="47" spans="1:9" x14ac:dyDescent="0.25">
      <c r="A47" s="38">
        <f>Données!A47</f>
        <v>5480</v>
      </c>
      <c r="B47" s="27" t="str">
        <f>Données!B47</f>
        <v>Daillens</v>
      </c>
      <c r="C47" s="31">
        <f>Données!Z47</f>
        <v>1057</v>
      </c>
      <c r="D47" s="225">
        <f>Ecrêtage!E47</f>
        <v>40.416523656622992</v>
      </c>
      <c r="E47" s="225">
        <f t="shared" si="1"/>
        <v>8.0542389562887209</v>
      </c>
      <c r="F47" s="225">
        <f>+Données!X47</f>
        <v>66</v>
      </c>
      <c r="G47" s="352">
        <f t="shared" si="2"/>
        <v>-151707.55087852574</v>
      </c>
      <c r="H47" s="160">
        <f t="shared" si="3"/>
        <v>0.9769794599484426</v>
      </c>
      <c r="I47" s="42">
        <f t="shared" si="4"/>
        <v>-148215.16112740294</v>
      </c>
    </row>
    <row r="48" spans="1:9" x14ac:dyDescent="0.25">
      <c r="A48" s="38">
        <f>Données!A48</f>
        <v>5481</v>
      </c>
      <c r="B48" s="27" t="str">
        <f>Données!B48</f>
        <v>Dizy</v>
      </c>
      <c r="C48" s="31">
        <f>Données!Z48</f>
        <v>232</v>
      </c>
      <c r="D48" s="225">
        <f>Ecrêtage!E48</f>
        <v>36.865153448275869</v>
      </c>
      <c r="E48" s="225">
        <f t="shared" si="1"/>
        <v>11.605609164635844</v>
      </c>
      <c r="F48" s="225">
        <f>+Données!X48</f>
        <v>75</v>
      </c>
      <c r="G48" s="352">
        <f t="shared" si="2"/>
        <v>-54523.151855459197</v>
      </c>
      <c r="H48" s="160">
        <f t="shared" si="3"/>
        <v>1.1102039317595938</v>
      </c>
      <c r="I48" s="42">
        <f t="shared" si="4"/>
        <v>-60531.817561856187</v>
      </c>
    </row>
    <row r="49" spans="1:9" x14ac:dyDescent="0.25">
      <c r="A49" s="38">
        <f>Données!A49</f>
        <v>5482</v>
      </c>
      <c r="B49" s="27" t="str">
        <f>Données!B49</f>
        <v>Eclépens</v>
      </c>
      <c r="C49" s="31">
        <f>Données!Z49</f>
        <v>1199</v>
      </c>
      <c r="D49" s="225">
        <f>Ecrêtage!E49</f>
        <v>40.295699858577805</v>
      </c>
      <c r="E49" s="225">
        <f t="shared" si="1"/>
        <v>8.1750627543339078</v>
      </c>
      <c r="F49" s="225">
        <f>+Données!X49</f>
        <v>46</v>
      </c>
      <c r="G49" s="352">
        <f t="shared" si="2"/>
        <v>-121739.60101118375</v>
      </c>
      <c r="H49" s="160">
        <f t="shared" si="3"/>
        <v>0.68092507814588421</v>
      </c>
      <c r="I49" s="42">
        <f t="shared" si="4"/>
        <v>-82895.547331989059</v>
      </c>
    </row>
    <row r="50" spans="1:9" x14ac:dyDescent="0.25">
      <c r="A50" s="38">
        <f>Données!A50</f>
        <v>5483</v>
      </c>
      <c r="B50" s="27" t="str">
        <f>Données!B50</f>
        <v>Ferreyres</v>
      </c>
      <c r="C50" s="31">
        <f>Données!Z50</f>
        <v>308</v>
      </c>
      <c r="D50" s="225">
        <f>Ecrêtage!E50</f>
        <v>33.390530160628842</v>
      </c>
      <c r="E50" s="225">
        <f t="shared" si="1"/>
        <v>15.080232452282871</v>
      </c>
      <c r="F50" s="225">
        <f>+Données!X50</f>
        <v>76</v>
      </c>
      <c r="G50" s="352">
        <f t="shared" si="2"/>
        <v>-95309.481935620119</v>
      </c>
      <c r="H50" s="160">
        <f t="shared" si="3"/>
        <v>1.1250066508497218</v>
      </c>
      <c r="I50" s="42">
        <f t="shared" si="4"/>
        <v>-107223.80106661405</v>
      </c>
    </row>
    <row r="51" spans="1:9" x14ac:dyDescent="0.25">
      <c r="A51" s="38">
        <f>Données!A51</f>
        <v>5484</v>
      </c>
      <c r="B51" s="27" t="str">
        <f>Données!B51</f>
        <v>Gollion</v>
      </c>
      <c r="C51" s="31">
        <f>Données!Z51</f>
        <v>1033</v>
      </c>
      <c r="D51" s="225">
        <f>Ecrêtage!E51</f>
        <v>31.560184846027052</v>
      </c>
      <c r="E51" s="225">
        <f t="shared" si="1"/>
        <v>16.910577766884661</v>
      </c>
      <c r="F51" s="225">
        <f>+Données!X51</f>
        <v>74</v>
      </c>
      <c r="G51" s="352">
        <f t="shared" si="2"/>
        <v>-349023.16412717331</v>
      </c>
      <c r="H51" s="160">
        <f t="shared" si="3"/>
        <v>1.0954012126694659</v>
      </c>
      <c r="I51" s="42">
        <f t="shared" si="4"/>
        <v>-382320.39723463968</v>
      </c>
    </row>
    <row r="52" spans="1:9" x14ac:dyDescent="0.25">
      <c r="A52" s="38">
        <f>Données!A52</f>
        <v>5485</v>
      </c>
      <c r="B52" s="27" t="str">
        <f>Données!B52</f>
        <v>Grancy</v>
      </c>
      <c r="C52" s="31">
        <f>Données!Z52</f>
        <v>489</v>
      </c>
      <c r="D52" s="225">
        <f>Ecrêtage!E52</f>
        <v>38.775829097283086</v>
      </c>
      <c r="E52" s="225">
        <f t="shared" si="1"/>
        <v>9.6949335156286267</v>
      </c>
      <c r="F52" s="225">
        <f>+Données!X52</f>
        <v>70</v>
      </c>
      <c r="G52" s="352">
        <f t="shared" si="2"/>
        <v>-89601.545044791346</v>
      </c>
      <c r="H52" s="160">
        <f t="shared" si="3"/>
        <v>1.0361903363089542</v>
      </c>
      <c r="I52" s="42">
        <f t="shared" si="4"/>
        <v>-92844.255093764252</v>
      </c>
    </row>
    <row r="53" spans="1:9" x14ac:dyDescent="0.25">
      <c r="A53" s="38">
        <f>Données!A53</f>
        <v>5486</v>
      </c>
      <c r="B53" s="27" t="str">
        <f>Données!B53</f>
        <v>L'Isle</v>
      </c>
      <c r="C53" s="31">
        <f>Données!Z53</f>
        <v>1095</v>
      </c>
      <c r="D53" s="225">
        <f>Ecrêtage!E53</f>
        <v>31.740836042617968</v>
      </c>
      <c r="E53" s="225">
        <f t="shared" si="1"/>
        <v>16.729926570293745</v>
      </c>
      <c r="F53" s="225">
        <f>+Données!X53</f>
        <v>75</v>
      </c>
      <c r="G53" s="352">
        <f t="shared" si="2"/>
        <v>-370965.20928805094</v>
      </c>
      <c r="H53" s="160">
        <f t="shared" si="3"/>
        <v>1.1102039317595938</v>
      </c>
      <c r="I53" s="42">
        <f t="shared" si="4"/>
        <v>-411847.03389761475</v>
      </c>
    </row>
    <row r="54" spans="1:9" x14ac:dyDescent="0.25">
      <c r="A54" s="38">
        <f>Données!A54</f>
        <v>5487</v>
      </c>
      <c r="B54" s="27" t="str">
        <f>Données!B54</f>
        <v>Lussery-Villars</v>
      </c>
      <c r="C54" s="31">
        <f>Données!Z54</f>
        <v>482</v>
      </c>
      <c r="D54" s="225">
        <f>Ecrêtage!E54</f>
        <v>24.984688520055325</v>
      </c>
      <c r="E54" s="225">
        <f t="shared" si="1"/>
        <v>23.486074092856388</v>
      </c>
      <c r="F54" s="225">
        <f>+Données!X54</f>
        <v>75</v>
      </c>
      <c r="G54" s="352">
        <f t="shared" si="2"/>
        <v>-229235.8261833248</v>
      </c>
      <c r="H54" s="160">
        <f t="shared" si="3"/>
        <v>1.1102039317595938</v>
      </c>
      <c r="I54" s="42">
        <f t="shared" si="4"/>
        <v>-254498.51552888603</v>
      </c>
    </row>
    <row r="55" spans="1:9" x14ac:dyDescent="0.25">
      <c r="A55" s="38">
        <f>Données!A55</f>
        <v>5488</v>
      </c>
      <c r="B55" s="27" t="str">
        <f>Données!B55</f>
        <v>Mauraz</v>
      </c>
      <c r="C55" s="31">
        <f>Données!Z55</f>
        <v>65</v>
      </c>
      <c r="D55" s="225">
        <f>Ecrêtage!E55</f>
        <v>32.793942057942068</v>
      </c>
      <c r="E55" s="225">
        <f t="shared" si="1"/>
        <v>15.676820554969645</v>
      </c>
      <c r="F55" s="225">
        <f>+Données!X55</f>
        <v>77</v>
      </c>
      <c r="G55" s="352">
        <f t="shared" si="2"/>
        <v>-21184.87145695823</v>
      </c>
      <c r="H55" s="160">
        <f t="shared" si="3"/>
        <v>1.1398093699398497</v>
      </c>
      <c r="I55" s="42">
        <f t="shared" si="4"/>
        <v>-24146.714987612268</v>
      </c>
    </row>
    <row r="56" spans="1:9" x14ac:dyDescent="0.25">
      <c r="A56" s="38">
        <f>Données!A56</f>
        <v>5489</v>
      </c>
      <c r="B56" s="27" t="str">
        <f>Données!B56</f>
        <v>Mex</v>
      </c>
      <c r="C56" s="31">
        <f>Données!Z56</f>
        <v>817</v>
      </c>
      <c r="D56" s="225">
        <f>Ecrêtage!E56</f>
        <v>74.345615749359723</v>
      </c>
      <c r="E56" s="225">
        <f t="shared" si="1"/>
        <v>0</v>
      </c>
      <c r="F56" s="225">
        <f>+Données!X56</f>
        <v>59.5</v>
      </c>
      <c r="G56" s="352">
        <f t="shared" si="2"/>
        <v>0</v>
      </c>
      <c r="H56" s="160">
        <f t="shared" si="3"/>
        <v>0.88076178586261111</v>
      </c>
      <c r="I56" s="42">
        <f t="shared" si="4"/>
        <v>0</v>
      </c>
    </row>
    <row r="57" spans="1:9" x14ac:dyDescent="0.25">
      <c r="A57" s="38">
        <f>Données!A57</f>
        <v>5490</v>
      </c>
      <c r="B57" s="27" t="str">
        <f>Données!B57</f>
        <v>Moiry</v>
      </c>
      <c r="C57" s="31">
        <f>Données!Z57</f>
        <v>296</v>
      </c>
      <c r="D57" s="225">
        <f>Ecrêtage!E57</f>
        <v>28.584298438048439</v>
      </c>
      <c r="E57" s="225">
        <f t="shared" si="1"/>
        <v>19.886464174863274</v>
      </c>
      <c r="F57" s="225">
        <f>+Données!X57</f>
        <v>77</v>
      </c>
      <c r="G57" s="352">
        <f t="shared" si="2"/>
        <v>-122378.11869784062</v>
      </c>
      <c r="H57" s="160">
        <f t="shared" si="3"/>
        <v>1.1398093699398497</v>
      </c>
      <c r="I57" s="42">
        <f t="shared" si="4"/>
        <v>-139487.72636740986</v>
      </c>
    </row>
    <row r="58" spans="1:9" x14ac:dyDescent="0.25">
      <c r="A58" s="38">
        <f>Données!A58</f>
        <v>5491</v>
      </c>
      <c r="B58" s="27" t="str">
        <f>Données!B58</f>
        <v>Mont-la-Ville</v>
      </c>
      <c r="C58" s="31">
        <f>Données!Z58</f>
        <v>502</v>
      </c>
      <c r="D58" s="225">
        <f>Ecrêtage!E58</f>
        <v>27.574137921996225</v>
      </c>
      <c r="E58" s="225">
        <f t="shared" si="1"/>
        <v>20.896624690915488</v>
      </c>
      <c r="F58" s="225">
        <f>+Données!X58</f>
        <v>76</v>
      </c>
      <c r="G58" s="352">
        <f t="shared" si="2"/>
        <v>-215256.96680610807</v>
      </c>
      <c r="H58" s="160">
        <f t="shared" si="3"/>
        <v>1.1250066508497218</v>
      </c>
      <c r="I58" s="42">
        <f t="shared" si="4"/>
        <v>-242165.5192986094</v>
      </c>
    </row>
    <row r="59" spans="1:9" x14ac:dyDescent="0.25">
      <c r="A59" s="38">
        <f>Données!A59</f>
        <v>5492</v>
      </c>
      <c r="B59" s="27" t="str">
        <f>Données!B59</f>
        <v>Montricher</v>
      </c>
      <c r="C59" s="31">
        <f>Données!Z59</f>
        <v>978</v>
      </c>
      <c r="D59" s="225">
        <f>Ecrêtage!E59</f>
        <v>153.27973479038849</v>
      </c>
      <c r="E59" s="225">
        <f t="shared" si="1"/>
        <v>0</v>
      </c>
      <c r="F59" s="225">
        <f>+Données!X59</f>
        <v>64</v>
      </c>
      <c r="G59" s="352">
        <f t="shared" si="2"/>
        <v>0</v>
      </c>
      <c r="H59" s="160">
        <f t="shared" si="3"/>
        <v>0.94737402176818675</v>
      </c>
      <c r="I59" s="42">
        <f t="shared" si="4"/>
        <v>0</v>
      </c>
    </row>
    <row r="60" spans="1:9" x14ac:dyDescent="0.25">
      <c r="A60" s="38">
        <f>Données!A60</f>
        <v>5493</v>
      </c>
      <c r="B60" s="27" t="str">
        <f>Données!B60</f>
        <v>Orny</v>
      </c>
      <c r="C60" s="31">
        <f>Données!Z60</f>
        <v>484</v>
      </c>
      <c r="D60" s="225">
        <f>Ecrêtage!E60</f>
        <v>30.23931937925089</v>
      </c>
      <c r="E60" s="225">
        <f t="shared" si="1"/>
        <v>18.231443233660823</v>
      </c>
      <c r="F60" s="225">
        <f>+Données!X60</f>
        <v>73</v>
      </c>
      <c r="G60" s="352">
        <f t="shared" si="2"/>
        <v>-173921.40512956015</v>
      </c>
      <c r="H60" s="160">
        <f t="shared" si="3"/>
        <v>1.080598493579338</v>
      </c>
      <c r="I60" s="42">
        <f t="shared" si="4"/>
        <v>-187939.20838420445</v>
      </c>
    </row>
    <row r="61" spans="1:9" x14ac:dyDescent="0.25">
      <c r="A61" s="38">
        <f>Données!A61</f>
        <v>5495</v>
      </c>
      <c r="B61" s="27" t="str">
        <f>Données!B61</f>
        <v>Penthalaz</v>
      </c>
      <c r="C61" s="31">
        <f>Données!Z61</f>
        <v>3214</v>
      </c>
      <c r="D61" s="225">
        <f>Ecrêtage!E61</f>
        <v>32.064894843505606</v>
      </c>
      <c r="E61" s="225">
        <f t="shared" si="1"/>
        <v>16.405867769406107</v>
      </c>
      <c r="F61" s="225">
        <f>+Données!X61</f>
        <v>74</v>
      </c>
      <c r="G61" s="352">
        <f t="shared" si="2"/>
        <v>-1053514.6110372073</v>
      </c>
      <c r="H61" s="160">
        <f t="shared" si="3"/>
        <v>1.0954012126694659</v>
      </c>
      <c r="I61" s="42">
        <f t="shared" si="4"/>
        <v>-1154021.1824951575</v>
      </c>
    </row>
    <row r="62" spans="1:9" x14ac:dyDescent="0.25">
      <c r="A62" s="38">
        <f>Données!A62</f>
        <v>5496</v>
      </c>
      <c r="B62" s="27" t="str">
        <f>Données!B62</f>
        <v>Penthaz</v>
      </c>
      <c r="C62" s="31">
        <f>Données!Z62</f>
        <v>1923</v>
      </c>
      <c r="D62" s="225">
        <f>Ecrêtage!E62</f>
        <v>32.060072129503887</v>
      </c>
      <c r="E62" s="225">
        <f t="shared" si="1"/>
        <v>16.410690483407826</v>
      </c>
      <c r="F62" s="225">
        <f>+Données!X62</f>
        <v>69.5</v>
      </c>
      <c r="G62" s="352">
        <f t="shared" si="2"/>
        <v>-592181.32510936738</v>
      </c>
      <c r="H62" s="160">
        <f t="shared" si="3"/>
        <v>1.0287889767638903</v>
      </c>
      <c r="I62" s="42">
        <f t="shared" si="4"/>
        <v>-609229.61951795069</v>
      </c>
    </row>
    <row r="63" spans="1:9" x14ac:dyDescent="0.25">
      <c r="A63" s="38">
        <f>Données!A63</f>
        <v>5497</v>
      </c>
      <c r="B63" s="27" t="str">
        <f>Données!B63</f>
        <v>Pompaples</v>
      </c>
      <c r="C63" s="31">
        <f>Données!Z63</f>
        <v>860</v>
      </c>
      <c r="D63" s="225">
        <f>Ecrêtage!E63</f>
        <v>26.685849541930938</v>
      </c>
      <c r="E63" s="225">
        <f t="shared" si="1"/>
        <v>21.784913070980775</v>
      </c>
      <c r="F63" s="225">
        <f>+Données!X63</f>
        <v>66</v>
      </c>
      <c r="G63" s="352">
        <f t="shared" si="2"/>
        <v>-333858.14979539457</v>
      </c>
      <c r="H63" s="160">
        <f t="shared" si="3"/>
        <v>0.9769794599484426</v>
      </c>
      <c r="I63" s="42">
        <f t="shared" si="4"/>
        <v>-326172.55488649081</v>
      </c>
    </row>
    <row r="64" spans="1:9" x14ac:dyDescent="0.25">
      <c r="A64" s="38">
        <f>Données!A64</f>
        <v>5498</v>
      </c>
      <c r="B64" s="27" t="str">
        <f>Données!B64</f>
        <v>La Sarraz</v>
      </c>
      <c r="C64" s="31">
        <f>Données!Z64</f>
        <v>2608</v>
      </c>
      <c r="D64" s="225">
        <f>Ecrêtage!E64</f>
        <v>28.275941566741032</v>
      </c>
      <c r="E64" s="225">
        <f t="shared" si="1"/>
        <v>20.194821046170681</v>
      </c>
      <c r="F64" s="225">
        <f>+Données!X64</f>
        <v>66</v>
      </c>
      <c r="G64" s="352">
        <f t="shared" si="2"/>
        <v>-938545.42239952215</v>
      </c>
      <c r="H64" s="160">
        <f t="shared" si="3"/>
        <v>0.9769794599484426</v>
      </c>
      <c r="I64" s="42">
        <f t="shared" si="4"/>
        <v>-916939.59991296811</v>
      </c>
    </row>
    <row r="65" spans="1:9" x14ac:dyDescent="0.25">
      <c r="A65" s="38">
        <f>Données!A65</f>
        <v>5499</v>
      </c>
      <c r="B65" s="27" t="str">
        <f>Données!B65</f>
        <v>Senarclens</v>
      </c>
      <c r="C65" s="31">
        <f>Données!Z65</f>
        <v>496</v>
      </c>
      <c r="D65" s="225">
        <f>Ecrêtage!E65</f>
        <v>41.312707793736749</v>
      </c>
      <c r="E65" s="225">
        <f t="shared" si="1"/>
        <v>7.1580548191749642</v>
      </c>
      <c r="F65" s="225">
        <f>+Données!X65</f>
        <v>68.5</v>
      </c>
      <c r="G65" s="352">
        <f t="shared" si="2"/>
        <v>-65664.559044797919</v>
      </c>
      <c r="H65" s="160">
        <f t="shared" si="3"/>
        <v>1.0139862576737624</v>
      </c>
      <c r="I65" s="42">
        <f t="shared" si="4"/>
        <v>-66582.960487632445</v>
      </c>
    </row>
    <row r="66" spans="1:9" x14ac:dyDescent="0.25">
      <c r="A66" s="38">
        <f>Données!A66</f>
        <v>5501</v>
      </c>
      <c r="B66" s="27" t="str">
        <f>Données!B66</f>
        <v>Sullens</v>
      </c>
      <c r="C66" s="31">
        <f>Données!Z66</f>
        <v>1169</v>
      </c>
      <c r="D66" s="225">
        <f>Ecrêtage!E66</f>
        <v>46.057034324208722</v>
      </c>
      <c r="E66" s="225">
        <f t="shared" si="1"/>
        <v>2.4137282887029912</v>
      </c>
      <c r="F66" s="225">
        <f>+Données!X66</f>
        <v>64</v>
      </c>
      <c r="G66" s="352">
        <f t="shared" si="2"/>
        <v>-48758.083824852809</v>
      </c>
      <c r="H66" s="160">
        <f t="shared" si="3"/>
        <v>0.94737402176818675</v>
      </c>
      <c r="I66" s="42">
        <f t="shared" si="4"/>
        <v>-46192.141966861178</v>
      </c>
    </row>
    <row r="67" spans="1:9" x14ac:dyDescent="0.25">
      <c r="A67" s="38">
        <f>Données!A67</f>
        <v>5503</v>
      </c>
      <c r="B67" s="27" t="str">
        <f>Données!B67</f>
        <v>Vufflens-la-Ville</v>
      </c>
      <c r="C67" s="31">
        <f>Données!Z67</f>
        <v>1334</v>
      </c>
      <c r="D67" s="225">
        <f>Ecrêtage!E67</f>
        <v>56.388803583283</v>
      </c>
      <c r="E67" s="225">
        <f t="shared" si="1"/>
        <v>0</v>
      </c>
      <c r="F67" s="225">
        <f>+Données!X67</f>
        <v>67</v>
      </c>
      <c r="G67" s="352">
        <f t="shared" si="2"/>
        <v>0</v>
      </c>
      <c r="H67" s="160">
        <f t="shared" si="3"/>
        <v>0.99178217903857047</v>
      </c>
      <c r="I67" s="42">
        <f t="shared" si="4"/>
        <v>0</v>
      </c>
    </row>
    <row r="68" spans="1:9" x14ac:dyDescent="0.25">
      <c r="A68" s="38">
        <f>Données!A68</f>
        <v>5511</v>
      </c>
      <c r="B68" s="27" t="str">
        <f>Données!B68</f>
        <v>Assens</v>
      </c>
      <c r="C68" s="31">
        <f>Données!Z68</f>
        <v>1669</v>
      </c>
      <c r="D68" s="225">
        <f>Ecrêtage!E68</f>
        <v>43.64037079517248</v>
      </c>
      <c r="E68" s="225">
        <f t="shared" si="1"/>
        <v>4.8303918177392333</v>
      </c>
      <c r="F68" s="225">
        <f>+Données!X68</f>
        <v>70</v>
      </c>
      <c r="G68" s="352">
        <f t="shared" si="2"/>
        <v>-152370.36253794815</v>
      </c>
      <c r="H68" s="160">
        <f t="shared" si="3"/>
        <v>1.0361903363089542</v>
      </c>
      <c r="I68" s="42">
        <f t="shared" si="4"/>
        <v>-157884.69720171377</v>
      </c>
    </row>
    <row r="69" spans="1:9" x14ac:dyDescent="0.25">
      <c r="A69" s="38">
        <f>Données!A69</f>
        <v>5512</v>
      </c>
      <c r="B69" s="27" t="str">
        <f>Données!B69</f>
        <v>Bercher</v>
      </c>
      <c r="C69" s="31">
        <f>Données!Z69</f>
        <v>1359</v>
      </c>
      <c r="D69" s="225">
        <f>Ecrêtage!E69</f>
        <v>30.315473309674836</v>
      </c>
      <c r="E69" s="225">
        <f t="shared" si="1"/>
        <v>18.155289303236877</v>
      </c>
      <c r="F69" s="225">
        <f>+Données!X69</f>
        <v>79</v>
      </c>
      <c r="G69" s="352">
        <f t="shared" si="2"/>
        <v>-526275.90401889989</v>
      </c>
      <c r="H69" s="160">
        <f t="shared" si="3"/>
        <v>1.1694148081201055</v>
      </c>
      <c r="I69" s="42">
        <f t="shared" si="4"/>
        <v>-615434.8353164969</v>
      </c>
    </row>
    <row r="70" spans="1:9" x14ac:dyDescent="0.25">
      <c r="A70" s="38">
        <f>Données!A70</f>
        <v>5514</v>
      </c>
      <c r="B70" s="27" t="str">
        <f>Données!B70</f>
        <v>Bottens</v>
      </c>
      <c r="C70" s="31">
        <f>Données!Z70</f>
        <v>1356</v>
      </c>
      <c r="D70" s="225">
        <f>Ecrêtage!E70</f>
        <v>33.71108819041806</v>
      </c>
      <c r="E70" s="225">
        <f t="shared" si="1"/>
        <v>14.759674422493653</v>
      </c>
      <c r="F70" s="225">
        <f>+Données!X70</f>
        <v>72.5</v>
      </c>
      <c r="G70" s="352">
        <f t="shared" si="2"/>
        <v>-391776.36996834481</v>
      </c>
      <c r="H70" s="160">
        <f t="shared" si="3"/>
        <v>1.0731971340342741</v>
      </c>
      <c r="I70" s="42">
        <f t="shared" si="4"/>
        <v>-420453.27743237908</v>
      </c>
    </row>
    <row r="71" spans="1:9" x14ac:dyDescent="0.25">
      <c r="A71" s="38">
        <f>Données!A71</f>
        <v>5515</v>
      </c>
      <c r="B71" s="27" t="str">
        <f>Données!B71</f>
        <v>Bretigny-sur-Morrens</v>
      </c>
      <c r="C71" s="31">
        <f>Données!Z71</f>
        <v>878</v>
      </c>
      <c r="D71" s="225">
        <f>Ecrêtage!E71</f>
        <v>33.354551136031773</v>
      </c>
      <c r="E71" s="225">
        <f t="shared" ref="E71:E134" si="5">IF($D$306-D71&lt;0,0,$D$306-D71)</f>
        <v>15.11621147687994</v>
      </c>
      <c r="F71" s="225">
        <f>+Données!X71</f>
        <v>78</v>
      </c>
      <c r="G71" s="352">
        <f t="shared" ref="G71:G134" si="6">-((C71*E71*F71)*$E$5)</f>
        <v>-279509.02923131437</v>
      </c>
      <c r="H71" s="160">
        <f t="shared" ref="H71:H134" si="7">F71/$F$306</f>
        <v>1.1546120890299776</v>
      </c>
      <c r="I71" s="42">
        <f t="shared" ref="I71:I134" si="8">G71*H71</f>
        <v>-322724.50414350897</v>
      </c>
    </row>
    <row r="72" spans="1:9" x14ac:dyDescent="0.25">
      <c r="A72" s="38">
        <f>Données!A72</f>
        <v>5516</v>
      </c>
      <c r="B72" s="27" t="str">
        <f>Données!B72</f>
        <v>Cugy</v>
      </c>
      <c r="C72" s="31">
        <f>Données!Z72</f>
        <v>2697</v>
      </c>
      <c r="D72" s="225">
        <f>Ecrêtage!E72</f>
        <v>40.893677266488424</v>
      </c>
      <c r="E72" s="225">
        <f t="shared" si="5"/>
        <v>7.5770853464232886</v>
      </c>
      <c r="F72" s="225">
        <f>+Données!X72</f>
        <v>76</v>
      </c>
      <c r="G72" s="352">
        <f t="shared" si="6"/>
        <v>-419334.39115931006</v>
      </c>
      <c r="H72" s="160">
        <f t="shared" si="7"/>
        <v>1.1250066508497218</v>
      </c>
      <c r="I72" s="42">
        <f t="shared" si="8"/>
        <v>-471753.9789842426</v>
      </c>
    </row>
    <row r="73" spans="1:9" x14ac:dyDescent="0.25">
      <c r="A73" s="38">
        <f>Données!A73</f>
        <v>5518</v>
      </c>
      <c r="B73" s="27" t="str">
        <f>Données!B73</f>
        <v>Echallens</v>
      </c>
      <c r="C73" s="31">
        <f>Données!Z73</f>
        <v>5816</v>
      </c>
      <c r="D73" s="225">
        <f>Ecrêtage!E73</f>
        <v>33.232855333681165</v>
      </c>
      <c r="E73" s="225">
        <f t="shared" si="5"/>
        <v>15.237907279230548</v>
      </c>
      <c r="F73" s="225">
        <f>+Données!X73</f>
        <v>72.5</v>
      </c>
      <c r="G73" s="352">
        <f t="shared" si="6"/>
        <v>-1734808.3155072953</v>
      </c>
      <c r="H73" s="160">
        <f t="shared" si="7"/>
        <v>1.0731971340342741</v>
      </c>
      <c r="I73" s="42">
        <f t="shared" si="8"/>
        <v>-1861791.312301256</v>
      </c>
    </row>
    <row r="74" spans="1:9" x14ac:dyDescent="0.25">
      <c r="A74" s="38">
        <f>Données!A74</f>
        <v>5520</v>
      </c>
      <c r="B74" s="27" t="str">
        <f>Données!B74</f>
        <v>Essertines-sur-Yverdon</v>
      </c>
      <c r="C74" s="31">
        <f>Données!Z74</f>
        <v>1081</v>
      </c>
      <c r="D74" s="225">
        <f>Ecrêtage!E74</f>
        <v>29.067563317248791</v>
      </c>
      <c r="E74" s="225">
        <f t="shared" si="5"/>
        <v>19.403199295662922</v>
      </c>
      <c r="F74" s="225">
        <f>+Données!X74</f>
        <v>74</v>
      </c>
      <c r="G74" s="352">
        <f t="shared" si="6"/>
        <v>-419077.67160346016</v>
      </c>
      <c r="H74" s="160">
        <f t="shared" si="7"/>
        <v>1.0954012126694659</v>
      </c>
      <c r="I74" s="42">
        <f t="shared" si="8"/>
        <v>-459058.18967712641</v>
      </c>
    </row>
    <row r="75" spans="1:9" x14ac:dyDescent="0.25">
      <c r="A75" s="38">
        <f>Données!A75</f>
        <v>5521</v>
      </c>
      <c r="B75" s="27" t="str">
        <f>Données!B75</f>
        <v>Etagnières</v>
      </c>
      <c r="C75" s="31">
        <f>Données!Z75</f>
        <v>1154</v>
      </c>
      <c r="D75" s="225">
        <f>Ecrêtage!E75</f>
        <v>40.892258137271206</v>
      </c>
      <c r="E75" s="225">
        <f t="shared" si="5"/>
        <v>7.5785044756405071</v>
      </c>
      <c r="F75" s="225">
        <f>+Données!X75</f>
        <v>73</v>
      </c>
      <c r="G75" s="352">
        <f t="shared" si="6"/>
        <v>-172375.66098996508</v>
      </c>
      <c r="H75" s="160">
        <f t="shared" si="7"/>
        <v>1.080598493579338</v>
      </c>
      <c r="I75" s="42">
        <f t="shared" si="8"/>
        <v>-186268.87959549893</v>
      </c>
    </row>
    <row r="76" spans="1:9" x14ac:dyDescent="0.25">
      <c r="A76" s="38">
        <f>Données!A76</f>
        <v>5522</v>
      </c>
      <c r="B76" s="27" t="str">
        <f>Données!B76</f>
        <v>Fey</v>
      </c>
      <c r="C76" s="31">
        <f>Données!Z76</f>
        <v>736</v>
      </c>
      <c r="D76" s="225">
        <f>Ecrêtage!E76</f>
        <v>32.843021376811592</v>
      </c>
      <c r="E76" s="225">
        <f t="shared" si="5"/>
        <v>15.627741236100121</v>
      </c>
      <c r="F76" s="225">
        <f>+Données!X76</f>
        <v>75</v>
      </c>
      <c r="G76" s="352">
        <f t="shared" si="6"/>
        <v>-232915.85538283622</v>
      </c>
      <c r="H76" s="160">
        <f t="shared" si="7"/>
        <v>1.1102039317595938</v>
      </c>
      <c r="I76" s="42">
        <f t="shared" si="8"/>
        <v>-258584.09841517371</v>
      </c>
    </row>
    <row r="77" spans="1:9" x14ac:dyDescent="0.25">
      <c r="A77" s="38">
        <f>Données!A77</f>
        <v>5523</v>
      </c>
      <c r="B77" s="27" t="str">
        <f>Données!B77</f>
        <v>Froideville</v>
      </c>
      <c r="C77" s="31">
        <f>Données!Z77</f>
        <v>2720</v>
      </c>
      <c r="D77" s="225">
        <f>Ecrêtage!E77</f>
        <v>33.905969566993456</v>
      </c>
      <c r="E77" s="225">
        <f t="shared" si="5"/>
        <v>14.564793045918258</v>
      </c>
      <c r="F77" s="225">
        <f>+Données!X77</f>
        <v>72</v>
      </c>
      <c r="G77" s="352">
        <f t="shared" si="6"/>
        <v>-770139.64893041051</v>
      </c>
      <c r="H77" s="160">
        <f t="shared" si="7"/>
        <v>1.0657957744892101</v>
      </c>
      <c r="I77" s="42">
        <f t="shared" si="8"/>
        <v>-820811.58359663526</v>
      </c>
    </row>
    <row r="78" spans="1:9" x14ac:dyDescent="0.25">
      <c r="A78" s="38">
        <f>Données!A78</f>
        <v>5527</v>
      </c>
      <c r="B78" s="27" t="str">
        <f>Données!B78</f>
        <v>Morrens</v>
      </c>
      <c r="C78" s="31">
        <f>Données!Z78</f>
        <v>1172</v>
      </c>
      <c r="D78" s="225">
        <f>Ecrêtage!E78</f>
        <v>34.746165252283006</v>
      </c>
      <c r="E78" s="225">
        <f t="shared" si="5"/>
        <v>13.724597360628707</v>
      </c>
      <c r="F78" s="225">
        <f>+Données!X78</f>
        <v>74</v>
      </c>
      <c r="G78" s="352">
        <f t="shared" si="6"/>
        <v>-321382.85757100378</v>
      </c>
      <c r="H78" s="160">
        <f t="shared" si="7"/>
        <v>1.0954012126694659</v>
      </c>
      <c r="I78" s="42">
        <f t="shared" si="8"/>
        <v>-352043.17191445577</v>
      </c>
    </row>
    <row r="79" spans="1:9" x14ac:dyDescent="0.25">
      <c r="A79" s="38">
        <f>Données!A79</f>
        <v>5529</v>
      </c>
      <c r="B79" s="27" t="str">
        <f>Données!B79</f>
        <v>Oulens-sous-Echallens</v>
      </c>
      <c r="C79" s="31">
        <f>Données!Z79</f>
        <v>606</v>
      </c>
      <c r="D79" s="225">
        <f>Ecrêtage!E79</f>
        <v>37.420814158880681</v>
      </c>
      <c r="E79" s="225">
        <f t="shared" si="5"/>
        <v>11.049948454031032</v>
      </c>
      <c r="F79" s="225">
        <f>+Données!X79</f>
        <v>71</v>
      </c>
      <c r="G79" s="352">
        <f t="shared" si="6"/>
        <v>-128367.47218944758</v>
      </c>
      <c r="H79" s="160">
        <f t="shared" si="7"/>
        <v>1.0509930553990823</v>
      </c>
      <c r="I79" s="42">
        <f t="shared" si="8"/>
        <v>-134913.32181024423</v>
      </c>
    </row>
    <row r="80" spans="1:9" x14ac:dyDescent="0.25">
      <c r="A80" s="38">
        <f>Données!A80</f>
        <v>5530</v>
      </c>
      <c r="B80" s="27" t="str">
        <f>Données!B80</f>
        <v>Pailly</v>
      </c>
      <c r="C80" s="31">
        <f>Données!Z80</f>
        <v>566</v>
      </c>
      <c r="D80" s="225">
        <f>Ecrêtage!E80</f>
        <v>35.970400742359423</v>
      </c>
      <c r="E80" s="225">
        <f t="shared" si="5"/>
        <v>12.50036187055229</v>
      </c>
      <c r="F80" s="225">
        <f>+Données!X80</f>
        <v>76</v>
      </c>
      <c r="G80" s="352">
        <f t="shared" si="6"/>
        <v>-145183.2028803929</v>
      </c>
      <c r="H80" s="160">
        <f t="shared" si="7"/>
        <v>1.1250066508497218</v>
      </c>
      <c r="I80" s="42">
        <f t="shared" si="8"/>
        <v>-163332.06883210651</v>
      </c>
    </row>
    <row r="81" spans="1:9" x14ac:dyDescent="0.25">
      <c r="A81" s="38">
        <f>Données!A81</f>
        <v>5531</v>
      </c>
      <c r="B81" s="27" t="str">
        <f>Données!B81</f>
        <v>Penthéréaz</v>
      </c>
      <c r="C81" s="31">
        <f>Données!Z81</f>
        <v>433</v>
      </c>
      <c r="D81" s="225">
        <f>Ecrêtage!E81</f>
        <v>39.952208351538609</v>
      </c>
      <c r="E81" s="225">
        <f t="shared" si="5"/>
        <v>8.5185542613731045</v>
      </c>
      <c r="F81" s="225">
        <f>+Données!X81</f>
        <v>74</v>
      </c>
      <c r="G81" s="352">
        <f t="shared" si="6"/>
        <v>-73696.909223587601</v>
      </c>
      <c r="H81" s="160">
        <f t="shared" si="7"/>
        <v>1.0954012126694659</v>
      </c>
      <c r="I81" s="42">
        <f t="shared" si="8"/>
        <v>-80727.683733509402</v>
      </c>
    </row>
    <row r="82" spans="1:9" x14ac:dyDescent="0.25">
      <c r="A82" s="38">
        <f>Données!A82</f>
        <v>5533</v>
      </c>
      <c r="B82" s="27" t="str">
        <f>Données!B82</f>
        <v>Poliez-Pittet</v>
      </c>
      <c r="C82" s="31">
        <f>Données!Z82</f>
        <v>848</v>
      </c>
      <c r="D82" s="225">
        <f>Ecrêtage!E82</f>
        <v>33.033468273455675</v>
      </c>
      <c r="E82" s="225">
        <f t="shared" si="5"/>
        <v>15.437294339456038</v>
      </c>
      <c r="F82" s="225">
        <f>+Données!X82</f>
        <v>73</v>
      </c>
      <c r="G82" s="352">
        <f t="shared" si="6"/>
        <v>-258020.17257321542</v>
      </c>
      <c r="H82" s="160">
        <f t="shared" si="7"/>
        <v>1.080598493579338</v>
      </c>
      <c r="I82" s="42">
        <f t="shared" si="8"/>
        <v>-278816.20979569742</v>
      </c>
    </row>
    <row r="83" spans="1:9" x14ac:dyDescent="0.25">
      <c r="A83" s="38">
        <f>Données!A83</f>
        <v>5534</v>
      </c>
      <c r="B83" s="27" t="str">
        <f>Données!B83</f>
        <v>Rueyres</v>
      </c>
      <c r="C83" s="31">
        <f>Données!Z83</f>
        <v>303</v>
      </c>
      <c r="D83" s="225">
        <f>Ecrêtage!E83</f>
        <v>49.64374662808747</v>
      </c>
      <c r="E83" s="225">
        <f t="shared" si="5"/>
        <v>0</v>
      </c>
      <c r="F83" s="225">
        <f>+Données!X83</f>
        <v>73</v>
      </c>
      <c r="G83" s="352">
        <f t="shared" si="6"/>
        <v>0</v>
      </c>
      <c r="H83" s="160">
        <f t="shared" si="7"/>
        <v>1.080598493579338</v>
      </c>
      <c r="I83" s="42">
        <f t="shared" si="8"/>
        <v>0</v>
      </c>
    </row>
    <row r="84" spans="1:9" x14ac:dyDescent="0.25">
      <c r="A84" s="38">
        <f>Données!A84</f>
        <v>5535</v>
      </c>
      <c r="B84" s="27" t="str">
        <f>Données!B84</f>
        <v>Saint-Barthélemy</v>
      </c>
      <c r="C84" s="31">
        <f>Données!Z84</f>
        <v>814</v>
      </c>
      <c r="D84" s="225">
        <f>Ecrêtage!E84</f>
        <v>31.317703194103192</v>
      </c>
      <c r="E84" s="225">
        <f t="shared" si="5"/>
        <v>17.153059418808521</v>
      </c>
      <c r="F84" s="225">
        <f>+Données!X84</f>
        <v>75</v>
      </c>
      <c r="G84" s="352">
        <f t="shared" si="6"/>
        <v>-282742.45492993027</v>
      </c>
      <c r="H84" s="160">
        <f t="shared" si="7"/>
        <v>1.1102039317595938</v>
      </c>
      <c r="I84" s="42">
        <f t="shared" si="8"/>
        <v>-313901.78513856832</v>
      </c>
    </row>
    <row r="85" spans="1:9" x14ac:dyDescent="0.25">
      <c r="A85" s="38">
        <f>Données!A85</f>
        <v>5537</v>
      </c>
      <c r="B85" s="27" t="str">
        <f>Données!B85</f>
        <v>Villars-le-Terroir</v>
      </c>
      <c r="C85" s="31">
        <f>Données!Z85</f>
        <v>1308</v>
      </c>
      <c r="D85" s="225">
        <f>Ecrêtage!E85</f>
        <v>29.940923567519722</v>
      </c>
      <c r="E85" s="225">
        <f t="shared" si="5"/>
        <v>18.529839045391991</v>
      </c>
      <c r="F85" s="225">
        <f>+Données!X85</f>
        <v>76</v>
      </c>
      <c r="G85" s="352">
        <f t="shared" si="6"/>
        <v>-497343.84475256829</v>
      </c>
      <c r="H85" s="160">
        <f t="shared" si="7"/>
        <v>1.1250066508497218</v>
      </c>
      <c r="I85" s="42">
        <f t="shared" si="8"/>
        <v>-559515.13310581085</v>
      </c>
    </row>
    <row r="86" spans="1:9" x14ac:dyDescent="0.25">
      <c r="A86" s="38">
        <f>Données!A86</f>
        <v>5539</v>
      </c>
      <c r="B86" s="27" t="str">
        <f>Données!B86</f>
        <v>Vuarrens</v>
      </c>
      <c r="C86" s="31">
        <f>Données!Z86</f>
        <v>1106</v>
      </c>
      <c r="D86" s="225">
        <f>Ecrêtage!E86</f>
        <v>31.141463784428783</v>
      </c>
      <c r="E86" s="225">
        <f t="shared" si="5"/>
        <v>17.32929882848293</v>
      </c>
      <c r="F86" s="225">
        <f>+Données!X86</f>
        <v>73.5</v>
      </c>
      <c r="G86" s="352">
        <f t="shared" si="6"/>
        <v>-380353.32838787558</v>
      </c>
      <c r="H86" s="160">
        <f t="shared" si="7"/>
        <v>1.0879998531244019</v>
      </c>
      <c r="I86" s="42">
        <f t="shared" si="8"/>
        <v>-413824.36542138603</v>
      </c>
    </row>
    <row r="87" spans="1:9" x14ac:dyDescent="0.25">
      <c r="A87" s="38">
        <f>Données!A87</f>
        <v>5540</v>
      </c>
      <c r="B87" s="27" t="str">
        <f>Données!B87</f>
        <v>Montilliez</v>
      </c>
      <c r="C87" s="31">
        <f>Données!Z87</f>
        <v>1895</v>
      </c>
      <c r="D87" s="225">
        <f>Ecrêtage!E87</f>
        <v>35.601302210899831</v>
      </c>
      <c r="E87" s="225">
        <f t="shared" si="5"/>
        <v>12.869460402011882</v>
      </c>
      <c r="F87" s="225">
        <f>+Données!X87</f>
        <v>72.5</v>
      </c>
      <c r="G87" s="352">
        <f t="shared" si="6"/>
        <v>-477387.80756498006</v>
      </c>
      <c r="H87" s="160">
        <f t="shared" si="7"/>
        <v>1.0731971340342741</v>
      </c>
      <c r="I87" s="42">
        <f t="shared" si="8"/>
        <v>-512331.22690164216</v>
      </c>
    </row>
    <row r="88" spans="1:9" x14ac:dyDescent="0.25">
      <c r="A88" s="38">
        <f>Données!A88</f>
        <v>5541</v>
      </c>
      <c r="B88" s="27" t="str">
        <f>Données!B88</f>
        <v>Goumoëns</v>
      </c>
      <c r="C88" s="31">
        <f>Données!Z88</f>
        <v>1175</v>
      </c>
      <c r="D88" s="225">
        <f>Ecrêtage!E88</f>
        <v>35.511669155981402</v>
      </c>
      <c r="E88" s="225">
        <f t="shared" si="5"/>
        <v>12.959093456930312</v>
      </c>
      <c r="F88" s="225">
        <f>+Données!X88</f>
        <v>75.5</v>
      </c>
      <c r="G88" s="352">
        <f t="shared" si="6"/>
        <v>-310401.06614044122</v>
      </c>
      <c r="H88" s="160">
        <f t="shared" si="7"/>
        <v>1.1176052913046579</v>
      </c>
      <c r="I88" s="42">
        <f t="shared" si="8"/>
        <v>-346905.8739451642</v>
      </c>
    </row>
    <row r="89" spans="1:9" x14ac:dyDescent="0.25">
      <c r="A89" s="38">
        <f>Données!A89</f>
        <v>5551</v>
      </c>
      <c r="B89" s="27" t="str">
        <f>Données!B89</f>
        <v>Bonvillars</v>
      </c>
      <c r="C89" s="31">
        <f>Données!Z89</f>
        <v>501</v>
      </c>
      <c r="D89" s="225">
        <f>Ecrêtage!E89</f>
        <v>37.075894282862841</v>
      </c>
      <c r="E89" s="225">
        <f t="shared" si="5"/>
        <v>11.394868330048872</v>
      </c>
      <c r="F89" s="225">
        <f>+Données!X89</f>
        <v>56</v>
      </c>
      <c r="G89" s="352">
        <f t="shared" si="6"/>
        <v>-86317.494984319826</v>
      </c>
      <c r="H89" s="160">
        <f t="shared" si="7"/>
        <v>0.82895226904716346</v>
      </c>
      <c r="I89" s="42">
        <f t="shared" si="8"/>
        <v>-71553.083325719068</v>
      </c>
    </row>
    <row r="90" spans="1:9" x14ac:dyDescent="0.25">
      <c r="A90" s="38">
        <f>Données!A90</f>
        <v>5552</v>
      </c>
      <c r="B90" s="27" t="str">
        <f>Données!B90</f>
        <v>Bullet</v>
      </c>
      <c r="C90" s="31">
        <f>Données!Z90</f>
        <v>651</v>
      </c>
      <c r="D90" s="225">
        <f>Ecrêtage!E90</f>
        <v>29.24570225473451</v>
      </c>
      <c r="E90" s="225">
        <f t="shared" si="5"/>
        <v>19.225060358177203</v>
      </c>
      <c r="F90" s="225">
        <f>+Données!X90</f>
        <v>71.5</v>
      </c>
      <c r="G90" s="352">
        <f t="shared" si="6"/>
        <v>-241612.00342971171</v>
      </c>
      <c r="H90" s="160">
        <f t="shared" si="7"/>
        <v>1.0583944149441462</v>
      </c>
      <c r="I90" s="42">
        <f t="shared" si="8"/>
        <v>-255720.79501347276</v>
      </c>
    </row>
    <row r="91" spans="1:9" x14ac:dyDescent="0.25">
      <c r="A91" s="38">
        <f>Données!A91</f>
        <v>5553</v>
      </c>
      <c r="B91" s="27" t="str">
        <f>Données!B91</f>
        <v>Champagne</v>
      </c>
      <c r="C91" s="31">
        <f>Données!Z91</f>
        <v>1077</v>
      </c>
      <c r="D91" s="225">
        <f>Ecrêtage!E91</f>
        <v>35.528130847796589</v>
      </c>
      <c r="E91" s="225">
        <f t="shared" si="5"/>
        <v>12.942631765115124</v>
      </c>
      <c r="F91" s="225">
        <f>+Données!X91</f>
        <v>65</v>
      </c>
      <c r="G91" s="352">
        <f t="shared" si="6"/>
        <v>-244633.21291355876</v>
      </c>
      <c r="H91" s="160">
        <f t="shared" si="7"/>
        <v>0.96217674085831462</v>
      </c>
      <c r="I91" s="42">
        <f t="shared" si="8"/>
        <v>-235380.38750686613</v>
      </c>
    </row>
    <row r="92" spans="1:9" x14ac:dyDescent="0.25">
      <c r="A92" s="38">
        <f>Données!A92</f>
        <v>5554</v>
      </c>
      <c r="B92" s="27" t="str">
        <f>Données!B92</f>
        <v>Concise</v>
      </c>
      <c r="C92" s="31">
        <f>Données!Z92</f>
        <v>1002</v>
      </c>
      <c r="D92" s="225">
        <f>Ecrêtage!E92</f>
        <v>33.83948702594811</v>
      </c>
      <c r="E92" s="225">
        <f t="shared" si="5"/>
        <v>14.631275586963604</v>
      </c>
      <c r="F92" s="225">
        <f>+Données!X92</f>
        <v>75</v>
      </c>
      <c r="G92" s="352">
        <f t="shared" si="6"/>
        <v>-296875.89729728503</v>
      </c>
      <c r="H92" s="160">
        <f t="shared" si="7"/>
        <v>1.1102039317595938</v>
      </c>
      <c r="I92" s="42">
        <f t="shared" si="8"/>
        <v>-329592.78842410317</v>
      </c>
    </row>
    <row r="93" spans="1:9" x14ac:dyDescent="0.25">
      <c r="A93" s="38">
        <f>Données!A93</f>
        <v>5555</v>
      </c>
      <c r="B93" s="27" t="str">
        <f>Données!B93</f>
        <v>Corcelles-près-Concise</v>
      </c>
      <c r="C93" s="31">
        <f>Données!Z93</f>
        <v>412</v>
      </c>
      <c r="D93" s="225">
        <f>Ecrêtage!E93</f>
        <v>32.585440762628394</v>
      </c>
      <c r="E93" s="225">
        <f t="shared" si="5"/>
        <v>15.885321850283319</v>
      </c>
      <c r="F93" s="225">
        <f>+Données!X93</f>
        <v>69</v>
      </c>
      <c r="G93" s="352">
        <f t="shared" si="6"/>
        <v>-121928.74098116065</v>
      </c>
      <c r="H93" s="160">
        <f t="shared" si="7"/>
        <v>1.0213876172188263</v>
      </c>
      <c r="I93" s="42">
        <f t="shared" si="8"/>
        <v>-124536.50622123913</v>
      </c>
    </row>
    <row r="94" spans="1:9" x14ac:dyDescent="0.25">
      <c r="A94" s="38">
        <f>Données!A94</f>
        <v>5556</v>
      </c>
      <c r="B94" s="27" t="str">
        <f>Données!B94</f>
        <v>Fiez</v>
      </c>
      <c r="C94" s="31">
        <f>Données!Z94</f>
        <v>436</v>
      </c>
      <c r="D94" s="225">
        <f>Ecrêtage!E94</f>
        <v>30.514316026237644</v>
      </c>
      <c r="E94" s="225">
        <f t="shared" si="5"/>
        <v>17.956446586674069</v>
      </c>
      <c r="F94" s="225">
        <f>+Données!X94</f>
        <v>69</v>
      </c>
      <c r="G94" s="352">
        <f t="shared" si="6"/>
        <v>-145854.46956064572</v>
      </c>
      <c r="H94" s="160">
        <f t="shared" si="7"/>
        <v>1.0213876172188263</v>
      </c>
      <c r="I94" s="42">
        <f t="shared" si="8"/>
        <v>-148973.94912526378</v>
      </c>
    </row>
    <row r="95" spans="1:9" x14ac:dyDescent="0.25">
      <c r="A95" s="38">
        <f>Données!A95</f>
        <v>5557</v>
      </c>
      <c r="B95" s="27" t="str">
        <f>Données!B95</f>
        <v>Fontaines-sur-Grandson</v>
      </c>
      <c r="C95" s="31">
        <f>Données!Z95</f>
        <v>214</v>
      </c>
      <c r="D95" s="225">
        <f>Ecrêtage!E95</f>
        <v>23.825950832994714</v>
      </c>
      <c r="E95" s="225">
        <f t="shared" si="5"/>
        <v>24.644811779916999</v>
      </c>
      <c r="F95" s="225">
        <f>+Données!X95</f>
        <v>69</v>
      </c>
      <c r="G95" s="352">
        <f t="shared" si="6"/>
        <v>-98254.4285004087</v>
      </c>
      <c r="H95" s="160">
        <f t="shared" si="7"/>
        <v>1.0213876172188263</v>
      </c>
      <c r="I95" s="42">
        <f t="shared" si="8"/>
        <v>-100355.85660722997</v>
      </c>
    </row>
    <row r="96" spans="1:9" x14ac:dyDescent="0.25">
      <c r="A96" s="38">
        <f>Données!A96</f>
        <v>5559</v>
      </c>
      <c r="B96" s="27" t="str">
        <f>Données!B96</f>
        <v>Giez</v>
      </c>
      <c r="C96" s="31">
        <f>Données!Z96</f>
        <v>450</v>
      </c>
      <c r="D96" s="225">
        <f>Ecrêtage!E96</f>
        <v>46.691179124579122</v>
      </c>
      <c r="E96" s="225">
        <f t="shared" si="5"/>
        <v>1.7795834883325909</v>
      </c>
      <c r="F96" s="225">
        <f>+Données!X96</f>
        <v>66</v>
      </c>
      <c r="G96" s="352">
        <f t="shared" si="6"/>
        <v>-14270.479992939048</v>
      </c>
      <c r="H96" s="160">
        <f t="shared" si="7"/>
        <v>0.9769794599484426</v>
      </c>
      <c r="I96" s="42">
        <f t="shared" si="8"/>
        <v>-13941.965836706646</v>
      </c>
    </row>
    <row r="97" spans="1:9" x14ac:dyDescent="0.25">
      <c r="A97" s="38">
        <f>Données!A97</f>
        <v>5560</v>
      </c>
      <c r="B97" s="27" t="str">
        <f>Données!B97</f>
        <v>Grandevent</v>
      </c>
      <c r="C97" s="31">
        <f>Données!Z97</f>
        <v>237</v>
      </c>
      <c r="D97" s="225">
        <f>Ecrêtage!E97</f>
        <v>37.958417424377494</v>
      </c>
      <c r="E97" s="225">
        <f t="shared" si="5"/>
        <v>10.512345188534219</v>
      </c>
      <c r="F97" s="225">
        <f>+Données!X97</f>
        <v>71</v>
      </c>
      <c r="G97" s="352">
        <f t="shared" si="6"/>
        <v>-47760.63277161563</v>
      </c>
      <c r="H97" s="160">
        <f t="shared" si="7"/>
        <v>1.0509930553990823</v>
      </c>
      <c r="I97" s="42">
        <f t="shared" si="8"/>
        <v>-50196.093364433851</v>
      </c>
    </row>
    <row r="98" spans="1:9" x14ac:dyDescent="0.25">
      <c r="A98" s="38">
        <f>Données!A98</f>
        <v>5561</v>
      </c>
      <c r="B98" s="27" t="str">
        <f>Données!B98</f>
        <v>Grandson</v>
      </c>
      <c r="C98" s="31">
        <f>Données!Z98</f>
        <v>3358</v>
      </c>
      <c r="D98" s="225">
        <f>Ecrêtage!E98</f>
        <v>39.421109571777542</v>
      </c>
      <c r="E98" s="225">
        <f t="shared" si="5"/>
        <v>9.0496530411341709</v>
      </c>
      <c r="F98" s="225">
        <f>+Données!X98</f>
        <v>69</v>
      </c>
      <c r="G98" s="352">
        <f t="shared" si="6"/>
        <v>-566142.13141295488</v>
      </c>
      <c r="H98" s="160">
        <f t="shared" si="7"/>
        <v>1.0213876172188263</v>
      </c>
      <c r="I98" s="42">
        <f t="shared" si="8"/>
        <v>-578250.56261106557</v>
      </c>
    </row>
    <row r="99" spans="1:9" x14ac:dyDescent="0.25">
      <c r="A99" s="38">
        <f>Données!A99</f>
        <v>5562</v>
      </c>
      <c r="B99" s="27" t="str">
        <f>Données!B99</f>
        <v>Mauborget</v>
      </c>
      <c r="C99" s="31">
        <f>Données!Z99</f>
        <v>138</v>
      </c>
      <c r="D99" s="225">
        <f>Ecrêtage!E99</f>
        <v>33.042395272601787</v>
      </c>
      <c r="E99" s="225">
        <f t="shared" si="5"/>
        <v>15.428367340309926</v>
      </c>
      <c r="F99" s="225">
        <f>+Données!X99</f>
        <v>70</v>
      </c>
      <c r="G99" s="352">
        <f t="shared" si="6"/>
        <v>-40240.267696996358</v>
      </c>
      <c r="H99" s="160">
        <f t="shared" si="7"/>
        <v>1.0361903363089542</v>
      </c>
      <c r="I99" s="42">
        <f t="shared" si="8"/>
        <v>-41696.576518113005</v>
      </c>
    </row>
    <row r="100" spans="1:9" x14ac:dyDescent="0.25">
      <c r="A100" s="38">
        <f>Données!A100</f>
        <v>5563</v>
      </c>
      <c r="B100" s="27" t="str">
        <f>Données!B100</f>
        <v>Mutrux</v>
      </c>
      <c r="C100" s="31">
        <f>Données!Z100</f>
        <v>151</v>
      </c>
      <c r="D100" s="225">
        <f>Ecrêtage!E100</f>
        <v>15.113173841059602</v>
      </c>
      <c r="E100" s="225">
        <f t="shared" si="5"/>
        <v>33.357588771852107</v>
      </c>
      <c r="F100" s="225">
        <f>+Données!X100</f>
        <v>80</v>
      </c>
      <c r="G100" s="352">
        <f t="shared" si="6"/>
        <v>-108799.11153827285</v>
      </c>
      <c r="H100" s="160">
        <f t="shared" si="7"/>
        <v>1.1842175272102335</v>
      </c>
      <c r="I100" s="42">
        <f t="shared" si="8"/>
        <v>-128841.81482852386</v>
      </c>
    </row>
    <row r="101" spans="1:9" x14ac:dyDescent="0.25">
      <c r="A101" s="38">
        <f>Données!A101</f>
        <v>5564</v>
      </c>
      <c r="B101" s="27" t="str">
        <f>Données!B101</f>
        <v>Novalles</v>
      </c>
      <c r="C101" s="31">
        <f>Données!Z101</f>
        <v>99</v>
      </c>
      <c r="D101" s="225">
        <f>Ecrêtage!E101</f>
        <v>25.746187200956939</v>
      </c>
      <c r="E101" s="225">
        <f t="shared" si="5"/>
        <v>22.724575411954774</v>
      </c>
      <c r="F101" s="225">
        <f>+Données!X101</f>
        <v>76</v>
      </c>
      <c r="G101" s="352">
        <f t="shared" si="6"/>
        <v>-46164.520457877879</v>
      </c>
      <c r="H101" s="160">
        <f t="shared" si="7"/>
        <v>1.1250066508497218</v>
      </c>
      <c r="I101" s="42">
        <f t="shared" si="8"/>
        <v>-51935.392548400661</v>
      </c>
    </row>
    <row r="102" spans="1:9" x14ac:dyDescent="0.25">
      <c r="A102" s="38">
        <f>Données!A102</f>
        <v>5565</v>
      </c>
      <c r="B102" s="27" t="str">
        <f>Données!B102</f>
        <v>Onnens</v>
      </c>
      <c r="C102" s="31">
        <f>Données!Z102</f>
        <v>496</v>
      </c>
      <c r="D102" s="225">
        <f>Ecrêtage!E102</f>
        <v>23.505445453390902</v>
      </c>
      <c r="E102" s="225">
        <f t="shared" si="5"/>
        <v>24.965317159520811</v>
      </c>
      <c r="F102" s="225">
        <f>+Données!X102</f>
        <v>63.5</v>
      </c>
      <c r="G102" s="352">
        <f t="shared" si="6"/>
        <v>-212303.05989919222</v>
      </c>
      <c r="H102" s="160">
        <f t="shared" si="7"/>
        <v>0.93997266222312281</v>
      </c>
      <c r="I102" s="42">
        <f t="shared" si="8"/>
        <v>-199559.07241155882</v>
      </c>
    </row>
    <row r="103" spans="1:9" x14ac:dyDescent="0.25">
      <c r="A103" s="38">
        <f>Données!A103</f>
        <v>5566</v>
      </c>
      <c r="B103" s="27" t="str">
        <f>Données!B103</f>
        <v>Provence</v>
      </c>
      <c r="C103" s="31">
        <f>Données!Z103</f>
        <v>403</v>
      </c>
      <c r="D103" s="225">
        <f>Ecrêtage!E103</f>
        <v>21.163572690418565</v>
      </c>
      <c r="E103" s="225">
        <f t="shared" si="5"/>
        <v>27.307189922493148</v>
      </c>
      <c r="F103" s="225">
        <f>+Données!X103</f>
        <v>81</v>
      </c>
      <c r="G103" s="352">
        <f t="shared" si="6"/>
        <v>-240674.92217278486</v>
      </c>
      <c r="H103" s="160">
        <f t="shared" si="7"/>
        <v>1.1990202463003614</v>
      </c>
      <c r="I103" s="42">
        <f t="shared" si="8"/>
        <v>-288574.10446193285</v>
      </c>
    </row>
    <row r="104" spans="1:9" x14ac:dyDescent="0.25">
      <c r="A104" s="38">
        <f>Données!A104</f>
        <v>5568</v>
      </c>
      <c r="B104" s="27" t="str">
        <f>Données!B104</f>
        <v>Sainte-Croix</v>
      </c>
      <c r="C104" s="31">
        <f>Données!Z104</f>
        <v>4869</v>
      </c>
      <c r="D104" s="225">
        <f>Ecrêtage!E104</f>
        <v>21.771404688554409</v>
      </c>
      <c r="E104" s="225">
        <f t="shared" si="5"/>
        <v>26.699357924357304</v>
      </c>
      <c r="F104" s="225">
        <f>+Données!X104</f>
        <v>70</v>
      </c>
      <c r="G104" s="352">
        <f t="shared" si="6"/>
        <v>-2456984.3835668489</v>
      </c>
      <c r="H104" s="160">
        <f t="shared" si="7"/>
        <v>1.0361903363089542</v>
      </c>
      <c r="I104" s="42">
        <f t="shared" si="8"/>
        <v>-2545903.4747139816</v>
      </c>
    </row>
    <row r="105" spans="1:9" x14ac:dyDescent="0.25">
      <c r="A105" s="38">
        <f>Données!A105</f>
        <v>5571</v>
      </c>
      <c r="B105" s="27" t="str">
        <f>Données!B105</f>
        <v>Tévenon</v>
      </c>
      <c r="C105" s="31">
        <f>Données!Z105</f>
        <v>867</v>
      </c>
      <c r="D105" s="225">
        <f>Ecrêtage!E105</f>
        <v>29.881209432628118</v>
      </c>
      <c r="E105" s="225">
        <f t="shared" si="5"/>
        <v>18.589553180283595</v>
      </c>
      <c r="F105" s="225">
        <f>+Données!X105</f>
        <v>71.5</v>
      </c>
      <c r="G105" s="352">
        <f t="shared" si="6"/>
        <v>-311141.43803403998</v>
      </c>
      <c r="H105" s="160">
        <f t="shared" si="7"/>
        <v>1.0583944149441462</v>
      </c>
      <c r="I105" s="42">
        <f t="shared" si="8"/>
        <v>-329310.36027291807</v>
      </c>
    </row>
    <row r="106" spans="1:9" x14ac:dyDescent="0.25">
      <c r="A106" s="38">
        <f>Données!A106</f>
        <v>5581</v>
      </c>
      <c r="B106" s="27" t="str">
        <f>Données!B106</f>
        <v>Belmont-sur-Lausanne</v>
      </c>
      <c r="C106" s="31">
        <f>Données!Z106</f>
        <v>3835</v>
      </c>
      <c r="D106" s="225">
        <f>Ecrêtage!E106</f>
        <v>60.931148413733162</v>
      </c>
      <c r="E106" s="225">
        <f t="shared" si="5"/>
        <v>0</v>
      </c>
      <c r="F106" s="225">
        <f>+Données!X106</f>
        <v>72</v>
      </c>
      <c r="G106" s="352">
        <f t="shared" si="6"/>
        <v>0</v>
      </c>
      <c r="H106" s="160">
        <f t="shared" si="7"/>
        <v>1.0657957744892101</v>
      </c>
      <c r="I106" s="42">
        <f t="shared" si="8"/>
        <v>0</v>
      </c>
    </row>
    <row r="107" spans="1:9" x14ac:dyDescent="0.25">
      <c r="A107" s="38">
        <f>Données!A107</f>
        <v>5582</v>
      </c>
      <c r="B107" s="27" t="str">
        <f>Données!B107</f>
        <v>Cheseaux-sur-Lausanne</v>
      </c>
      <c r="C107" s="31">
        <f>Données!Z107</f>
        <v>4525</v>
      </c>
      <c r="D107" s="225">
        <f>Ecrêtage!E107</f>
        <v>37.663821176114425</v>
      </c>
      <c r="E107" s="225">
        <f t="shared" si="5"/>
        <v>10.806941436797288</v>
      </c>
      <c r="F107" s="225">
        <f>+Données!X107</f>
        <v>73</v>
      </c>
      <c r="G107" s="352">
        <f t="shared" si="6"/>
        <v>-963846.79112971749</v>
      </c>
      <c r="H107" s="160">
        <f t="shared" si="7"/>
        <v>1.080598493579338</v>
      </c>
      <c r="I107" s="42">
        <f t="shared" si="8"/>
        <v>-1041531.3905360516</v>
      </c>
    </row>
    <row r="108" spans="1:9" x14ac:dyDescent="0.25">
      <c r="A108" s="38">
        <f>Données!A108</f>
        <v>5583</v>
      </c>
      <c r="B108" s="27" t="str">
        <f>Données!B108</f>
        <v>Crissier</v>
      </c>
      <c r="C108" s="31">
        <f>Données!Z108</f>
        <v>9161</v>
      </c>
      <c r="D108" s="225">
        <f>Ecrêtage!E108</f>
        <v>37.16805420444593</v>
      </c>
      <c r="E108" s="225">
        <f t="shared" si="5"/>
        <v>11.302708408465783</v>
      </c>
      <c r="F108" s="225">
        <f>+Données!X108</f>
        <v>63.5</v>
      </c>
      <c r="G108" s="352">
        <f t="shared" si="6"/>
        <v>-1775263.7956100793</v>
      </c>
      <c r="H108" s="160">
        <f t="shared" si="7"/>
        <v>0.93997266222312281</v>
      </c>
      <c r="I108" s="42">
        <f t="shared" si="8"/>
        <v>-1668699.4361079321</v>
      </c>
    </row>
    <row r="109" spans="1:9" x14ac:dyDescent="0.25">
      <c r="A109" s="38">
        <f>Données!A109</f>
        <v>5584</v>
      </c>
      <c r="B109" s="27" t="str">
        <f>Données!B109</f>
        <v>Epalinges</v>
      </c>
      <c r="C109" s="31">
        <f>Données!Z109</f>
        <v>9825</v>
      </c>
      <c r="D109" s="225">
        <f>Ecrêtage!E109</f>
        <v>49.848979482020638</v>
      </c>
      <c r="E109" s="225">
        <f t="shared" si="5"/>
        <v>0</v>
      </c>
      <c r="F109" s="225">
        <f>+Données!X109</f>
        <v>64.5</v>
      </c>
      <c r="G109" s="352">
        <f t="shared" si="6"/>
        <v>0</v>
      </c>
      <c r="H109" s="160">
        <f t="shared" si="7"/>
        <v>0.95477538131325068</v>
      </c>
      <c r="I109" s="42">
        <f t="shared" si="8"/>
        <v>0</v>
      </c>
    </row>
    <row r="110" spans="1:9" x14ac:dyDescent="0.25">
      <c r="A110" s="38">
        <f>Données!A110</f>
        <v>5585</v>
      </c>
      <c r="B110" s="27" t="str">
        <f>Données!B110</f>
        <v>Jouxtens-Mézery</v>
      </c>
      <c r="C110" s="31">
        <f>Données!Z110</f>
        <v>1468</v>
      </c>
      <c r="D110" s="225">
        <f>Ecrêtage!E110</f>
        <v>172.30689546483163</v>
      </c>
      <c r="E110" s="225">
        <f t="shared" si="5"/>
        <v>0</v>
      </c>
      <c r="F110" s="225">
        <f>+Données!X110</f>
        <v>59</v>
      </c>
      <c r="G110" s="352">
        <f t="shared" si="6"/>
        <v>0</v>
      </c>
      <c r="H110" s="160">
        <f t="shared" si="7"/>
        <v>0.87336042631754718</v>
      </c>
      <c r="I110" s="42">
        <f t="shared" si="8"/>
        <v>0</v>
      </c>
    </row>
    <row r="111" spans="1:9" x14ac:dyDescent="0.25">
      <c r="A111" s="38">
        <f>Données!A111</f>
        <v>5586</v>
      </c>
      <c r="B111" s="27" t="str">
        <f>Données!B111</f>
        <v>Lausanne</v>
      </c>
      <c r="C111" s="31">
        <f>Données!Z111</f>
        <v>141513</v>
      </c>
      <c r="D111" s="225">
        <f>Ecrêtage!E111</f>
        <v>47.147462376386891</v>
      </c>
      <c r="E111" s="225">
        <f t="shared" si="5"/>
        <v>1.3233002365248225</v>
      </c>
      <c r="F111" s="225">
        <f>+Données!X111</f>
        <v>78.5</v>
      </c>
      <c r="G111" s="352">
        <f t="shared" si="6"/>
        <v>-3969064.4301404925</v>
      </c>
      <c r="H111" s="160">
        <f t="shared" si="7"/>
        <v>1.1620134485750415</v>
      </c>
      <c r="I111" s="42">
        <f t="shared" si="8"/>
        <v>-4612106.2460840857</v>
      </c>
    </row>
    <row r="112" spans="1:9" x14ac:dyDescent="0.25">
      <c r="A112" s="38">
        <f>Données!A112</f>
        <v>5587</v>
      </c>
      <c r="B112" s="27" t="str">
        <f>Données!B112</f>
        <v>Le Mont-sur-Lausanne</v>
      </c>
      <c r="C112" s="31">
        <f>Données!Z112</f>
        <v>9297</v>
      </c>
      <c r="D112" s="225">
        <f>Ecrêtage!E112</f>
        <v>52.065217885368618</v>
      </c>
      <c r="E112" s="225">
        <f t="shared" si="5"/>
        <v>0</v>
      </c>
      <c r="F112" s="225">
        <f>+Données!X112</f>
        <v>73.5</v>
      </c>
      <c r="G112" s="352">
        <f t="shared" si="6"/>
        <v>0</v>
      </c>
      <c r="H112" s="160">
        <f t="shared" si="7"/>
        <v>1.0879998531244019</v>
      </c>
      <c r="I112" s="42">
        <f t="shared" si="8"/>
        <v>0</v>
      </c>
    </row>
    <row r="113" spans="1:9" x14ac:dyDescent="0.25">
      <c r="A113" s="38">
        <f>Données!A113</f>
        <v>5588</v>
      </c>
      <c r="B113" s="27" t="str">
        <f>Données!B113</f>
        <v>Paudex</v>
      </c>
      <c r="C113" s="31">
        <f>Données!Z113</f>
        <v>1550</v>
      </c>
      <c r="D113" s="225">
        <f>Ecrêtage!E113</f>
        <v>88.746136225355983</v>
      </c>
      <c r="E113" s="225">
        <f t="shared" si="5"/>
        <v>0</v>
      </c>
      <c r="F113" s="225">
        <f>+Données!X113</f>
        <v>66.5</v>
      </c>
      <c r="G113" s="352">
        <f t="shared" si="6"/>
        <v>0</v>
      </c>
      <c r="H113" s="160">
        <f t="shared" si="7"/>
        <v>0.98438081949350653</v>
      </c>
      <c r="I113" s="42">
        <f t="shared" si="8"/>
        <v>0</v>
      </c>
    </row>
    <row r="114" spans="1:9" x14ac:dyDescent="0.25">
      <c r="A114" s="38">
        <f>Données!A114</f>
        <v>5589</v>
      </c>
      <c r="B114" s="27" t="str">
        <f>Données!B114</f>
        <v>Prilly</v>
      </c>
      <c r="C114" s="31">
        <f>Données!Z114</f>
        <v>12318</v>
      </c>
      <c r="D114" s="225">
        <f>Ecrêtage!E114</f>
        <v>32.815319047022257</v>
      </c>
      <c r="E114" s="225">
        <f t="shared" si="5"/>
        <v>15.655443565889456</v>
      </c>
      <c r="F114" s="225">
        <f>+Données!X114</f>
        <v>72.5</v>
      </c>
      <c r="G114" s="352">
        <f t="shared" si="6"/>
        <v>-3774916.4815085605</v>
      </c>
      <c r="H114" s="160">
        <f t="shared" si="7"/>
        <v>1.0731971340342741</v>
      </c>
      <c r="I114" s="42">
        <f t="shared" si="8"/>
        <v>-4051229.5491737328</v>
      </c>
    </row>
    <row r="115" spans="1:9" x14ac:dyDescent="0.25">
      <c r="A115" s="38">
        <f>Données!A115</f>
        <v>5590</v>
      </c>
      <c r="B115" s="27" t="str">
        <f>Données!B115</f>
        <v>Pully</v>
      </c>
      <c r="C115" s="31">
        <f>Données!Z115</f>
        <v>19005</v>
      </c>
      <c r="D115" s="225">
        <f>Ecrêtage!E115</f>
        <v>73.47919819202022</v>
      </c>
      <c r="E115" s="225">
        <f t="shared" si="5"/>
        <v>0</v>
      </c>
      <c r="F115" s="225">
        <f>+Données!X115</f>
        <v>61</v>
      </c>
      <c r="G115" s="352">
        <f t="shared" si="6"/>
        <v>0</v>
      </c>
      <c r="H115" s="160">
        <f t="shared" si="7"/>
        <v>0.90296586449780303</v>
      </c>
      <c r="I115" s="42">
        <f t="shared" si="8"/>
        <v>0</v>
      </c>
    </row>
    <row r="116" spans="1:9" x14ac:dyDescent="0.25">
      <c r="A116" s="38">
        <f>Données!A116</f>
        <v>5591</v>
      </c>
      <c r="B116" s="27" t="str">
        <f>Données!B116</f>
        <v>Renens</v>
      </c>
      <c r="C116" s="31">
        <f>Données!Z116</f>
        <v>21116</v>
      </c>
      <c r="D116" s="225">
        <f>Ecrêtage!E116</f>
        <v>28.078600785799864</v>
      </c>
      <c r="E116" s="225">
        <f t="shared" si="5"/>
        <v>20.392161827111849</v>
      </c>
      <c r="F116" s="225">
        <f>+Données!X116</f>
        <v>77</v>
      </c>
      <c r="G116" s="352">
        <f t="shared" si="6"/>
        <v>-8952192.4852475002</v>
      </c>
      <c r="H116" s="160">
        <f t="shared" si="7"/>
        <v>1.1398093699398497</v>
      </c>
      <c r="I116" s="42">
        <f t="shared" si="8"/>
        <v>-10203792.87619021</v>
      </c>
    </row>
    <row r="117" spans="1:9" x14ac:dyDescent="0.25">
      <c r="A117" s="38">
        <f>Données!A117</f>
        <v>5592</v>
      </c>
      <c r="B117" s="27" t="str">
        <f>Données!B117</f>
        <v>Romanel-sur-Lausanne</v>
      </c>
      <c r="C117" s="31">
        <f>Données!Z117</f>
        <v>3798</v>
      </c>
      <c r="D117" s="225">
        <f>Ecrêtage!E117</f>
        <v>29.911701828883434</v>
      </c>
      <c r="E117" s="225">
        <f t="shared" si="5"/>
        <v>18.559060784028279</v>
      </c>
      <c r="F117" s="225">
        <f>+Données!X117</f>
        <v>70.5</v>
      </c>
      <c r="G117" s="352">
        <f t="shared" si="6"/>
        <v>-1341726.0002470696</v>
      </c>
      <c r="H117" s="160">
        <f t="shared" si="7"/>
        <v>1.0435916958540181</v>
      </c>
      <c r="I117" s="42">
        <f t="shared" si="8"/>
        <v>-1400214.1119692682</v>
      </c>
    </row>
    <row r="118" spans="1:9" x14ac:dyDescent="0.25">
      <c r="A118" s="38">
        <f>Données!A118</f>
        <v>5601</v>
      </c>
      <c r="B118" s="27" t="str">
        <f>Données!B118</f>
        <v>Chexbres</v>
      </c>
      <c r="C118" s="31">
        <f>Données!Z118</f>
        <v>2204</v>
      </c>
      <c r="D118" s="225">
        <f>Ecrêtage!E118</f>
        <v>48.101313571284535</v>
      </c>
      <c r="E118" s="225">
        <f t="shared" si="5"/>
        <v>0.36944904162717762</v>
      </c>
      <c r="F118" s="225">
        <f>+Données!X118</f>
        <v>67.5</v>
      </c>
      <c r="G118" s="352">
        <f t="shared" si="6"/>
        <v>-14839.992159176309</v>
      </c>
      <c r="H118" s="160">
        <f t="shared" si="7"/>
        <v>0.99918353858363451</v>
      </c>
      <c r="I118" s="42">
        <f t="shared" si="8"/>
        <v>-14827.875878159175</v>
      </c>
    </row>
    <row r="119" spans="1:9" x14ac:dyDescent="0.25">
      <c r="A119" s="38">
        <f>Données!A119</f>
        <v>5604</v>
      </c>
      <c r="B119" s="27" t="str">
        <f>Données!B119</f>
        <v>Forel (Lavaux)</v>
      </c>
      <c r="C119" s="31">
        <f>Données!Z119</f>
        <v>2067</v>
      </c>
      <c r="D119" s="225">
        <f>Ecrêtage!E119</f>
        <v>34.330583426235606</v>
      </c>
      <c r="E119" s="225">
        <f t="shared" si="5"/>
        <v>14.140179186676107</v>
      </c>
      <c r="F119" s="225">
        <f>+Données!X119</f>
        <v>69</v>
      </c>
      <c r="G119" s="352">
        <f t="shared" si="6"/>
        <v>-544512.98955815274</v>
      </c>
      <c r="H119" s="160">
        <f t="shared" si="7"/>
        <v>1.0213876172188263</v>
      </c>
      <c r="I119" s="42">
        <f t="shared" si="8"/>
        <v>-556158.82494950132</v>
      </c>
    </row>
    <row r="120" spans="1:9" x14ac:dyDescent="0.25">
      <c r="A120" s="38">
        <f>Données!A120</f>
        <v>5606</v>
      </c>
      <c r="B120" s="27" t="str">
        <f>Données!B120</f>
        <v>Lutry</v>
      </c>
      <c r="C120" s="31">
        <f>Données!Z120</f>
        <v>10713</v>
      </c>
      <c r="D120" s="225">
        <f>Ecrêtage!E120</f>
        <v>113.14955897670683</v>
      </c>
      <c r="E120" s="225">
        <f t="shared" si="5"/>
        <v>0</v>
      </c>
      <c r="F120" s="225">
        <f>+Données!X120</f>
        <v>54</v>
      </c>
      <c r="G120" s="352">
        <f t="shared" si="6"/>
        <v>0</v>
      </c>
      <c r="H120" s="160">
        <f t="shared" si="7"/>
        <v>0.79934683086690761</v>
      </c>
      <c r="I120" s="42">
        <f t="shared" si="8"/>
        <v>0</v>
      </c>
    </row>
    <row r="121" spans="1:9" x14ac:dyDescent="0.25">
      <c r="A121" s="38">
        <f>Données!A121</f>
        <v>5607</v>
      </c>
      <c r="B121" s="27" t="str">
        <f>Données!B121</f>
        <v>Puidoux</v>
      </c>
      <c r="C121" s="31">
        <f>Données!Z121</f>
        <v>2991</v>
      </c>
      <c r="D121" s="225">
        <f>Ecrêtage!E121</f>
        <v>39.283196588602152</v>
      </c>
      <c r="E121" s="225">
        <f t="shared" si="5"/>
        <v>9.1875660243095609</v>
      </c>
      <c r="F121" s="225">
        <f>+Données!X121</f>
        <v>68.5</v>
      </c>
      <c r="G121" s="352">
        <f t="shared" si="6"/>
        <v>-508242.78455623955</v>
      </c>
      <c r="H121" s="160">
        <f t="shared" si="7"/>
        <v>1.0139862576737624</v>
      </c>
      <c r="I121" s="42">
        <f t="shared" si="8"/>
        <v>-515351.19910187362</v>
      </c>
    </row>
    <row r="122" spans="1:9" x14ac:dyDescent="0.25">
      <c r="A122" s="38">
        <f>Données!A122</f>
        <v>5609</v>
      </c>
      <c r="B122" s="27" t="str">
        <f>Données!B122</f>
        <v>Rivaz</v>
      </c>
      <c r="C122" s="31">
        <f>Données!Z122</f>
        <v>332</v>
      </c>
      <c r="D122" s="225">
        <f>Ecrêtage!E122</f>
        <v>44.970486785853097</v>
      </c>
      <c r="E122" s="225">
        <f t="shared" si="5"/>
        <v>3.5002758270586156</v>
      </c>
      <c r="F122" s="225">
        <f>+Données!X122</f>
        <v>62</v>
      </c>
      <c r="G122" s="352">
        <f t="shared" si="6"/>
        <v>-19453.412958527129</v>
      </c>
      <c r="H122" s="160">
        <f t="shared" si="7"/>
        <v>0.9177685835879309</v>
      </c>
      <c r="I122" s="42">
        <f t="shared" si="8"/>
        <v>-17853.731256898544</v>
      </c>
    </row>
    <row r="123" spans="1:9" x14ac:dyDescent="0.25">
      <c r="A123" s="38">
        <f>Données!A123</f>
        <v>5610</v>
      </c>
      <c r="B123" s="27" t="str">
        <f>Données!B123</f>
        <v>St-Saphorin (Lavaux)</v>
      </c>
      <c r="C123" s="31">
        <f>Données!Z123</f>
        <v>402</v>
      </c>
      <c r="D123" s="225">
        <f>Ecrêtage!E123</f>
        <v>53.051441864750316</v>
      </c>
      <c r="E123" s="225">
        <f t="shared" si="5"/>
        <v>0</v>
      </c>
      <c r="F123" s="225">
        <f>+Données!X123</f>
        <v>72</v>
      </c>
      <c r="G123" s="352">
        <f t="shared" si="6"/>
        <v>0</v>
      </c>
      <c r="H123" s="160">
        <f t="shared" si="7"/>
        <v>1.0657957744892101</v>
      </c>
      <c r="I123" s="42">
        <f t="shared" si="8"/>
        <v>0</v>
      </c>
    </row>
    <row r="124" spans="1:9" x14ac:dyDescent="0.25">
      <c r="A124" s="38">
        <f>Données!A124</f>
        <v>5611</v>
      </c>
      <c r="B124" s="27" t="str">
        <f>Données!B124</f>
        <v>Savigny</v>
      </c>
      <c r="C124" s="31">
        <f>Données!Z124</f>
        <v>3421</v>
      </c>
      <c r="D124" s="225">
        <f>Ecrêtage!E124</f>
        <v>40.81545465136476</v>
      </c>
      <c r="E124" s="225">
        <f t="shared" si="5"/>
        <v>7.6553079615469528</v>
      </c>
      <c r="F124" s="225">
        <f>+Données!X124</f>
        <v>69</v>
      </c>
      <c r="G124" s="352">
        <f t="shared" si="6"/>
        <v>-487897.50303410314</v>
      </c>
      <c r="H124" s="160">
        <f t="shared" si="7"/>
        <v>1.0213876172188263</v>
      </c>
      <c r="I124" s="42">
        <f t="shared" si="8"/>
        <v>-498332.46807101771</v>
      </c>
    </row>
    <row r="125" spans="1:9" x14ac:dyDescent="0.25">
      <c r="A125" s="38">
        <f>Données!A125</f>
        <v>5613</v>
      </c>
      <c r="B125" s="27" t="str">
        <f>Données!B125</f>
        <v>Bourg-en-Lavaux</v>
      </c>
      <c r="C125" s="31">
        <f>Données!Z125</f>
        <v>5389</v>
      </c>
      <c r="D125" s="225">
        <f>Ecrêtage!E125</f>
        <v>68.139980859776088</v>
      </c>
      <c r="E125" s="225">
        <f t="shared" si="5"/>
        <v>0</v>
      </c>
      <c r="F125" s="225">
        <f>+Données!X125</f>
        <v>62.5</v>
      </c>
      <c r="G125" s="352">
        <f t="shared" si="6"/>
        <v>0</v>
      </c>
      <c r="H125" s="160">
        <f t="shared" si="7"/>
        <v>0.92516994313299483</v>
      </c>
      <c r="I125" s="42">
        <f t="shared" si="8"/>
        <v>0</v>
      </c>
    </row>
    <row r="126" spans="1:9" x14ac:dyDescent="0.25">
      <c r="A126" s="38">
        <f>Données!A126</f>
        <v>5621</v>
      </c>
      <c r="B126" s="27" t="str">
        <f>Données!B126</f>
        <v>Aclens</v>
      </c>
      <c r="C126" s="31">
        <f>Données!Z126</f>
        <v>557</v>
      </c>
      <c r="D126" s="225">
        <f>Ecrêtage!E126</f>
        <v>70.382574643171154</v>
      </c>
      <c r="E126" s="225">
        <f t="shared" si="5"/>
        <v>0</v>
      </c>
      <c r="F126" s="225">
        <f>+Données!X126</f>
        <v>62</v>
      </c>
      <c r="G126" s="352">
        <f t="shared" si="6"/>
        <v>0</v>
      </c>
      <c r="H126" s="160">
        <f t="shared" si="7"/>
        <v>0.9177685835879309</v>
      </c>
      <c r="I126" s="42">
        <f t="shared" si="8"/>
        <v>0</v>
      </c>
    </row>
    <row r="127" spans="1:9" x14ac:dyDescent="0.25">
      <c r="A127" s="38">
        <f>Données!A127</f>
        <v>5622</v>
      </c>
      <c r="B127" s="27" t="str">
        <f>Données!B127</f>
        <v>Bremblens</v>
      </c>
      <c r="C127" s="31">
        <f>Données!Z127</f>
        <v>604</v>
      </c>
      <c r="D127" s="225">
        <f>Ecrêtage!E127</f>
        <v>51.080731155044802</v>
      </c>
      <c r="E127" s="225">
        <f t="shared" si="5"/>
        <v>0</v>
      </c>
      <c r="F127" s="225">
        <f>+Données!X127</f>
        <v>68</v>
      </c>
      <c r="G127" s="352">
        <f t="shared" si="6"/>
        <v>0</v>
      </c>
      <c r="H127" s="160">
        <f t="shared" si="7"/>
        <v>1.0065848981286984</v>
      </c>
      <c r="I127" s="42">
        <f t="shared" si="8"/>
        <v>0</v>
      </c>
    </row>
    <row r="128" spans="1:9" x14ac:dyDescent="0.25">
      <c r="A128" s="38">
        <f>Données!A128</f>
        <v>5623</v>
      </c>
      <c r="B128" s="27" t="str">
        <f>Données!B128</f>
        <v>Buchillon</v>
      </c>
      <c r="C128" s="31">
        <f>Données!Z128</f>
        <v>670</v>
      </c>
      <c r="D128" s="225">
        <f>Ecrêtage!E128</f>
        <v>131.94490068886336</v>
      </c>
      <c r="E128" s="225">
        <f t="shared" si="5"/>
        <v>0</v>
      </c>
      <c r="F128" s="225">
        <f>+Données!X128</f>
        <v>52</v>
      </c>
      <c r="G128" s="352">
        <f t="shared" si="6"/>
        <v>0</v>
      </c>
      <c r="H128" s="160">
        <f t="shared" si="7"/>
        <v>0.76974139268665176</v>
      </c>
      <c r="I128" s="42">
        <f t="shared" si="8"/>
        <v>0</v>
      </c>
    </row>
    <row r="129" spans="1:9" x14ac:dyDescent="0.25">
      <c r="A129" s="38">
        <f>Données!A129</f>
        <v>5624</v>
      </c>
      <c r="B129" s="27" t="str">
        <f>Données!B129</f>
        <v>Bussigny</v>
      </c>
      <c r="C129" s="31">
        <f>Données!Z129</f>
        <v>10392</v>
      </c>
      <c r="D129" s="225">
        <f>Ecrêtage!E129</f>
        <v>50.271434811393377</v>
      </c>
      <c r="E129" s="225">
        <f t="shared" si="5"/>
        <v>0</v>
      </c>
      <c r="F129" s="225">
        <f>+Données!X129</f>
        <v>62.5</v>
      </c>
      <c r="G129" s="352">
        <f t="shared" si="6"/>
        <v>0</v>
      </c>
      <c r="H129" s="160">
        <f t="shared" si="7"/>
        <v>0.92516994313299483</v>
      </c>
      <c r="I129" s="42">
        <f t="shared" si="8"/>
        <v>0</v>
      </c>
    </row>
    <row r="130" spans="1:9" x14ac:dyDescent="0.25">
      <c r="A130" s="38">
        <f>Données!A130</f>
        <v>5627</v>
      </c>
      <c r="B130" s="27" t="str">
        <f>Données!B130</f>
        <v>Chavannes-près-Renens</v>
      </c>
      <c r="C130" s="31">
        <f>Données!Z130</f>
        <v>8725</v>
      </c>
      <c r="D130" s="225">
        <f>Ecrêtage!E130</f>
        <v>21.626447605139106</v>
      </c>
      <c r="E130" s="225">
        <f t="shared" si="5"/>
        <v>26.844315007772607</v>
      </c>
      <c r="F130" s="225">
        <f>+Données!X130</f>
        <v>77.5</v>
      </c>
      <c r="G130" s="352">
        <f t="shared" si="6"/>
        <v>-4900983.3686659243</v>
      </c>
      <c r="H130" s="160">
        <f t="shared" si="7"/>
        <v>1.1472107294849136</v>
      </c>
      <c r="I130" s="42">
        <f t="shared" si="8"/>
        <v>-5622460.7055606646</v>
      </c>
    </row>
    <row r="131" spans="1:9" x14ac:dyDescent="0.25">
      <c r="A131" s="38">
        <f>Données!A131</f>
        <v>5628</v>
      </c>
      <c r="B131" s="27" t="str">
        <f>Données!B131</f>
        <v>Chigny</v>
      </c>
      <c r="C131" s="31">
        <f>Données!Z131</f>
        <v>419</v>
      </c>
      <c r="D131" s="225">
        <f>Ecrêtage!E131</f>
        <v>65.936465855724066</v>
      </c>
      <c r="E131" s="225">
        <f t="shared" si="5"/>
        <v>0</v>
      </c>
      <c r="F131" s="225">
        <f>+Données!X131</f>
        <v>62</v>
      </c>
      <c r="G131" s="352">
        <f t="shared" si="6"/>
        <v>0</v>
      </c>
      <c r="H131" s="160">
        <f t="shared" si="7"/>
        <v>0.9177685835879309</v>
      </c>
      <c r="I131" s="42">
        <f t="shared" si="8"/>
        <v>0</v>
      </c>
    </row>
    <row r="132" spans="1:9" x14ac:dyDescent="0.25">
      <c r="A132" s="38">
        <f>Données!A132</f>
        <v>5629</v>
      </c>
      <c r="B132" s="27" t="str">
        <f>Données!B132</f>
        <v>Clarmont</v>
      </c>
      <c r="C132" s="31">
        <f>Données!Z132</f>
        <v>213</v>
      </c>
      <c r="D132" s="225">
        <f>Ecrêtage!E132</f>
        <v>46.782831246739697</v>
      </c>
      <c r="E132" s="225">
        <f t="shared" si="5"/>
        <v>1.6879313661720161</v>
      </c>
      <c r="F132" s="225">
        <f>+Données!X132</f>
        <v>72</v>
      </c>
      <c r="G132" s="352">
        <f t="shared" si="6"/>
        <v>-6989.2511665357906</v>
      </c>
      <c r="H132" s="160">
        <f t="shared" si="7"/>
        <v>1.0657957744892101</v>
      </c>
      <c r="I132" s="42">
        <f t="shared" si="8"/>
        <v>-7449.1143601376289</v>
      </c>
    </row>
    <row r="133" spans="1:9" x14ac:dyDescent="0.25">
      <c r="A133" s="38">
        <f>Données!A133</f>
        <v>5631</v>
      </c>
      <c r="B133" s="27" t="str">
        <f>Données!B133</f>
        <v>Denens</v>
      </c>
      <c r="C133" s="31">
        <f>Données!Z133</f>
        <v>715</v>
      </c>
      <c r="D133" s="225">
        <f>Ecrêtage!E133</f>
        <v>58.313721102426989</v>
      </c>
      <c r="E133" s="225">
        <f t="shared" si="5"/>
        <v>0</v>
      </c>
      <c r="F133" s="225">
        <f>+Données!X133</f>
        <v>68</v>
      </c>
      <c r="G133" s="352">
        <f t="shared" si="6"/>
        <v>0</v>
      </c>
      <c r="H133" s="160">
        <f t="shared" si="7"/>
        <v>1.0065848981286984</v>
      </c>
      <c r="I133" s="42">
        <f t="shared" si="8"/>
        <v>0</v>
      </c>
    </row>
    <row r="134" spans="1:9" x14ac:dyDescent="0.25">
      <c r="A134" s="38">
        <f>Données!A134</f>
        <v>5632</v>
      </c>
      <c r="B134" s="27" t="str">
        <f>Données!B134</f>
        <v>Denges</v>
      </c>
      <c r="C134" s="31">
        <f>Données!Z134</f>
        <v>1778</v>
      </c>
      <c r="D134" s="225">
        <f>Ecrêtage!E134</f>
        <v>45.918184259225661</v>
      </c>
      <c r="E134" s="225">
        <f t="shared" si="5"/>
        <v>2.5525783536860516</v>
      </c>
      <c r="F134" s="225">
        <f>+Données!X134</f>
        <v>62</v>
      </c>
      <c r="G134" s="352">
        <f t="shared" si="6"/>
        <v>-75974.22739717261</v>
      </c>
      <c r="H134" s="160">
        <f t="shared" si="7"/>
        <v>0.9177685835879309</v>
      </c>
      <c r="I134" s="42">
        <f t="shared" si="8"/>
        <v>-69726.759067490479</v>
      </c>
    </row>
    <row r="135" spans="1:9" x14ac:dyDescent="0.25">
      <c r="A135" s="38">
        <f>Données!A135</f>
        <v>5633</v>
      </c>
      <c r="B135" s="27" t="str">
        <f>Données!B135</f>
        <v>Echandens</v>
      </c>
      <c r="C135" s="31">
        <f>Données!Z135</f>
        <v>2891</v>
      </c>
      <c r="D135" s="225">
        <f>Ecrêtage!E135</f>
        <v>51.828207517773883</v>
      </c>
      <c r="E135" s="225">
        <f t="shared" ref="E135:E198" si="9">IF($D$306-D135&lt;0,0,$D$306-D135)</f>
        <v>0</v>
      </c>
      <c r="F135" s="225">
        <f>+Données!X135</f>
        <v>60.5</v>
      </c>
      <c r="G135" s="352">
        <f t="shared" ref="G135:G198" si="10">-((C135*E135*F135)*$E$5)</f>
        <v>0</v>
      </c>
      <c r="H135" s="160">
        <f t="shared" ref="H135:H198" si="11">F135/$F$306</f>
        <v>0.89556450495273909</v>
      </c>
      <c r="I135" s="42">
        <f t="shared" ref="I135:I198" si="12">G135*H135</f>
        <v>0</v>
      </c>
    </row>
    <row r="136" spans="1:9" x14ac:dyDescent="0.25">
      <c r="A136" s="38">
        <f>Données!A136</f>
        <v>5634</v>
      </c>
      <c r="B136" s="27" t="str">
        <f>Données!B136</f>
        <v>Echichens</v>
      </c>
      <c r="C136" s="31">
        <f>Données!Z136</f>
        <v>3211</v>
      </c>
      <c r="D136" s="225">
        <f>Ecrêtage!E136</f>
        <v>57.034454762511452</v>
      </c>
      <c r="E136" s="225">
        <f t="shared" si="9"/>
        <v>0</v>
      </c>
      <c r="F136" s="225">
        <f>+Données!X136</f>
        <v>66</v>
      </c>
      <c r="G136" s="352">
        <f t="shared" si="10"/>
        <v>0</v>
      </c>
      <c r="H136" s="160">
        <f t="shared" si="11"/>
        <v>0.9769794599484426</v>
      </c>
      <c r="I136" s="42">
        <f t="shared" si="12"/>
        <v>0</v>
      </c>
    </row>
    <row r="137" spans="1:9" x14ac:dyDescent="0.25">
      <c r="A137" s="38">
        <f>Données!A137</f>
        <v>5635</v>
      </c>
      <c r="B137" s="27" t="str">
        <f>Données!B137</f>
        <v>Ecublens</v>
      </c>
      <c r="C137" s="31">
        <f>Données!Z137</f>
        <v>13129</v>
      </c>
      <c r="D137" s="225">
        <f>Ecrêtage!E137</f>
        <v>39.314911488562217</v>
      </c>
      <c r="E137" s="225">
        <f t="shared" si="9"/>
        <v>9.1558511243494962</v>
      </c>
      <c r="F137" s="225">
        <f>+Données!X137</f>
        <v>62.5</v>
      </c>
      <c r="G137" s="352">
        <f t="shared" si="10"/>
        <v>-2028495.9838204889</v>
      </c>
      <c r="H137" s="160">
        <f t="shared" si="11"/>
        <v>0.92516994313299483</v>
      </c>
      <c r="I137" s="42">
        <f t="shared" si="12"/>
        <v>-1876703.5139967101</v>
      </c>
    </row>
    <row r="138" spans="1:9" x14ac:dyDescent="0.25">
      <c r="A138" s="38">
        <f>Données!A138</f>
        <v>5636</v>
      </c>
      <c r="B138" s="27" t="str">
        <f>Données!B138</f>
        <v>Etoy</v>
      </c>
      <c r="C138" s="31">
        <f>Données!Z138</f>
        <v>2938</v>
      </c>
      <c r="D138" s="225">
        <f>Ecrêtage!E138</f>
        <v>64.485483492171554</v>
      </c>
      <c r="E138" s="225">
        <f t="shared" si="9"/>
        <v>0</v>
      </c>
      <c r="F138" s="225">
        <f>+Données!X138</f>
        <v>60</v>
      </c>
      <c r="G138" s="352">
        <f t="shared" si="10"/>
        <v>0</v>
      </c>
      <c r="H138" s="160">
        <f t="shared" si="11"/>
        <v>0.88816314540767505</v>
      </c>
      <c r="I138" s="42">
        <f t="shared" si="12"/>
        <v>0</v>
      </c>
    </row>
    <row r="139" spans="1:9" x14ac:dyDescent="0.25">
      <c r="A139" s="38">
        <f>Données!A139</f>
        <v>5637</v>
      </c>
      <c r="B139" s="27" t="str">
        <f>Données!B139</f>
        <v>Lavigny</v>
      </c>
      <c r="C139" s="31">
        <f>Données!Z139</f>
        <v>1038</v>
      </c>
      <c r="D139" s="225">
        <f>Ecrêtage!E139</f>
        <v>34.965134742787768</v>
      </c>
      <c r="E139" s="225">
        <f t="shared" si="9"/>
        <v>13.505627870123945</v>
      </c>
      <c r="F139" s="225">
        <f>+Données!X139</f>
        <v>73</v>
      </c>
      <c r="G139" s="352">
        <f t="shared" si="10"/>
        <v>-276311.37048230838</v>
      </c>
      <c r="H139" s="160">
        <f t="shared" si="11"/>
        <v>1.080598493579338</v>
      </c>
      <c r="I139" s="42">
        <f t="shared" si="12"/>
        <v>-298581.65070202481</v>
      </c>
    </row>
    <row r="140" spans="1:9" x14ac:dyDescent="0.25">
      <c r="A140" s="38">
        <f>Données!A140</f>
        <v>5638</v>
      </c>
      <c r="B140" s="27" t="str">
        <f>Données!B140</f>
        <v>Lonay</v>
      </c>
      <c r="C140" s="31">
        <f>Données!Z140</f>
        <v>2675</v>
      </c>
      <c r="D140" s="225">
        <f>Ecrêtage!E140</f>
        <v>57.530407816482587</v>
      </c>
      <c r="E140" s="225">
        <f t="shared" si="9"/>
        <v>0</v>
      </c>
      <c r="F140" s="225">
        <f>+Données!X140</f>
        <v>55</v>
      </c>
      <c r="G140" s="352">
        <f t="shared" si="10"/>
        <v>0</v>
      </c>
      <c r="H140" s="160">
        <f t="shared" si="11"/>
        <v>0.81414954995703548</v>
      </c>
      <c r="I140" s="42">
        <f t="shared" si="12"/>
        <v>0</v>
      </c>
    </row>
    <row r="141" spans="1:9" x14ac:dyDescent="0.25">
      <c r="A141" s="38">
        <f>Données!A141</f>
        <v>5639</v>
      </c>
      <c r="B141" s="27" t="str">
        <f>Données!B141</f>
        <v>Lully</v>
      </c>
      <c r="C141" s="31">
        <f>Données!Z141</f>
        <v>825</v>
      </c>
      <c r="D141" s="225">
        <f>Ecrêtage!E141</f>
        <v>63.323846199701933</v>
      </c>
      <c r="E141" s="225">
        <f t="shared" si="9"/>
        <v>0</v>
      </c>
      <c r="F141" s="225">
        <f>+Données!X141</f>
        <v>61</v>
      </c>
      <c r="G141" s="352">
        <f t="shared" si="10"/>
        <v>0</v>
      </c>
      <c r="H141" s="160">
        <f t="shared" si="11"/>
        <v>0.90296586449780303</v>
      </c>
      <c r="I141" s="42">
        <f t="shared" si="12"/>
        <v>0</v>
      </c>
    </row>
    <row r="142" spans="1:9" x14ac:dyDescent="0.25">
      <c r="A142" s="38">
        <f>Données!A142</f>
        <v>5640</v>
      </c>
      <c r="B142" s="27" t="str">
        <f>Données!B142</f>
        <v>Lussy-sur-Morges</v>
      </c>
      <c r="C142" s="31">
        <f>Données!Z142</f>
        <v>730</v>
      </c>
      <c r="D142" s="225">
        <f>Ecrêtage!E142</f>
        <v>79.139031113942863</v>
      </c>
      <c r="E142" s="225">
        <f t="shared" si="9"/>
        <v>0</v>
      </c>
      <c r="F142" s="225">
        <f>+Données!X142</f>
        <v>64.5</v>
      </c>
      <c r="G142" s="352">
        <f t="shared" si="10"/>
        <v>0</v>
      </c>
      <c r="H142" s="160">
        <f t="shared" si="11"/>
        <v>0.95477538131325068</v>
      </c>
      <c r="I142" s="42">
        <f t="shared" si="12"/>
        <v>0</v>
      </c>
    </row>
    <row r="143" spans="1:9" x14ac:dyDescent="0.25">
      <c r="A143" s="38">
        <f>Données!A143</f>
        <v>5642</v>
      </c>
      <c r="B143" s="27" t="str">
        <f>Données!B143</f>
        <v>Morges</v>
      </c>
      <c r="C143" s="31">
        <f>Données!Z143</f>
        <v>17530</v>
      </c>
      <c r="D143" s="225">
        <f>Ecrêtage!E143</f>
        <v>55.935381316463889</v>
      </c>
      <c r="E143" s="225">
        <f t="shared" si="9"/>
        <v>0</v>
      </c>
      <c r="F143" s="225">
        <f>+Données!X143</f>
        <v>67</v>
      </c>
      <c r="G143" s="352">
        <f t="shared" si="10"/>
        <v>0</v>
      </c>
      <c r="H143" s="160">
        <f t="shared" si="11"/>
        <v>0.99178217903857047</v>
      </c>
      <c r="I143" s="42">
        <f t="shared" si="12"/>
        <v>0</v>
      </c>
    </row>
    <row r="144" spans="1:9" x14ac:dyDescent="0.25">
      <c r="A144" s="38">
        <f>Données!A144</f>
        <v>5643</v>
      </c>
      <c r="B144" s="27" t="str">
        <f>Données!B144</f>
        <v>Préverenges</v>
      </c>
      <c r="C144" s="31">
        <f>Données!Z144</f>
        <v>5209</v>
      </c>
      <c r="D144" s="225">
        <f>Ecrêtage!E144</f>
        <v>48.516872612785555</v>
      </c>
      <c r="E144" s="225">
        <f t="shared" si="9"/>
        <v>0</v>
      </c>
      <c r="F144" s="225">
        <f>+Données!X144</f>
        <v>62.5</v>
      </c>
      <c r="G144" s="352">
        <f t="shared" si="10"/>
        <v>0</v>
      </c>
      <c r="H144" s="160">
        <f t="shared" si="11"/>
        <v>0.92516994313299483</v>
      </c>
      <c r="I144" s="42">
        <f t="shared" si="12"/>
        <v>0</v>
      </c>
    </row>
    <row r="145" spans="1:9" x14ac:dyDescent="0.25">
      <c r="A145" s="38">
        <f>Données!A145</f>
        <v>5645</v>
      </c>
      <c r="B145" s="27" t="str">
        <f>Données!B145</f>
        <v>Romanel-sur-Morges</v>
      </c>
      <c r="C145" s="31">
        <f>Données!Z145</f>
        <v>458</v>
      </c>
      <c r="D145" s="225">
        <f>Ecrêtage!E145</f>
        <v>51.897374064254528</v>
      </c>
      <c r="E145" s="225">
        <f t="shared" si="9"/>
        <v>0</v>
      </c>
      <c r="F145" s="225">
        <f>+Données!X145</f>
        <v>56</v>
      </c>
      <c r="G145" s="352">
        <f t="shared" si="10"/>
        <v>0</v>
      </c>
      <c r="H145" s="160">
        <f t="shared" si="11"/>
        <v>0.82895226904716346</v>
      </c>
      <c r="I145" s="42">
        <f t="shared" si="12"/>
        <v>0</v>
      </c>
    </row>
    <row r="146" spans="1:9" x14ac:dyDescent="0.25">
      <c r="A146" s="38">
        <f>Données!A146</f>
        <v>5646</v>
      </c>
      <c r="B146" s="27" t="str">
        <f>Données!B146</f>
        <v>Saint-Prex</v>
      </c>
      <c r="C146" s="31">
        <f>Données!Z146</f>
        <v>5876</v>
      </c>
      <c r="D146" s="225">
        <f>Ecrêtage!E146</f>
        <v>87.743067274520882</v>
      </c>
      <c r="E146" s="225">
        <f t="shared" si="9"/>
        <v>0</v>
      </c>
      <c r="F146" s="225">
        <f>+Données!X146</f>
        <v>59</v>
      </c>
      <c r="G146" s="352">
        <f t="shared" si="10"/>
        <v>0</v>
      </c>
      <c r="H146" s="160">
        <f t="shared" si="11"/>
        <v>0.87336042631754718</v>
      </c>
      <c r="I146" s="42">
        <f t="shared" si="12"/>
        <v>0</v>
      </c>
    </row>
    <row r="147" spans="1:9" x14ac:dyDescent="0.25">
      <c r="A147" s="38">
        <f>Données!A147</f>
        <v>5648</v>
      </c>
      <c r="B147" s="27" t="str">
        <f>Données!B147</f>
        <v>Saint-Sulpice</v>
      </c>
      <c r="C147" s="31">
        <f>Données!Z147</f>
        <v>5036</v>
      </c>
      <c r="D147" s="225">
        <f>Ecrêtage!E147</f>
        <v>82.811843860567564</v>
      </c>
      <c r="E147" s="225">
        <f t="shared" si="9"/>
        <v>0</v>
      </c>
      <c r="F147" s="225">
        <f>+Données!X147</f>
        <v>55</v>
      </c>
      <c r="G147" s="352">
        <f t="shared" si="10"/>
        <v>0</v>
      </c>
      <c r="H147" s="160">
        <f t="shared" si="11"/>
        <v>0.81414954995703548</v>
      </c>
      <c r="I147" s="42">
        <f t="shared" si="12"/>
        <v>0</v>
      </c>
    </row>
    <row r="148" spans="1:9" x14ac:dyDescent="0.25">
      <c r="A148" s="38">
        <f>Données!A148</f>
        <v>5649</v>
      </c>
      <c r="B148" s="27" t="str">
        <f>Données!B148</f>
        <v>Tolochenaz</v>
      </c>
      <c r="C148" s="31">
        <f>Données!Z148</f>
        <v>1890</v>
      </c>
      <c r="D148" s="225">
        <f>Ecrêtage!E148</f>
        <v>91.779921875000014</v>
      </c>
      <c r="E148" s="225">
        <f t="shared" si="9"/>
        <v>0</v>
      </c>
      <c r="F148" s="225">
        <f>+Données!X148</f>
        <v>64</v>
      </c>
      <c r="G148" s="352">
        <f t="shared" si="10"/>
        <v>0</v>
      </c>
      <c r="H148" s="160">
        <f t="shared" si="11"/>
        <v>0.94737402176818675</v>
      </c>
      <c r="I148" s="42">
        <f t="shared" si="12"/>
        <v>0</v>
      </c>
    </row>
    <row r="149" spans="1:9" x14ac:dyDescent="0.25">
      <c r="A149" s="38">
        <f>Données!A149</f>
        <v>5650</v>
      </c>
      <c r="B149" s="27" t="str">
        <f>Données!B149</f>
        <v>Vaux-sur-Morges</v>
      </c>
      <c r="C149" s="31">
        <f>Données!Z149</f>
        <v>185</v>
      </c>
      <c r="D149" s="225">
        <f>Ecrêtage!E149</f>
        <v>488.69115637065647</v>
      </c>
      <c r="E149" s="225">
        <f t="shared" si="9"/>
        <v>0</v>
      </c>
      <c r="F149" s="225">
        <f>+Données!X149</f>
        <v>56</v>
      </c>
      <c r="G149" s="352">
        <f t="shared" si="10"/>
        <v>0</v>
      </c>
      <c r="H149" s="160">
        <f t="shared" si="11"/>
        <v>0.82895226904716346</v>
      </c>
      <c r="I149" s="42">
        <f t="shared" si="12"/>
        <v>0</v>
      </c>
    </row>
    <row r="150" spans="1:9" x14ac:dyDescent="0.25">
      <c r="A150" s="38">
        <f>Données!A150</f>
        <v>5651</v>
      </c>
      <c r="B150" s="27" t="str">
        <f>Données!B150</f>
        <v>Villars-Sainte-Croix</v>
      </c>
      <c r="C150" s="31">
        <f>Données!Z150</f>
        <v>978</v>
      </c>
      <c r="D150" s="225">
        <f>Ecrêtage!E150</f>
        <v>57.268044246142416</v>
      </c>
      <c r="E150" s="225">
        <f t="shared" si="9"/>
        <v>0</v>
      </c>
      <c r="F150" s="225">
        <f>+Données!X150</f>
        <v>60.5</v>
      </c>
      <c r="G150" s="352">
        <f t="shared" si="10"/>
        <v>0</v>
      </c>
      <c r="H150" s="160">
        <f t="shared" si="11"/>
        <v>0.89556450495273909</v>
      </c>
      <c r="I150" s="42">
        <f t="shared" si="12"/>
        <v>0</v>
      </c>
    </row>
    <row r="151" spans="1:9" x14ac:dyDescent="0.25">
      <c r="A151" s="38">
        <f>Données!A151</f>
        <v>5652</v>
      </c>
      <c r="B151" s="27" t="str">
        <f>Données!B151</f>
        <v>Villars-sous-Yens</v>
      </c>
      <c r="C151" s="31">
        <f>Données!Z151</f>
        <v>615</v>
      </c>
      <c r="D151" s="225">
        <f>Ecrêtage!E151</f>
        <v>42.206849629154185</v>
      </c>
      <c r="E151" s="225">
        <f t="shared" si="9"/>
        <v>6.2639129837575283</v>
      </c>
      <c r="F151" s="225">
        <f>+Données!X151</f>
        <v>76</v>
      </c>
      <c r="G151" s="352">
        <f t="shared" si="10"/>
        <v>-79049.329072423265</v>
      </c>
      <c r="H151" s="160">
        <f t="shared" si="11"/>
        <v>1.1250066508497218</v>
      </c>
      <c r="I151" s="42">
        <f t="shared" si="12"/>
        <v>-88931.020951684448</v>
      </c>
    </row>
    <row r="152" spans="1:9" x14ac:dyDescent="0.25">
      <c r="A152" s="38">
        <f>Données!A152</f>
        <v>5653</v>
      </c>
      <c r="B152" s="27" t="str">
        <f>Données!B152</f>
        <v>Vufflens-le-Château</v>
      </c>
      <c r="C152" s="31">
        <f>Données!Z152</f>
        <v>884</v>
      </c>
      <c r="D152" s="225">
        <f>Ecrêtage!E152</f>
        <v>80.709242758247285</v>
      </c>
      <c r="E152" s="225">
        <f t="shared" si="9"/>
        <v>0</v>
      </c>
      <c r="F152" s="225">
        <f>+Données!X152</f>
        <v>58.5</v>
      </c>
      <c r="G152" s="352">
        <f t="shared" si="10"/>
        <v>0</v>
      </c>
      <c r="H152" s="160">
        <f t="shared" si="11"/>
        <v>0.86595906677248324</v>
      </c>
      <c r="I152" s="42">
        <f t="shared" si="12"/>
        <v>0</v>
      </c>
    </row>
    <row r="153" spans="1:9" x14ac:dyDescent="0.25">
      <c r="A153" s="38">
        <f>Données!A153</f>
        <v>5654</v>
      </c>
      <c r="B153" s="27" t="str">
        <f>Données!B153</f>
        <v>Vullierens</v>
      </c>
      <c r="C153" s="31">
        <f>Données!Z153</f>
        <v>562</v>
      </c>
      <c r="D153" s="225">
        <f>Ecrêtage!E153</f>
        <v>36.906247892863824</v>
      </c>
      <c r="E153" s="225">
        <f t="shared" si="9"/>
        <v>11.564514720047889</v>
      </c>
      <c r="F153" s="225">
        <f>+Données!X153</f>
        <v>76</v>
      </c>
      <c r="G153" s="352">
        <f t="shared" si="10"/>
        <v>-133364.75923512506</v>
      </c>
      <c r="H153" s="160">
        <f t="shared" si="11"/>
        <v>1.1250066508497218</v>
      </c>
      <c r="I153" s="42">
        <f t="shared" si="12"/>
        <v>-150036.24112848757</v>
      </c>
    </row>
    <row r="154" spans="1:9" x14ac:dyDescent="0.25">
      <c r="A154" s="38">
        <f>Données!A154</f>
        <v>5655</v>
      </c>
      <c r="B154" s="27" t="str">
        <f>Données!B154</f>
        <v>Yens</v>
      </c>
      <c r="C154" s="31">
        <f>Données!Z154</f>
        <v>1513</v>
      </c>
      <c r="D154" s="225">
        <f>Ecrêtage!E154</f>
        <v>53.859028651454288</v>
      </c>
      <c r="E154" s="225">
        <f t="shared" si="9"/>
        <v>0</v>
      </c>
      <c r="F154" s="225">
        <f>+Données!X154</f>
        <v>71.5</v>
      </c>
      <c r="G154" s="352">
        <f t="shared" si="10"/>
        <v>0</v>
      </c>
      <c r="H154" s="160">
        <f t="shared" si="11"/>
        <v>1.0583944149441462</v>
      </c>
      <c r="I154" s="42">
        <f t="shared" si="12"/>
        <v>0</v>
      </c>
    </row>
    <row r="155" spans="1:9" x14ac:dyDescent="0.25">
      <c r="A155" s="38">
        <f>Données!A155</f>
        <v>5656</v>
      </c>
      <c r="B155" s="27" t="str">
        <f>Données!B155</f>
        <v>Hautemorges</v>
      </c>
      <c r="C155" s="31">
        <f>Données!Z155</f>
        <v>4257</v>
      </c>
      <c r="D155" s="225">
        <f>Ecrêtage!E155</f>
        <v>39.684047499858238</v>
      </c>
      <c r="E155" s="225">
        <f t="shared" si="9"/>
        <v>8.7867151130534751</v>
      </c>
      <c r="F155" s="225">
        <f>+Données!X155</f>
        <v>72.5</v>
      </c>
      <c r="G155" s="352">
        <f t="shared" si="10"/>
        <v>-732203.78007495869</v>
      </c>
      <c r="H155" s="160">
        <f t="shared" si="11"/>
        <v>1.0731971340342741</v>
      </c>
      <c r="I155" s="42">
        <f t="shared" si="12"/>
        <v>-785798.99830550759</v>
      </c>
    </row>
    <row r="156" spans="1:9" x14ac:dyDescent="0.25">
      <c r="A156" s="38">
        <f>Données!A156</f>
        <v>5661</v>
      </c>
      <c r="B156" s="27" t="str">
        <f>Données!B156</f>
        <v>Boulens</v>
      </c>
      <c r="C156" s="31">
        <f>Données!Z156</f>
        <v>383</v>
      </c>
      <c r="D156" s="225">
        <f>Ecrêtage!E156</f>
        <v>28.74354288009641</v>
      </c>
      <c r="E156" s="225">
        <f t="shared" si="9"/>
        <v>19.727219732815303</v>
      </c>
      <c r="F156" s="225">
        <f>+Données!X156</f>
        <v>71.5</v>
      </c>
      <c r="G156" s="352">
        <f t="shared" si="10"/>
        <v>-145859.4131687858</v>
      </c>
      <c r="H156" s="160">
        <f t="shared" si="11"/>
        <v>1.0583944149441462</v>
      </c>
      <c r="I156" s="42">
        <f t="shared" si="12"/>
        <v>-154376.78826487355</v>
      </c>
    </row>
    <row r="157" spans="1:9" x14ac:dyDescent="0.25">
      <c r="A157" s="38">
        <f>Données!A157</f>
        <v>5663</v>
      </c>
      <c r="B157" s="27" t="str">
        <f>Données!B157</f>
        <v>Bussy-sur-Moudon</v>
      </c>
      <c r="C157" s="31">
        <f>Données!Z157</f>
        <v>246</v>
      </c>
      <c r="D157" s="225">
        <f>Ecrêtage!E157</f>
        <v>26.263276888819846</v>
      </c>
      <c r="E157" s="225">
        <f t="shared" si="9"/>
        <v>22.207485724091867</v>
      </c>
      <c r="F157" s="225">
        <f>+Données!X157</f>
        <v>78.5</v>
      </c>
      <c r="G157" s="352">
        <f t="shared" si="10"/>
        <v>-115789.16434084329</v>
      </c>
      <c r="H157" s="160">
        <f t="shared" si="11"/>
        <v>1.1620134485750415</v>
      </c>
      <c r="I157" s="42">
        <f t="shared" si="12"/>
        <v>-134548.56616332554</v>
      </c>
    </row>
    <row r="158" spans="1:9" x14ac:dyDescent="0.25">
      <c r="A158" s="38">
        <f>Données!A158</f>
        <v>5665</v>
      </c>
      <c r="B158" s="27" t="str">
        <f>Données!B158</f>
        <v>Chavannes-sur-Moudon</v>
      </c>
      <c r="C158" s="31">
        <f>Données!Z158</f>
        <v>218</v>
      </c>
      <c r="D158" s="225">
        <f>Ecrêtage!E158</f>
        <v>26.543857142857149</v>
      </c>
      <c r="E158" s="225">
        <f t="shared" si="9"/>
        <v>21.926905470054564</v>
      </c>
      <c r="F158" s="225">
        <f>+Données!X158</f>
        <v>70</v>
      </c>
      <c r="G158" s="352">
        <f t="shared" si="10"/>
        <v>-90343.235917718819</v>
      </c>
      <c r="H158" s="160">
        <f t="shared" si="11"/>
        <v>1.0361903363089542</v>
      </c>
      <c r="I158" s="42">
        <f t="shared" si="12"/>
        <v>-93612.788008820251</v>
      </c>
    </row>
    <row r="159" spans="1:9" x14ac:dyDescent="0.25">
      <c r="A159" s="38">
        <f>Données!A159</f>
        <v>5669</v>
      </c>
      <c r="B159" s="27" t="str">
        <f>Données!B159</f>
        <v>Curtilles</v>
      </c>
      <c r="C159" s="31">
        <f>Données!Z159</f>
        <v>294</v>
      </c>
      <c r="D159" s="225">
        <f>Ecrêtage!E159</f>
        <v>28.666761718385974</v>
      </c>
      <c r="E159" s="225">
        <f t="shared" si="9"/>
        <v>19.804000894525739</v>
      </c>
      <c r="F159" s="225">
        <f>+Données!X159</f>
        <v>73</v>
      </c>
      <c r="G159" s="352">
        <f t="shared" si="10"/>
        <v>-114759.0361435441</v>
      </c>
      <c r="H159" s="160">
        <f t="shared" si="11"/>
        <v>1.080598493579338</v>
      </c>
      <c r="I159" s="42">
        <f t="shared" si="12"/>
        <v>-124008.44158133055</v>
      </c>
    </row>
    <row r="160" spans="1:9" x14ac:dyDescent="0.25">
      <c r="A160" s="38">
        <f>Données!A160</f>
        <v>5671</v>
      </c>
      <c r="B160" s="27" t="str">
        <f>Données!B160</f>
        <v>Dompierre</v>
      </c>
      <c r="C160" s="31">
        <f>Données!Z160</f>
        <v>248</v>
      </c>
      <c r="D160" s="225">
        <f>Ecrêtage!E160</f>
        <v>27.223289909015715</v>
      </c>
      <c r="E160" s="225">
        <f t="shared" si="9"/>
        <v>21.247472703895998</v>
      </c>
      <c r="F160" s="225">
        <f>+Données!X160</f>
        <v>78</v>
      </c>
      <c r="G160" s="352">
        <f t="shared" si="10"/>
        <v>-110973.00023572434</v>
      </c>
      <c r="H160" s="160">
        <f t="shared" si="11"/>
        <v>1.1546120890299776</v>
      </c>
      <c r="I160" s="42">
        <f t="shared" si="12"/>
        <v>-128130.76762809388</v>
      </c>
    </row>
    <row r="161" spans="1:9" x14ac:dyDescent="0.25">
      <c r="A161" s="38">
        <f>Données!A161</f>
        <v>5673</v>
      </c>
      <c r="B161" s="27" t="str">
        <f>Données!B161</f>
        <v>Hermenches</v>
      </c>
      <c r="C161" s="31">
        <f>Données!Z161</f>
        <v>374</v>
      </c>
      <c r="D161" s="225">
        <f>Ecrêtage!E161</f>
        <v>25.869003965222447</v>
      </c>
      <c r="E161" s="225">
        <f t="shared" si="9"/>
        <v>22.601758647689266</v>
      </c>
      <c r="F161" s="225">
        <f>+Données!X161</f>
        <v>73.5</v>
      </c>
      <c r="G161" s="352">
        <f t="shared" si="10"/>
        <v>-167750.93073590918</v>
      </c>
      <c r="H161" s="160">
        <f t="shared" si="11"/>
        <v>1.0879998531244019</v>
      </c>
      <c r="I161" s="42">
        <f t="shared" si="12"/>
        <v>-182512.9880021509</v>
      </c>
    </row>
    <row r="162" spans="1:9" x14ac:dyDescent="0.25">
      <c r="A162" s="38">
        <f>Données!A162</f>
        <v>5674</v>
      </c>
      <c r="B162" s="27" t="str">
        <f>Données!B162</f>
        <v>Lovatens</v>
      </c>
      <c r="C162" s="31">
        <f>Données!Z162</f>
        <v>143</v>
      </c>
      <c r="D162" s="225">
        <f>Ecrêtage!E162</f>
        <v>24.747876923076923</v>
      </c>
      <c r="E162" s="225">
        <f t="shared" si="9"/>
        <v>23.72288568983479</v>
      </c>
      <c r="F162" s="225">
        <f>+Données!X162</f>
        <v>75</v>
      </c>
      <c r="G162" s="352">
        <f t="shared" si="10"/>
        <v>-68695.546236339098</v>
      </c>
      <c r="H162" s="160">
        <f t="shared" si="11"/>
        <v>1.1102039317595938</v>
      </c>
      <c r="I162" s="42">
        <f t="shared" si="12"/>
        <v>-76266.065525956627</v>
      </c>
    </row>
    <row r="163" spans="1:9" x14ac:dyDescent="0.25">
      <c r="A163" s="38">
        <f>Données!A163</f>
        <v>5675</v>
      </c>
      <c r="B163" s="27" t="str">
        <f>Données!B163</f>
        <v>Lucens</v>
      </c>
      <c r="C163" s="31">
        <f>Données!Z163</f>
        <v>4420</v>
      </c>
      <c r="D163" s="225">
        <f>Ecrêtage!E163</f>
        <v>20.996339005471889</v>
      </c>
      <c r="E163" s="225">
        <f t="shared" si="9"/>
        <v>27.474423607439824</v>
      </c>
      <c r="F163" s="225">
        <f>+Données!X163</f>
        <v>69.5</v>
      </c>
      <c r="G163" s="352">
        <f t="shared" si="10"/>
        <v>-2278764.4107517488</v>
      </c>
      <c r="H163" s="160">
        <f t="shared" si="11"/>
        <v>1.0287889767638903</v>
      </c>
      <c r="I163" s="42">
        <f t="shared" si="12"/>
        <v>-2344367.7064232612</v>
      </c>
    </row>
    <row r="164" spans="1:9" x14ac:dyDescent="0.25">
      <c r="A164" s="38">
        <f>Données!A164</f>
        <v>5678</v>
      </c>
      <c r="B164" s="27" t="str">
        <f>Données!B164</f>
        <v>Moudon</v>
      </c>
      <c r="C164" s="31">
        <f>Données!Z164</f>
        <v>6132</v>
      </c>
      <c r="D164" s="225">
        <f>Ecrêtage!E164</f>
        <v>21.310460152506916</v>
      </c>
      <c r="E164" s="225">
        <f t="shared" si="9"/>
        <v>27.160302460404797</v>
      </c>
      <c r="F164" s="225">
        <f>+Données!X164</f>
        <v>72.5</v>
      </c>
      <c r="G164" s="352">
        <f t="shared" si="10"/>
        <v>-3260157.0295019839</v>
      </c>
      <c r="H164" s="160">
        <f t="shared" si="11"/>
        <v>1.0731971340342741</v>
      </c>
      <c r="I164" s="42">
        <f t="shared" si="12"/>
        <v>-3498791.1805632212</v>
      </c>
    </row>
    <row r="165" spans="1:9" x14ac:dyDescent="0.25">
      <c r="A165" s="38">
        <f>Données!A165</f>
        <v>5680</v>
      </c>
      <c r="B165" s="27" t="str">
        <f>Données!B165</f>
        <v>Ogens</v>
      </c>
      <c r="C165" s="31">
        <f>Données!Z165</f>
        <v>324</v>
      </c>
      <c r="D165" s="225">
        <f>Ecrêtage!E165</f>
        <v>31.163058061622884</v>
      </c>
      <c r="E165" s="225">
        <f t="shared" si="9"/>
        <v>17.307704551288829</v>
      </c>
      <c r="F165" s="225">
        <f>+Données!X165</f>
        <v>78</v>
      </c>
      <c r="G165" s="352">
        <f t="shared" si="10"/>
        <v>-118098.08354344625</v>
      </c>
      <c r="H165" s="160">
        <f t="shared" si="11"/>
        <v>1.1546120890299776</v>
      </c>
      <c r="I165" s="42">
        <f t="shared" si="12"/>
        <v>-136357.47495053528</v>
      </c>
    </row>
    <row r="166" spans="1:9" x14ac:dyDescent="0.25">
      <c r="A166" s="38">
        <f>Données!A166</f>
        <v>5683</v>
      </c>
      <c r="B166" s="27" t="str">
        <f>Données!B166</f>
        <v>Prévonloup</v>
      </c>
      <c r="C166" s="31">
        <f>Données!Z166</f>
        <v>220</v>
      </c>
      <c r="D166" s="225">
        <f>Ecrêtage!E166</f>
        <v>23.552677742946713</v>
      </c>
      <c r="E166" s="225">
        <f t="shared" si="9"/>
        <v>24.918084869965</v>
      </c>
      <c r="F166" s="225">
        <f>+Données!X166</f>
        <v>72.5</v>
      </c>
      <c r="G166" s="352">
        <f t="shared" si="10"/>
        <v>-107309.73249250429</v>
      </c>
      <c r="H166" s="160">
        <f t="shared" si="11"/>
        <v>1.0731971340342741</v>
      </c>
      <c r="I166" s="42">
        <f t="shared" si="12"/>
        <v>-115164.49736494022</v>
      </c>
    </row>
    <row r="167" spans="1:9" x14ac:dyDescent="0.25">
      <c r="A167" s="38">
        <f>Données!A167</f>
        <v>5684</v>
      </c>
      <c r="B167" s="27" t="str">
        <f>Données!B167</f>
        <v>Rossenges</v>
      </c>
      <c r="C167" s="31">
        <f>Données!Z167</f>
        <v>93</v>
      </c>
      <c r="D167" s="225">
        <f>Ecrêtage!E167</f>
        <v>75.627034408602157</v>
      </c>
      <c r="E167" s="225">
        <f t="shared" si="9"/>
        <v>0</v>
      </c>
      <c r="F167" s="225">
        <f>+Données!X167</f>
        <v>75</v>
      </c>
      <c r="G167" s="352">
        <f t="shared" si="10"/>
        <v>0</v>
      </c>
      <c r="H167" s="160">
        <f t="shared" si="11"/>
        <v>1.1102039317595938</v>
      </c>
      <c r="I167" s="42">
        <f t="shared" si="12"/>
        <v>0</v>
      </c>
    </row>
    <row r="168" spans="1:9" x14ac:dyDescent="0.25">
      <c r="A168" s="38">
        <f>Données!A168</f>
        <v>5688</v>
      </c>
      <c r="B168" s="27" t="str">
        <f>Données!B168</f>
        <v>Syens</v>
      </c>
      <c r="C168" s="31">
        <f>Données!Z168</f>
        <v>164</v>
      </c>
      <c r="D168" s="225">
        <f>Ecrêtage!E168</f>
        <v>32.176893058161355</v>
      </c>
      <c r="E168" s="225">
        <f t="shared" si="9"/>
        <v>16.293869554750358</v>
      </c>
      <c r="F168" s="225">
        <f>+Données!X168</f>
        <v>65</v>
      </c>
      <c r="G168" s="352">
        <f t="shared" si="10"/>
        <v>-46897.015352482485</v>
      </c>
      <c r="H168" s="160">
        <f t="shared" si="11"/>
        <v>0.96217674085831462</v>
      </c>
      <c r="I168" s="42">
        <f t="shared" si="12"/>
        <v>-45123.217387833945</v>
      </c>
    </row>
    <row r="169" spans="1:9" x14ac:dyDescent="0.25">
      <c r="A169" s="38">
        <f>Données!A169</f>
        <v>5690</v>
      </c>
      <c r="B169" s="27" t="str">
        <f>Données!B169</f>
        <v>Villars-le-Comte</v>
      </c>
      <c r="C169" s="31">
        <f>Données!Z169</f>
        <v>138</v>
      </c>
      <c r="D169" s="225">
        <f>Ecrêtage!E169</f>
        <v>31.386838164251209</v>
      </c>
      <c r="E169" s="225">
        <f t="shared" si="9"/>
        <v>17.083924448660504</v>
      </c>
      <c r="F169" s="225">
        <f>+Données!X169</f>
        <v>70</v>
      </c>
      <c r="G169" s="352">
        <f t="shared" si="10"/>
        <v>-44558.291746996329</v>
      </c>
      <c r="H169" s="160">
        <f t="shared" si="11"/>
        <v>1.0361903363089542</v>
      </c>
      <c r="I169" s="42">
        <f t="shared" si="12"/>
        <v>-46170.871310672621</v>
      </c>
    </row>
    <row r="170" spans="1:9" x14ac:dyDescent="0.25">
      <c r="A170" s="38">
        <f>Données!A170</f>
        <v>5692</v>
      </c>
      <c r="B170" s="27" t="str">
        <f>Données!B170</f>
        <v>Vucherens</v>
      </c>
      <c r="C170" s="31">
        <f>Données!Z170</f>
        <v>637</v>
      </c>
      <c r="D170" s="225">
        <f>Ecrêtage!E170</f>
        <v>29.746154661664871</v>
      </c>
      <c r="E170" s="225">
        <f t="shared" si="9"/>
        <v>18.724607951246842</v>
      </c>
      <c r="F170" s="225">
        <f>+Données!X170</f>
        <v>77</v>
      </c>
      <c r="G170" s="352">
        <f t="shared" si="10"/>
        <v>-247974.28975819075</v>
      </c>
      <c r="H170" s="160">
        <f t="shared" si="11"/>
        <v>1.1398093699398497</v>
      </c>
      <c r="I170" s="42">
        <f t="shared" si="12"/>
        <v>-282643.41897056514</v>
      </c>
    </row>
    <row r="171" spans="1:9" x14ac:dyDescent="0.25">
      <c r="A171" s="38">
        <f>Données!A171</f>
        <v>5693</v>
      </c>
      <c r="B171" s="27" t="str">
        <f>Données!B171</f>
        <v>Montanaire</v>
      </c>
      <c r="C171" s="31">
        <f>Données!Z171</f>
        <v>2820</v>
      </c>
      <c r="D171" s="225">
        <f>Ecrêtage!E171</f>
        <v>28.396469858156024</v>
      </c>
      <c r="E171" s="225">
        <f t="shared" si="9"/>
        <v>20.074292754755689</v>
      </c>
      <c r="F171" s="225">
        <f>+Données!X171</f>
        <v>70</v>
      </c>
      <c r="G171" s="352">
        <f t="shared" si="10"/>
        <v>-1069919.6552429688</v>
      </c>
      <c r="H171" s="160">
        <f t="shared" si="11"/>
        <v>1.0361903363089542</v>
      </c>
      <c r="I171" s="42">
        <f t="shared" si="12"/>
        <v>-1108640.4073897721</v>
      </c>
    </row>
    <row r="172" spans="1:9" x14ac:dyDescent="0.25">
      <c r="A172" s="38">
        <f>Données!A172</f>
        <v>5701</v>
      </c>
      <c r="B172" s="27" t="str">
        <f>Données!B172</f>
        <v>Arnex-sur-Nyon</v>
      </c>
      <c r="C172" s="31">
        <f>Données!Z172</f>
        <v>240</v>
      </c>
      <c r="D172" s="225">
        <f>Ecrêtage!E172</f>
        <v>54.153442857142856</v>
      </c>
      <c r="E172" s="225">
        <f t="shared" si="9"/>
        <v>0</v>
      </c>
      <c r="F172" s="225">
        <f>+Données!X172</f>
        <v>70</v>
      </c>
      <c r="G172" s="352">
        <f t="shared" si="10"/>
        <v>0</v>
      </c>
      <c r="H172" s="160">
        <f t="shared" si="11"/>
        <v>1.0361903363089542</v>
      </c>
      <c r="I172" s="42">
        <f t="shared" si="12"/>
        <v>0</v>
      </c>
    </row>
    <row r="173" spans="1:9" x14ac:dyDescent="0.25">
      <c r="A173" s="38">
        <f>Données!A173</f>
        <v>5702</v>
      </c>
      <c r="B173" s="27" t="str">
        <f>Données!B173</f>
        <v>Arzier-Le Muids</v>
      </c>
      <c r="C173" s="31">
        <f>Données!Z173</f>
        <v>2954</v>
      </c>
      <c r="D173" s="225">
        <f>Ecrêtage!E173</f>
        <v>63.637256368483413</v>
      </c>
      <c r="E173" s="225">
        <f t="shared" si="9"/>
        <v>0</v>
      </c>
      <c r="F173" s="225">
        <f>+Données!X173</f>
        <v>64</v>
      </c>
      <c r="G173" s="352">
        <f t="shared" si="10"/>
        <v>0</v>
      </c>
      <c r="H173" s="160">
        <f t="shared" si="11"/>
        <v>0.94737402176818675</v>
      </c>
      <c r="I173" s="42">
        <f t="shared" si="12"/>
        <v>0</v>
      </c>
    </row>
    <row r="174" spans="1:9" x14ac:dyDescent="0.25">
      <c r="A174" s="38">
        <f>Données!A174</f>
        <v>5703</v>
      </c>
      <c r="B174" s="27" t="str">
        <f>Données!B174</f>
        <v>Bassins</v>
      </c>
      <c r="C174" s="31">
        <f>Données!Z174</f>
        <v>1478</v>
      </c>
      <c r="D174" s="225">
        <f>Ecrêtage!E174</f>
        <v>44.27689240552737</v>
      </c>
      <c r="E174" s="225">
        <f t="shared" si="9"/>
        <v>4.193870207384343</v>
      </c>
      <c r="F174" s="225">
        <f>+Données!X174</f>
        <v>72.5</v>
      </c>
      <c r="G174" s="352">
        <f t="shared" si="10"/>
        <v>-121336.42375951271</v>
      </c>
      <c r="H174" s="160">
        <f t="shared" si="11"/>
        <v>1.0731971340342741</v>
      </c>
      <c r="I174" s="42">
        <f t="shared" si="12"/>
        <v>-130217.90223267724</v>
      </c>
    </row>
    <row r="175" spans="1:9" x14ac:dyDescent="0.25">
      <c r="A175" s="38">
        <f>Données!A175</f>
        <v>5704</v>
      </c>
      <c r="B175" s="27" t="str">
        <f>Données!B175</f>
        <v>Begnins</v>
      </c>
      <c r="C175" s="31">
        <f>Données!Z175</f>
        <v>1938</v>
      </c>
      <c r="D175" s="225">
        <f>Ecrêtage!E175</f>
        <v>66.94016349501203</v>
      </c>
      <c r="E175" s="225">
        <f t="shared" si="9"/>
        <v>0</v>
      </c>
      <c r="F175" s="225">
        <f>+Données!X175</f>
        <v>62.5</v>
      </c>
      <c r="G175" s="352">
        <f t="shared" si="10"/>
        <v>0</v>
      </c>
      <c r="H175" s="160">
        <f t="shared" si="11"/>
        <v>0.92516994313299483</v>
      </c>
      <c r="I175" s="42">
        <f t="shared" si="12"/>
        <v>0</v>
      </c>
    </row>
    <row r="176" spans="1:9" x14ac:dyDescent="0.25">
      <c r="A176" s="38">
        <f>Données!A176</f>
        <v>5705</v>
      </c>
      <c r="B176" s="27" t="str">
        <f>Données!B176</f>
        <v>Bogis-Bossey</v>
      </c>
      <c r="C176" s="31">
        <f>Données!Z176</f>
        <v>923</v>
      </c>
      <c r="D176" s="225">
        <f>Ecrêtage!E176</f>
        <v>55.302351247391414</v>
      </c>
      <c r="E176" s="225">
        <f t="shared" si="9"/>
        <v>0</v>
      </c>
      <c r="F176" s="225">
        <f>+Données!X176</f>
        <v>74.5</v>
      </c>
      <c r="G176" s="352">
        <f t="shared" si="10"/>
        <v>0</v>
      </c>
      <c r="H176" s="160">
        <f t="shared" si="11"/>
        <v>1.1028025722145298</v>
      </c>
      <c r="I176" s="42">
        <f t="shared" si="12"/>
        <v>0</v>
      </c>
    </row>
    <row r="177" spans="1:9" x14ac:dyDescent="0.25">
      <c r="A177" s="38">
        <f>Données!A177</f>
        <v>5706</v>
      </c>
      <c r="B177" s="27" t="str">
        <f>Données!B177</f>
        <v>Borex</v>
      </c>
      <c r="C177" s="31">
        <f>Données!Z177</f>
        <v>1131</v>
      </c>
      <c r="D177" s="225">
        <f>Ecrêtage!E177</f>
        <v>138.68963717871159</v>
      </c>
      <c r="E177" s="225">
        <f t="shared" si="9"/>
        <v>0</v>
      </c>
      <c r="F177" s="225">
        <f>+Données!X177</f>
        <v>57</v>
      </c>
      <c r="G177" s="352">
        <f t="shared" si="10"/>
        <v>0</v>
      </c>
      <c r="H177" s="160">
        <f t="shared" si="11"/>
        <v>0.84375498813729133</v>
      </c>
      <c r="I177" s="42">
        <f t="shared" si="12"/>
        <v>0</v>
      </c>
    </row>
    <row r="178" spans="1:9" x14ac:dyDescent="0.25">
      <c r="A178" s="38">
        <f>Données!A178</f>
        <v>5707</v>
      </c>
      <c r="B178" s="27" t="str">
        <f>Données!B178</f>
        <v>Chavannes-de-Bogis</v>
      </c>
      <c r="C178" s="31">
        <f>Données!Z178</f>
        <v>1314</v>
      </c>
      <c r="D178" s="225">
        <f>Ecrêtage!E178</f>
        <v>66.061032820728144</v>
      </c>
      <c r="E178" s="225">
        <f t="shared" si="9"/>
        <v>0</v>
      </c>
      <c r="F178" s="225">
        <f>+Données!X178</f>
        <v>58</v>
      </c>
      <c r="G178" s="352">
        <f t="shared" si="10"/>
        <v>0</v>
      </c>
      <c r="H178" s="160">
        <f t="shared" si="11"/>
        <v>0.8585577072274192</v>
      </c>
      <c r="I178" s="42">
        <f t="shared" si="12"/>
        <v>0</v>
      </c>
    </row>
    <row r="179" spans="1:9" x14ac:dyDescent="0.25">
      <c r="A179" s="38">
        <f>Données!A179</f>
        <v>5708</v>
      </c>
      <c r="B179" s="27" t="str">
        <f>Données!B179</f>
        <v>Chavannes-des-Bois</v>
      </c>
      <c r="C179" s="31">
        <f>Données!Z179</f>
        <v>1019</v>
      </c>
      <c r="D179" s="225">
        <f>Ecrêtage!E179</f>
        <v>67.523809242048131</v>
      </c>
      <c r="E179" s="225">
        <f t="shared" si="9"/>
        <v>0</v>
      </c>
      <c r="F179" s="225">
        <f>+Données!X179</f>
        <v>68</v>
      </c>
      <c r="G179" s="352">
        <f t="shared" si="10"/>
        <v>0</v>
      </c>
      <c r="H179" s="160">
        <f t="shared" si="11"/>
        <v>1.0065848981286984</v>
      </c>
      <c r="I179" s="42">
        <f t="shared" si="12"/>
        <v>0</v>
      </c>
    </row>
    <row r="180" spans="1:9" x14ac:dyDescent="0.25">
      <c r="A180" s="38">
        <f>Données!A180</f>
        <v>5709</v>
      </c>
      <c r="B180" s="27" t="str">
        <f>Données!B180</f>
        <v>Chéserex</v>
      </c>
      <c r="C180" s="31">
        <f>Données!Z180</f>
        <v>1251</v>
      </c>
      <c r="D180" s="225">
        <f>Ecrêtage!E180</f>
        <v>72.728724949864699</v>
      </c>
      <c r="E180" s="225">
        <f t="shared" si="9"/>
        <v>0</v>
      </c>
      <c r="F180" s="225">
        <f>+Données!X180</f>
        <v>57</v>
      </c>
      <c r="G180" s="352">
        <f t="shared" si="10"/>
        <v>0</v>
      </c>
      <c r="H180" s="160">
        <f t="shared" si="11"/>
        <v>0.84375498813729133</v>
      </c>
      <c r="I180" s="42">
        <f t="shared" si="12"/>
        <v>0</v>
      </c>
    </row>
    <row r="181" spans="1:9" x14ac:dyDescent="0.25">
      <c r="A181" s="38">
        <f>Données!A181</f>
        <v>5710</v>
      </c>
      <c r="B181" s="27" t="str">
        <f>Données!B181</f>
        <v>Coinsins</v>
      </c>
      <c r="C181" s="31">
        <f>Données!Z181</f>
        <v>499</v>
      </c>
      <c r="D181" s="225">
        <f>Ecrêtage!E181</f>
        <v>67.233760462100662</v>
      </c>
      <c r="E181" s="225">
        <f t="shared" si="9"/>
        <v>0</v>
      </c>
      <c r="F181" s="225">
        <f>+Données!X181</f>
        <v>51</v>
      </c>
      <c r="G181" s="352">
        <f t="shared" si="10"/>
        <v>0</v>
      </c>
      <c r="H181" s="160">
        <f t="shared" si="11"/>
        <v>0.75493867359652378</v>
      </c>
      <c r="I181" s="42">
        <f t="shared" si="12"/>
        <v>0</v>
      </c>
    </row>
    <row r="182" spans="1:9" x14ac:dyDescent="0.25">
      <c r="A182" s="38">
        <f>Données!A182</f>
        <v>5711</v>
      </c>
      <c r="B182" s="27" t="str">
        <f>Données!B182</f>
        <v>Commugny</v>
      </c>
      <c r="C182" s="31">
        <f>Données!Z182</f>
        <v>2983</v>
      </c>
      <c r="D182" s="225">
        <f>Ecrêtage!E182</f>
        <v>102.40063479826982</v>
      </c>
      <c r="E182" s="225">
        <f t="shared" si="9"/>
        <v>0</v>
      </c>
      <c r="F182" s="225">
        <f>+Données!X182</f>
        <v>57</v>
      </c>
      <c r="G182" s="352">
        <f t="shared" si="10"/>
        <v>0</v>
      </c>
      <c r="H182" s="160">
        <f t="shared" si="11"/>
        <v>0.84375498813729133</v>
      </c>
      <c r="I182" s="42">
        <f t="shared" si="12"/>
        <v>0</v>
      </c>
    </row>
    <row r="183" spans="1:9" x14ac:dyDescent="0.25">
      <c r="A183" s="38">
        <f>Données!A183</f>
        <v>5712</v>
      </c>
      <c r="B183" s="27" t="str">
        <f>Données!B183</f>
        <v>Coppet</v>
      </c>
      <c r="C183" s="31">
        <f>Données!Z183</f>
        <v>3184</v>
      </c>
      <c r="D183" s="225">
        <f>Ecrêtage!E183</f>
        <v>132.78347606744416</v>
      </c>
      <c r="E183" s="225">
        <f t="shared" si="9"/>
        <v>0</v>
      </c>
      <c r="F183" s="225">
        <f>+Données!X183</f>
        <v>53</v>
      </c>
      <c r="G183" s="352">
        <f t="shared" si="10"/>
        <v>0</v>
      </c>
      <c r="H183" s="160">
        <f t="shared" si="11"/>
        <v>0.78454411177677963</v>
      </c>
      <c r="I183" s="42">
        <f t="shared" si="12"/>
        <v>0</v>
      </c>
    </row>
    <row r="184" spans="1:9" x14ac:dyDescent="0.25">
      <c r="A184" s="38">
        <f>Données!A184</f>
        <v>5713</v>
      </c>
      <c r="B184" s="27" t="str">
        <f>Données!B184</f>
        <v>Crans</v>
      </c>
      <c r="C184" s="31">
        <f>Données!Z184</f>
        <v>2357</v>
      </c>
      <c r="D184" s="225">
        <f>Ecrêtage!E184</f>
        <v>120.60635280412477</v>
      </c>
      <c r="E184" s="225">
        <f t="shared" si="9"/>
        <v>0</v>
      </c>
      <c r="F184" s="225">
        <f>+Données!X184</f>
        <v>59</v>
      </c>
      <c r="G184" s="352">
        <f t="shared" si="10"/>
        <v>0</v>
      </c>
      <c r="H184" s="160">
        <f t="shared" si="11"/>
        <v>0.87336042631754718</v>
      </c>
      <c r="I184" s="42">
        <f t="shared" si="12"/>
        <v>0</v>
      </c>
    </row>
    <row r="185" spans="1:9" x14ac:dyDescent="0.25">
      <c r="A185" s="38">
        <f>Données!A185</f>
        <v>5714</v>
      </c>
      <c r="B185" s="27" t="str">
        <f>Données!B185</f>
        <v>Crassier</v>
      </c>
      <c r="C185" s="31">
        <f>Données!Z185</f>
        <v>1233</v>
      </c>
      <c r="D185" s="225">
        <f>Ecrêtage!E185</f>
        <v>50.70937209203057</v>
      </c>
      <c r="E185" s="225">
        <f t="shared" si="9"/>
        <v>0</v>
      </c>
      <c r="F185" s="225">
        <f>+Données!X185</f>
        <v>66.5</v>
      </c>
      <c r="G185" s="352">
        <f t="shared" si="10"/>
        <v>0</v>
      </c>
      <c r="H185" s="160">
        <f t="shared" si="11"/>
        <v>0.98438081949350653</v>
      </c>
      <c r="I185" s="42">
        <f t="shared" si="12"/>
        <v>0</v>
      </c>
    </row>
    <row r="186" spans="1:9" x14ac:dyDescent="0.25">
      <c r="A186" s="38">
        <f>Données!A186</f>
        <v>5715</v>
      </c>
      <c r="B186" s="27" t="str">
        <f>Données!B186</f>
        <v>Duillier</v>
      </c>
      <c r="C186" s="31">
        <f>Données!Z186</f>
        <v>1116</v>
      </c>
      <c r="D186" s="225">
        <f>Ecrêtage!E186</f>
        <v>54.256374361898558</v>
      </c>
      <c r="E186" s="225">
        <f t="shared" si="9"/>
        <v>0</v>
      </c>
      <c r="F186" s="225">
        <f>+Données!X186</f>
        <v>66</v>
      </c>
      <c r="G186" s="352">
        <f t="shared" si="10"/>
        <v>0</v>
      </c>
      <c r="H186" s="160">
        <f t="shared" si="11"/>
        <v>0.9769794599484426</v>
      </c>
      <c r="I186" s="42">
        <f t="shared" si="12"/>
        <v>0</v>
      </c>
    </row>
    <row r="187" spans="1:9" x14ac:dyDescent="0.25">
      <c r="A187" s="38">
        <f>Données!A187</f>
        <v>5716</v>
      </c>
      <c r="B187" s="27" t="str">
        <f>Données!B187</f>
        <v>Eysins</v>
      </c>
      <c r="C187" s="31">
        <f>Données!Z187</f>
        <v>1768</v>
      </c>
      <c r="D187" s="225">
        <f>Ecrêtage!E187</f>
        <v>131.53678780561995</v>
      </c>
      <c r="E187" s="225">
        <f t="shared" si="9"/>
        <v>0</v>
      </c>
      <c r="F187" s="225">
        <f>+Données!X187</f>
        <v>59.5</v>
      </c>
      <c r="G187" s="352">
        <f t="shared" si="10"/>
        <v>0</v>
      </c>
      <c r="H187" s="160">
        <f t="shared" si="11"/>
        <v>0.88076178586261111</v>
      </c>
      <c r="I187" s="42">
        <f t="shared" si="12"/>
        <v>0</v>
      </c>
    </row>
    <row r="188" spans="1:9" x14ac:dyDescent="0.25">
      <c r="A188" s="38">
        <f>Données!A188</f>
        <v>5717</v>
      </c>
      <c r="B188" s="27" t="str">
        <f>Données!B188</f>
        <v>Founex</v>
      </c>
      <c r="C188" s="31">
        <f>Données!Z188</f>
        <v>3763</v>
      </c>
      <c r="D188" s="225">
        <f>Ecrêtage!E188</f>
        <v>96.089016975071218</v>
      </c>
      <c r="E188" s="225">
        <f t="shared" si="9"/>
        <v>0</v>
      </c>
      <c r="F188" s="225">
        <f>+Données!X188</f>
        <v>57</v>
      </c>
      <c r="G188" s="352">
        <f t="shared" si="10"/>
        <v>0</v>
      </c>
      <c r="H188" s="160">
        <f t="shared" si="11"/>
        <v>0.84375498813729133</v>
      </c>
      <c r="I188" s="42">
        <f t="shared" si="12"/>
        <v>0</v>
      </c>
    </row>
    <row r="189" spans="1:9" x14ac:dyDescent="0.25">
      <c r="A189" s="38">
        <f>Données!A189</f>
        <v>5718</v>
      </c>
      <c r="B189" s="27" t="str">
        <f>Données!B189</f>
        <v>Genolier</v>
      </c>
      <c r="C189" s="31">
        <f>Données!Z189</f>
        <v>2026</v>
      </c>
      <c r="D189" s="225">
        <f>Ecrêtage!E189</f>
        <v>104.9848107331957</v>
      </c>
      <c r="E189" s="225">
        <f t="shared" si="9"/>
        <v>0</v>
      </c>
      <c r="F189" s="225">
        <f>+Données!X189</f>
        <v>55</v>
      </c>
      <c r="G189" s="352">
        <f t="shared" si="10"/>
        <v>0</v>
      </c>
      <c r="H189" s="160">
        <f t="shared" si="11"/>
        <v>0.81414954995703548</v>
      </c>
      <c r="I189" s="42">
        <f t="shared" si="12"/>
        <v>0</v>
      </c>
    </row>
    <row r="190" spans="1:9" x14ac:dyDescent="0.25">
      <c r="A190" s="38">
        <f>Données!A190</f>
        <v>5719</v>
      </c>
      <c r="B190" s="27" t="str">
        <f>Données!B190</f>
        <v>Gingins</v>
      </c>
      <c r="C190" s="31">
        <f>Données!Z190</f>
        <v>1270</v>
      </c>
      <c r="D190" s="225">
        <f>Ecrêtage!E190</f>
        <v>94.443542607174081</v>
      </c>
      <c r="E190" s="225">
        <f t="shared" si="9"/>
        <v>0</v>
      </c>
      <c r="F190" s="225">
        <f>+Données!X190</f>
        <v>60</v>
      </c>
      <c r="G190" s="352">
        <f t="shared" si="10"/>
        <v>0</v>
      </c>
      <c r="H190" s="160">
        <f t="shared" si="11"/>
        <v>0.88816314540767505</v>
      </c>
      <c r="I190" s="42">
        <f t="shared" si="12"/>
        <v>0</v>
      </c>
    </row>
    <row r="191" spans="1:9" x14ac:dyDescent="0.25">
      <c r="A191" s="38">
        <f>Données!A191</f>
        <v>5720</v>
      </c>
      <c r="B191" s="27" t="str">
        <f>Données!B191</f>
        <v>Givrins</v>
      </c>
      <c r="C191" s="31">
        <f>Données!Z191</f>
        <v>1024</v>
      </c>
      <c r="D191" s="225">
        <f>Ecrêtage!E191</f>
        <v>82.879328261038552</v>
      </c>
      <c r="E191" s="225">
        <f t="shared" si="9"/>
        <v>0</v>
      </c>
      <c r="F191" s="225">
        <f>+Données!X191</f>
        <v>67</v>
      </c>
      <c r="G191" s="352">
        <f t="shared" si="10"/>
        <v>0</v>
      </c>
      <c r="H191" s="160">
        <f t="shared" si="11"/>
        <v>0.99178217903857047</v>
      </c>
      <c r="I191" s="42">
        <f t="shared" si="12"/>
        <v>0</v>
      </c>
    </row>
    <row r="192" spans="1:9" x14ac:dyDescent="0.25">
      <c r="A192" s="38">
        <f>Données!A192</f>
        <v>5721</v>
      </c>
      <c r="B192" s="27" t="str">
        <f>Données!B192</f>
        <v>Gland</v>
      </c>
      <c r="C192" s="31">
        <f>Données!Z192</f>
        <v>13686</v>
      </c>
      <c r="D192" s="225">
        <f>Ecrêtage!E192</f>
        <v>50.342342899169431</v>
      </c>
      <c r="E192" s="225">
        <f t="shared" si="9"/>
        <v>0</v>
      </c>
      <c r="F192" s="225">
        <f>+Données!X192</f>
        <v>61</v>
      </c>
      <c r="G192" s="352">
        <f t="shared" si="10"/>
        <v>0</v>
      </c>
      <c r="H192" s="160">
        <f t="shared" si="11"/>
        <v>0.90296586449780303</v>
      </c>
      <c r="I192" s="42">
        <f t="shared" si="12"/>
        <v>0</v>
      </c>
    </row>
    <row r="193" spans="1:9" x14ac:dyDescent="0.25">
      <c r="A193" s="38">
        <f>Données!A193</f>
        <v>5722</v>
      </c>
      <c r="B193" s="27" t="str">
        <f>Données!B193</f>
        <v>Grens</v>
      </c>
      <c r="C193" s="31">
        <f>Données!Z193</f>
        <v>400</v>
      </c>
      <c r="D193" s="225">
        <f>Ecrêtage!E193</f>
        <v>52.281808064516134</v>
      </c>
      <c r="E193" s="225">
        <f t="shared" si="9"/>
        <v>0</v>
      </c>
      <c r="F193" s="225">
        <f>+Données!X193</f>
        <v>62</v>
      </c>
      <c r="G193" s="352">
        <f t="shared" si="10"/>
        <v>0</v>
      </c>
      <c r="H193" s="160">
        <f t="shared" si="11"/>
        <v>0.9177685835879309</v>
      </c>
      <c r="I193" s="42">
        <f t="shared" si="12"/>
        <v>0</v>
      </c>
    </row>
    <row r="194" spans="1:9" x14ac:dyDescent="0.25">
      <c r="A194" s="38">
        <f>Données!A194</f>
        <v>5723</v>
      </c>
      <c r="B194" s="27" t="str">
        <f>Données!B194</f>
        <v>Mies</v>
      </c>
      <c r="C194" s="31">
        <f>Données!Z194</f>
        <v>2226</v>
      </c>
      <c r="D194" s="225">
        <f>Ecrêtage!E194</f>
        <v>114.00323147764186</v>
      </c>
      <c r="E194" s="225">
        <f t="shared" si="9"/>
        <v>0</v>
      </c>
      <c r="F194" s="225">
        <f>+Données!X194</f>
        <v>52</v>
      </c>
      <c r="G194" s="352">
        <f t="shared" si="10"/>
        <v>0</v>
      </c>
      <c r="H194" s="160">
        <f t="shared" si="11"/>
        <v>0.76974139268665176</v>
      </c>
      <c r="I194" s="42">
        <f t="shared" si="12"/>
        <v>0</v>
      </c>
    </row>
    <row r="195" spans="1:9" x14ac:dyDescent="0.25">
      <c r="A195" s="38">
        <f>Données!A195</f>
        <v>5724</v>
      </c>
      <c r="B195" s="27" t="str">
        <f>Données!B195</f>
        <v>Nyon</v>
      </c>
      <c r="C195" s="31">
        <f>Données!Z195</f>
        <v>22461</v>
      </c>
      <c r="D195" s="225">
        <f>Ecrêtage!E195</f>
        <v>67.679471105106771</v>
      </c>
      <c r="E195" s="225">
        <f t="shared" si="9"/>
        <v>0</v>
      </c>
      <c r="F195" s="225">
        <f>+Données!X195</f>
        <v>61</v>
      </c>
      <c r="G195" s="352">
        <f t="shared" si="10"/>
        <v>0</v>
      </c>
      <c r="H195" s="160">
        <f t="shared" si="11"/>
        <v>0.90296586449780303</v>
      </c>
      <c r="I195" s="42">
        <f t="shared" si="12"/>
        <v>0</v>
      </c>
    </row>
    <row r="196" spans="1:9" x14ac:dyDescent="0.25">
      <c r="A196" s="38">
        <f>Données!A196</f>
        <v>5725</v>
      </c>
      <c r="B196" s="27" t="str">
        <f>Données!B196</f>
        <v>Prangins</v>
      </c>
      <c r="C196" s="31">
        <f>Données!Z196</f>
        <v>4277</v>
      </c>
      <c r="D196" s="225">
        <f>Ecrêtage!E196</f>
        <v>90.942014514361006</v>
      </c>
      <c r="E196" s="225">
        <f t="shared" si="9"/>
        <v>0</v>
      </c>
      <c r="F196" s="225">
        <f>+Données!X196</f>
        <v>55</v>
      </c>
      <c r="G196" s="352">
        <f t="shared" si="10"/>
        <v>0</v>
      </c>
      <c r="H196" s="160">
        <f t="shared" si="11"/>
        <v>0.81414954995703548</v>
      </c>
      <c r="I196" s="42">
        <f t="shared" si="12"/>
        <v>0</v>
      </c>
    </row>
    <row r="197" spans="1:9" x14ac:dyDescent="0.25">
      <c r="A197" s="38">
        <f>Données!A197</f>
        <v>5726</v>
      </c>
      <c r="B197" s="27" t="str">
        <f>Données!B197</f>
        <v>La Rippe</v>
      </c>
      <c r="C197" s="31">
        <f>Données!Z197</f>
        <v>1197</v>
      </c>
      <c r="D197" s="225">
        <f>Ecrêtage!E197</f>
        <v>58.300679302422743</v>
      </c>
      <c r="E197" s="225">
        <f t="shared" si="9"/>
        <v>0</v>
      </c>
      <c r="F197" s="225">
        <f>+Données!X197</f>
        <v>64</v>
      </c>
      <c r="G197" s="352">
        <f t="shared" si="10"/>
        <v>0</v>
      </c>
      <c r="H197" s="160">
        <f t="shared" si="11"/>
        <v>0.94737402176818675</v>
      </c>
      <c r="I197" s="42">
        <f t="shared" si="12"/>
        <v>0</v>
      </c>
    </row>
    <row r="198" spans="1:9" x14ac:dyDescent="0.25">
      <c r="A198" s="38">
        <f>Données!A198</f>
        <v>5727</v>
      </c>
      <c r="B198" s="27" t="str">
        <f>Données!B198</f>
        <v>Saint-Cergue</v>
      </c>
      <c r="C198" s="31">
        <f>Données!Z198</f>
        <v>2786</v>
      </c>
      <c r="D198" s="225">
        <f>Ecrêtage!E198</f>
        <v>38.423604983793432</v>
      </c>
      <c r="E198" s="225">
        <f t="shared" si="9"/>
        <v>10.047157629118281</v>
      </c>
      <c r="F198" s="225">
        <f>+Données!X198</f>
        <v>66</v>
      </c>
      <c r="G198" s="352">
        <f t="shared" si="10"/>
        <v>-498806.41217717336</v>
      </c>
      <c r="H198" s="160">
        <f t="shared" si="11"/>
        <v>0.9769794599484426</v>
      </c>
      <c r="I198" s="42">
        <f t="shared" si="12"/>
        <v>-487323.61918767507</v>
      </c>
    </row>
    <row r="199" spans="1:9" x14ac:dyDescent="0.25">
      <c r="A199" s="38">
        <f>Données!A199</f>
        <v>5728</v>
      </c>
      <c r="B199" s="27" t="str">
        <f>Données!B199</f>
        <v>Signy-Avenex</v>
      </c>
      <c r="C199" s="31">
        <f>Données!Z199</f>
        <v>583</v>
      </c>
      <c r="D199" s="225">
        <f>Ecrêtage!E199</f>
        <v>113.20885106760514</v>
      </c>
      <c r="E199" s="225">
        <f t="shared" ref="E199:E262" si="13">IF($D$306-D199&lt;0,0,$D$306-D199)</f>
        <v>0</v>
      </c>
      <c r="F199" s="225">
        <f>+Données!X199</f>
        <v>58</v>
      </c>
      <c r="G199" s="352">
        <f t="shared" ref="G199:G262" si="14">-((C199*E199*F199)*$E$5)</f>
        <v>0</v>
      </c>
      <c r="H199" s="160">
        <f t="shared" ref="H199:H262" si="15">F199/$F$306</f>
        <v>0.8585577072274192</v>
      </c>
      <c r="I199" s="42">
        <f t="shared" ref="I199:I262" si="16">G199*H199</f>
        <v>0</v>
      </c>
    </row>
    <row r="200" spans="1:9" x14ac:dyDescent="0.25">
      <c r="A200" s="38">
        <f>Données!A200</f>
        <v>5729</v>
      </c>
      <c r="B200" s="27" t="str">
        <f>Données!B200</f>
        <v>Tannay</v>
      </c>
      <c r="C200" s="31">
        <f>Données!Z200</f>
        <v>1720</v>
      </c>
      <c r="D200" s="225">
        <f>Ecrêtage!E200</f>
        <v>109.93364401947596</v>
      </c>
      <c r="E200" s="225">
        <f t="shared" si="13"/>
        <v>0</v>
      </c>
      <c r="F200" s="225">
        <f>+Données!X200</f>
        <v>60.5</v>
      </c>
      <c r="G200" s="352">
        <f t="shared" si="14"/>
        <v>0</v>
      </c>
      <c r="H200" s="160">
        <f t="shared" si="15"/>
        <v>0.89556450495273909</v>
      </c>
      <c r="I200" s="42">
        <f t="shared" si="16"/>
        <v>0</v>
      </c>
    </row>
    <row r="201" spans="1:9" x14ac:dyDescent="0.25">
      <c r="A201" s="38">
        <f>Données!A201</f>
        <v>5730</v>
      </c>
      <c r="B201" s="27" t="str">
        <f>Données!B201</f>
        <v>Trélex</v>
      </c>
      <c r="C201" s="31">
        <f>Données!Z201</f>
        <v>1427</v>
      </c>
      <c r="D201" s="225">
        <f>Ecrêtage!E201</f>
        <v>85.083631227583581</v>
      </c>
      <c r="E201" s="225">
        <f t="shared" si="13"/>
        <v>0</v>
      </c>
      <c r="F201" s="225">
        <f>+Données!X201</f>
        <v>55.5</v>
      </c>
      <c r="G201" s="352">
        <f t="shared" si="14"/>
        <v>0</v>
      </c>
      <c r="H201" s="160">
        <f t="shared" si="15"/>
        <v>0.82155090950209941</v>
      </c>
      <c r="I201" s="42">
        <f t="shared" si="16"/>
        <v>0</v>
      </c>
    </row>
    <row r="202" spans="1:9" x14ac:dyDescent="0.25">
      <c r="A202" s="38">
        <f>Données!A202</f>
        <v>5731</v>
      </c>
      <c r="B202" s="27" t="str">
        <f>Données!B202</f>
        <v>Le Vaud</v>
      </c>
      <c r="C202" s="31">
        <f>Données!Z202</f>
        <v>1411</v>
      </c>
      <c r="D202" s="225">
        <f>Ecrêtage!E202</f>
        <v>49.334201735399461</v>
      </c>
      <c r="E202" s="225">
        <f t="shared" si="13"/>
        <v>0</v>
      </c>
      <c r="F202" s="225">
        <f>+Données!X202</f>
        <v>74</v>
      </c>
      <c r="G202" s="352">
        <f t="shared" si="14"/>
        <v>0</v>
      </c>
      <c r="H202" s="160">
        <f t="shared" si="15"/>
        <v>1.0954012126694659</v>
      </c>
      <c r="I202" s="42">
        <f t="shared" si="16"/>
        <v>0</v>
      </c>
    </row>
    <row r="203" spans="1:9" x14ac:dyDescent="0.25">
      <c r="A203" s="38">
        <f>Données!A203</f>
        <v>5732</v>
      </c>
      <c r="B203" s="27" t="str">
        <f>Données!B203</f>
        <v>Vich</v>
      </c>
      <c r="C203" s="31">
        <f>Données!Z203</f>
        <v>1160</v>
      </c>
      <c r="D203" s="225">
        <f>Ecrêtage!E203</f>
        <v>68.846326902025197</v>
      </c>
      <c r="E203" s="225">
        <f t="shared" si="13"/>
        <v>0</v>
      </c>
      <c r="F203" s="225">
        <f>+Données!X203</f>
        <v>63</v>
      </c>
      <c r="G203" s="352">
        <f t="shared" si="14"/>
        <v>0</v>
      </c>
      <c r="H203" s="160">
        <f t="shared" si="15"/>
        <v>0.93257130267805888</v>
      </c>
      <c r="I203" s="42">
        <f t="shared" si="16"/>
        <v>0</v>
      </c>
    </row>
    <row r="204" spans="1:9" x14ac:dyDescent="0.25">
      <c r="A204" s="38">
        <f>Données!A204</f>
        <v>5741</v>
      </c>
      <c r="B204" s="27" t="str">
        <f>Données!B204</f>
        <v>L'Abergement</v>
      </c>
      <c r="C204" s="31">
        <f>Données!Z204</f>
        <v>260</v>
      </c>
      <c r="D204" s="225">
        <f>Ecrêtage!E204</f>
        <v>41.668863060897429</v>
      </c>
      <c r="E204" s="225">
        <f t="shared" si="13"/>
        <v>6.8018995520142838</v>
      </c>
      <c r="F204" s="225">
        <f>+Données!X204</f>
        <v>80</v>
      </c>
      <c r="G204" s="352">
        <f t="shared" si="14"/>
        <v>-38199.467884112222</v>
      </c>
      <c r="H204" s="160">
        <f t="shared" si="15"/>
        <v>1.1842175272102335</v>
      </c>
      <c r="I204" s="42">
        <f t="shared" si="16"/>
        <v>-45236.47939847011</v>
      </c>
    </row>
    <row r="205" spans="1:9" x14ac:dyDescent="0.25">
      <c r="A205" s="38">
        <f>Données!A205</f>
        <v>5742</v>
      </c>
      <c r="B205" s="27" t="str">
        <f>Données!B205</f>
        <v>Agiez</v>
      </c>
      <c r="C205" s="31">
        <f>Données!Z205</f>
        <v>381</v>
      </c>
      <c r="D205" s="225">
        <f>Ecrêtage!E205</f>
        <v>23.750751830363313</v>
      </c>
      <c r="E205" s="225">
        <f t="shared" si="13"/>
        <v>24.7200107825484</v>
      </c>
      <c r="F205" s="225">
        <f>+Données!X205</f>
        <v>76</v>
      </c>
      <c r="G205" s="352">
        <f t="shared" si="14"/>
        <v>-193264.01069925731</v>
      </c>
      <c r="H205" s="160">
        <f t="shared" si="15"/>
        <v>1.1250066508497218</v>
      </c>
      <c r="I205" s="42">
        <f t="shared" si="16"/>
        <v>-217423.29740655629</v>
      </c>
    </row>
    <row r="206" spans="1:9" x14ac:dyDescent="0.25">
      <c r="A206" s="38">
        <f>Données!A206</f>
        <v>5743</v>
      </c>
      <c r="B206" s="27" t="str">
        <f>Données!B206</f>
        <v>Arnex-sur-Orbe</v>
      </c>
      <c r="C206" s="31">
        <f>Données!Z206</f>
        <v>692</v>
      </c>
      <c r="D206" s="225">
        <f>Ecrêtage!E206</f>
        <v>28.06870593503216</v>
      </c>
      <c r="E206" s="225">
        <f t="shared" si="13"/>
        <v>20.402056677879553</v>
      </c>
      <c r="F206" s="225">
        <f>+Données!X206</f>
        <v>71</v>
      </c>
      <c r="G206" s="352">
        <f t="shared" si="14"/>
        <v>-270646.3391483461</v>
      </c>
      <c r="H206" s="160">
        <f t="shared" si="15"/>
        <v>1.0509930553990823</v>
      </c>
      <c r="I206" s="42">
        <f t="shared" si="16"/>
        <v>-284447.4229140965</v>
      </c>
    </row>
    <row r="207" spans="1:9" x14ac:dyDescent="0.25">
      <c r="A207" s="38">
        <f>Données!A207</f>
        <v>5744</v>
      </c>
      <c r="B207" s="27" t="str">
        <f>Données!B207</f>
        <v>Ballaigues</v>
      </c>
      <c r="C207" s="31">
        <f>Données!Z207</f>
        <v>1152</v>
      </c>
      <c r="D207" s="225">
        <f>Ecrêtage!E207</f>
        <v>46.966233974358971</v>
      </c>
      <c r="E207" s="225">
        <f t="shared" si="13"/>
        <v>1.5045286385527419</v>
      </c>
      <c r="F207" s="225">
        <f>+Données!X207</f>
        <v>65</v>
      </c>
      <c r="G207" s="352">
        <f t="shared" si="14"/>
        <v>-30417.958202803919</v>
      </c>
      <c r="H207" s="160">
        <f t="shared" si="15"/>
        <v>0.96217674085831462</v>
      </c>
      <c r="I207" s="42">
        <f t="shared" si="16"/>
        <v>-29267.451887138312</v>
      </c>
    </row>
    <row r="208" spans="1:9" x14ac:dyDescent="0.25">
      <c r="A208" s="38">
        <f>Données!A208</f>
        <v>5745</v>
      </c>
      <c r="B208" s="27" t="str">
        <f>Données!B208</f>
        <v>Baulmes</v>
      </c>
      <c r="C208" s="31">
        <f>Données!Z208</f>
        <v>1132</v>
      </c>
      <c r="D208" s="225">
        <f>Ecrêtage!E208</f>
        <v>24.474474352756417</v>
      </c>
      <c r="E208" s="225">
        <f t="shared" si="13"/>
        <v>23.996288260155296</v>
      </c>
      <c r="F208" s="225">
        <f>+Données!X208</f>
        <v>76.5</v>
      </c>
      <c r="G208" s="352">
        <f t="shared" si="14"/>
        <v>-561068.25410329073</v>
      </c>
      <c r="H208" s="160">
        <f t="shared" si="15"/>
        <v>1.1324080103947858</v>
      </c>
      <c r="I208" s="42">
        <f t="shared" si="16"/>
        <v>-635358.18532478355</v>
      </c>
    </row>
    <row r="209" spans="1:9" x14ac:dyDescent="0.25">
      <c r="A209" s="38">
        <f>Données!A209</f>
        <v>5746</v>
      </c>
      <c r="B209" s="27" t="str">
        <f>Données!B209</f>
        <v>Bavois</v>
      </c>
      <c r="C209" s="31">
        <f>Données!Z209</f>
        <v>1009</v>
      </c>
      <c r="D209" s="225">
        <f>Ecrêtage!E209</f>
        <v>29.25033969735345</v>
      </c>
      <c r="E209" s="225">
        <f t="shared" si="13"/>
        <v>19.220422915558263</v>
      </c>
      <c r="F209" s="225">
        <f>+Données!X209</f>
        <v>72</v>
      </c>
      <c r="G209" s="352">
        <f t="shared" si="14"/>
        <v>-377007.82667175878</v>
      </c>
      <c r="H209" s="160">
        <f t="shared" si="15"/>
        <v>1.0657957744892101</v>
      </c>
      <c r="I209" s="42">
        <f t="shared" si="16"/>
        <v>-401813.34861612105</v>
      </c>
    </row>
    <row r="210" spans="1:9" x14ac:dyDescent="0.25">
      <c r="A210" s="38">
        <f>Données!A210</f>
        <v>5747</v>
      </c>
      <c r="B210" s="27" t="str">
        <f>Données!B210</f>
        <v>Bofflens</v>
      </c>
      <c r="C210" s="31">
        <f>Données!Z210</f>
        <v>204</v>
      </c>
      <c r="D210" s="225">
        <f>Ecrêtage!E210</f>
        <v>28.323714833759581</v>
      </c>
      <c r="E210" s="225">
        <f t="shared" si="13"/>
        <v>20.147047779152132</v>
      </c>
      <c r="F210" s="225">
        <f>+Données!X210</f>
        <v>69</v>
      </c>
      <c r="G210" s="352">
        <f t="shared" si="14"/>
        <v>-76569.258025623261</v>
      </c>
      <c r="H210" s="160">
        <f t="shared" si="15"/>
        <v>1.0213876172188263</v>
      </c>
      <c r="I210" s="42">
        <f t="shared" si="16"/>
        <v>-78206.892007004833</v>
      </c>
    </row>
    <row r="211" spans="1:9" x14ac:dyDescent="0.25">
      <c r="A211" s="38">
        <f>Données!A211</f>
        <v>5748</v>
      </c>
      <c r="B211" s="27" t="str">
        <f>Données!B211</f>
        <v>Bretonnières</v>
      </c>
      <c r="C211" s="31">
        <f>Données!Z211</f>
        <v>264</v>
      </c>
      <c r="D211" s="225">
        <f>Ecrêtage!E211</f>
        <v>25.615439143205101</v>
      </c>
      <c r="E211" s="225">
        <f t="shared" si="13"/>
        <v>22.855323469706612</v>
      </c>
      <c r="F211" s="225">
        <f>+Données!X211</f>
        <v>70.5</v>
      </c>
      <c r="G211" s="352">
        <f t="shared" si="14"/>
        <v>-114853.48571290846</v>
      </c>
      <c r="H211" s="160">
        <f t="shared" si="15"/>
        <v>1.0435916958540181</v>
      </c>
      <c r="I211" s="42">
        <f t="shared" si="16"/>
        <v>-119860.14392987937</v>
      </c>
    </row>
    <row r="212" spans="1:9" x14ac:dyDescent="0.25">
      <c r="A212" s="38">
        <f>Données!A212</f>
        <v>5749</v>
      </c>
      <c r="B212" s="27" t="str">
        <f>Données!B212</f>
        <v>Chavornay</v>
      </c>
      <c r="C212" s="31">
        <f>Données!Z212</f>
        <v>5405</v>
      </c>
      <c r="D212" s="225">
        <f>Ecrêtage!E212</f>
        <v>26.770042290760454</v>
      </c>
      <c r="E212" s="225">
        <f t="shared" si="13"/>
        <v>21.700720322151259</v>
      </c>
      <c r="F212" s="225">
        <f>+Données!X212</f>
        <v>70.5</v>
      </c>
      <c r="G212" s="352">
        <f t="shared" si="14"/>
        <v>-2232660.7072502663</v>
      </c>
      <c r="H212" s="160">
        <f t="shared" si="15"/>
        <v>1.0435916958540181</v>
      </c>
      <c r="I212" s="42">
        <f t="shared" si="16"/>
        <v>-2329986.1737459367</v>
      </c>
    </row>
    <row r="213" spans="1:9" x14ac:dyDescent="0.25">
      <c r="A213" s="38">
        <f>Données!A213</f>
        <v>5750</v>
      </c>
      <c r="B213" s="27" t="str">
        <f>Données!B213</f>
        <v>Les Clées</v>
      </c>
      <c r="C213" s="31">
        <f>Données!Z213</f>
        <v>186</v>
      </c>
      <c r="D213" s="225">
        <f>Ecrêtage!E213</f>
        <v>29.357239695340507</v>
      </c>
      <c r="E213" s="225">
        <f t="shared" si="13"/>
        <v>19.113522917571206</v>
      </c>
      <c r="F213" s="225">
        <f>+Données!X213</f>
        <v>80</v>
      </c>
      <c r="G213" s="352">
        <f t="shared" si="14"/>
        <v>-76790.489673634089</v>
      </c>
      <c r="H213" s="160">
        <f t="shared" si="15"/>
        <v>1.1842175272102335</v>
      </c>
      <c r="I213" s="42">
        <f t="shared" si="16"/>
        <v>-90936.643794573931</v>
      </c>
    </row>
    <row r="214" spans="1:9" x14ac:dyDescent="0.25">
      <c r="A214" s="38">
        <f>Données!A214</f>
        <v>5752</v>
      </c>
      <c r="B214" s="27" t="str">
        <f>Données!B214</f>
        <v>Croy</v>
      </c>
      <c r="C214" s="31">
        <f>Données!Z214</f>
        <v>386</v>
      </c>
      <c r="D214" s="225">
        <f>Ecrêtage!E214</f>
        <v>26.435891281733248</v>
      </c>
      <c r="E214" s="225">
        <f t="shared" si="13"/>
        <v>22.034871331178465</v>
      </c>
      <c r="F214" s="225">
        <f>+Données!X214</f>
        <v>74</v>
      </c>
      <c r="G214" s="352">
        <f t="shared" si="14"/>
        <v>-169939.09747002108</v>
      </c>
      <c r="H214" s="160">
        <f t="shared" si="15"/>
        <v>1.0954012126694659</v>
      </c>
      <c r="I214" s="42">
        <f t="shared" si="16"/>
        <v>-186151.49344861566</v>
      </c>
    </row>
    <row r="215" spans="1:9" x14ac:dyDescent="0.25">
      <c r="A215" s="38">
        <f>Données!A215</f>
        <v>5754</v>
      </c>
      <c r="B215" s="27" t="str">
        <f>Données!B215</f>
        <v>Juriens</v>
      </c>
      <c r="C215" s="31">
        <f>Données!Z215</f>
        <v>346</v>
      </c>
      <c r="D215" s="225">
        <f>Ecrêtage!E215</f>
        <v>24.951584839394151</v>
      </c>
      <c r="E215" s="225">
        <f t="shared" si="13"/>
        <v>23.519177773517562</v>
      </c>
      <c r="F215" s="225">
        <f>+Données!X215</f>
        <v>79</v>
      </c>
      <c r="G215" s="352">
        <f t="shared" si="14"/>
        <v>-173575.76542055886</v>
      </c>
      <c r="H215" s="160">
        <f t="shared" si="15"/>
        <v>1.1694148081201055</v>
      </c>
      <c r="I215" s="42">
        <f t="shared" si="16"/>
        <v>-202982.07041358328</v>
      </c>
    </row>
    <row r="216" spans="1:9" x14ac:dyDescent="0.25">
      <c r="A216" s="38">
        <f>Données!A216</f>
        <v>5755</v>
      </c>
      <c r="B216" s="27" t="str">
        <f>Données!B216</f>
        <v>Lignerolle</v>
      </c>
      <c r="C216" s="31">
        <f>Données!Z216</f>
        <v>447</v>
      </c>
      <c r="D216" s="225">
        <f>Ecrêtage!E216</f>
        <v>24.431638931467084</v>
      </c>
      <c r="E216" s="225">
        <f t="shared" si="13"/>
        <v>24.039123681444629</v>
      </c>
      <c r="F216" s="225">
        <f>+Données!X216</f>
        <v>78.5</v>
      </c>
      <c r="G216" s="352">
        <f t="shared" si="14"/>
        <v>-227750.62421341386</v>
      </c>
      <c r="H216" s="160">
        <f t="shared" si="15"/>
        <v>1.1620134485750415</v>
      </c>
      <c r="I216" s="42">
        <f t="shared" si="16"/>
        <v>-264649.28825734742</v>
      </c>
    </row>
    <row r="217" spans="1:9" x14ac:dyDescent="0.25">
      <c r="A217" s="38">
        <f>Données!A217</f>
        <v>5756</v>
      </c>
      <c r="B217" s="27" t="str">
        <f>Données!B217</f>
        <v>Montcherand</v>
      </c>
      <c r="C217" s="31">
        <f>Données!Z217</f>
        <v>496</v>
      </c>
      <c r="D217" s="225">
        <f>Ecrêtage!E217</f>
        <v>35.289113743279565</v>
      </c>
      <c r="E217" s="225">
        <f t="shared" si="13"/>
        <v>13.181648869632149</v>
      </c>
      <c r="F217" s="225">
        <f>+Données!X217</f>
        <v>72</v>
      </c>
      <c r="G217" s="352">
        <f t="shared" si="14"/>
        <v>-127100.62199672189</v>
      </c>
      <c r="H217" s="160">
        <f t="shared" si="15"/>
        <v>1.0657957744892101</v>
      </c>
      <c r="I217" s="42">
        <f t="shared" si="16"/>
        <v>-135463.30585905656</v>
      </c>
    </row>
    <row r="218" spans="1:9" x14ac:dyDescent="0.25">
      <c r="A218" s="38">
        <f>Données!A218</f>
        <v>5757</v>
      </c>
      <c r="B218" s="27" t="str">
        <f>Données!B218</f>
        <v>Orbe</v>
      </c>
      <c r="C218" s="31">
        <f>Données!Z218</f>
        <v>7617</v>
      </c>
      <c r="D218" s="225">
        <f>Ecrêtage!E218</f>
        <v>28.588954873509671</v>
      </c>
      <c r="E218" s="225">
        <f t="shared" si="13"/>
        <v>19.881807739402042</v>
      </c>
      <c r="F218" s="225">
        <f>+Données!X218</f>
        <v>75.5</v>
      </c>
      <c r="G218" s="352">
        <f t="shared" si="14"/>
        <v>-3087098.8868976519</v>
      </c>
      <c r="H218" s="160">
        <f t="shared" si="15"/>
        <v>1.1176052913046579</v>
      </c>
      <c r="I218" s="42">
        <f t="shared" si="16"/>
        <v>-3450158.0507775354</v>
      </c>
    </row>
    <row r="219" spans="1:9" x14ac:dyDescent="0.25">
      <c r="A219" s="38">
        <f>Données!A219</f>
        <v>5758</v>
      </c>
      <c r="B219" s="27" t="str">
        <f>Données!B219</f>
        <v>La Praz</v>
      </c>
      <c r="C219" s="31">
        <f>Données!Z219</f>
        <v>183</v>
      </c>
      <c r="D219" s="225">
        <f>Ecrêtage!E219</f>
        <v>24.594172098228988</v>
      </c>
      <c r="E219" s="225">
        <f t="shared" si="13"/>
        <v>23.876590514682725</v>
      </c>
      <c r="F219" s="225">
        <f>+Données!X219</f>
        <v>83</v>
      </c>
      <c r="G219" s="352">
        <f t="shared" si="14"/>
        <v>-97918.613998429297</v>
      </c>
      <c r="H219" s="160">
        <f t="shared" si="15"/>
        <v>1.2286256844806172</v>
      </c>
      <c r="I219" s="42">
        <f t="shared" si="16"/>
        <v>-120305.32414721354</v>
      </c>
    </row>
    <row r="220" spans="1:9" x14ac:dyDescent="0.25">
      <c r="A220" s="38">
        <f>Données!A220</f>
        <v>5759</v>
      </c>
      <c r="B220" s="27" t="str">
        <f>Données!B220</f>
        <v>Premier</v>
      </c>
      <c r="C220" s="31">
        <f>Données!Z220</f>
        <v>236</v>
      </c>
      <c r="D220" s="225">
        <f>Ecrêtage!E220</f>
        <v>24.012998081228016</v>
      </c>
      <c r="E220" s="225">
        <f t="shared" si="13"/>
        <v>24.457764531683697</v>
      </c>
      <c r="F220" s="225">
        <f>+Données!X220</f>
        <v>79.5</v>
      </c>
      <c r="G220" s="352">
        <f t="shared" si="14"/>
        <v>-123896.67609873139</v>
      </c>
      <c r="H220" s="160">
        <f t="shared" si="15"/>
        <v>1.1768161676651694</v>
      </c>
      <c r="I220" s="42">
        <f t="shared" si="16"/>
        <v>-145803.61155296187</v>
      </c>
    </row>
    <row r="221" spans="1:9" x14ac:dyDescent="0.25">
      <c r="A221" s="38">
        <f>Données!A221</f>
        <v>5760</v>
      </c>
      <c r="B221" s="27" t="str">
        <f>Données!B221</f>
        <v>Rances</v>
      </c>
      <c r="C221" s="31">
        <f>Données!Z221</f>
        <v>521</v>
      </c>
      <c r="D221" s="225">
        <f>Ecrêtage!E221</f>
        <v>31.302755635843585</v>
      </c>
      <c r="E221" s="225">
        <f t="shared" si="13"/>
        <v>17.168006977068128</v>
      </c>
      <c r="F221" s="225">
        <f>+Données!X221</f>
        <v>76.5</v>
      </c>
      <c r="G221" s="352">
        <f t="shared" si="14"/>
        <v>-184749.30092200931</v>
      </c>
      <c r="H221" s="160">
        <f t="shared" si="15"/>
        <v>1.1324080103947858</v>
      </c>
      <c r="I221" s="42">
        <f t="shared" si="16"/>
        <v>-209211.58827892013</v>
      </c>
    </row>
    <row r="222" spans="1:9" x14ac:dyDescent="0.25">
      <c r="A222" s="38">
        <f>Données!A222</f>
        <v>5761</v>
      </c>
      <c r="B222" s="27" t="str">
        <f>Données!B222</f>
        <v>Romainmôtier-Envy</v>
      </c>
      <c r="C222" s="31">
        <f>Données!Z222</f>
        <v>559</v>
      </c>
      <c r="D222" s="225">
        <f>Ecrêtage!E222</f>
        <v>25.774202409706284</v>
      </c>
      <c r="E222" s="225">
        <f t="shared" si="13"/>
        <v>22.696560203205429</v>
      </c>
      <c r="F222" s="225">
        <f>+Données!X222</f>
        <v>81</v>
      </c>
      <c r="G222" s="352">
        <f t="shared" si="14"/>
        <v>-277472.93834905344</v>
      </c>
      <c r="H222" s="160">
        <f t="shared" si="15"/>
        <v>1.1990202463003614</v>
      </c>
      <c r="I222" s="42">
        <f t="shared" si="16"/>
        <v>-332695.67088096705</v>
      </c>
    </row>
    <row r="223" spans="1:9" x14ac:dyDescent="0.25">
      <c r="A223" s="38">
        <f>Données!A223</f>
        <v>5762</v>
      </c>
      <c r="B223" s="27" t="str">
        <f>Données!B223</f>
        <v>Sergey</v>
      </c>
      <c r="C223" s="31">
        <f>Données!Z223</f>
        <v>140</v>
      </c>
      <c r="D223" s="225">
        <f>Ecrêtage!E223</f>
        <v>26.724646520146518</v>
      </c>
      <c r="E223" s="225">
        <f t="shared" si="13"/>
        <v>21.746116092765195</v>
      </c>
      <c r="F223" s="225">
        <f>+Données!X223</f>
        <v>78</v>
      </c>
      <c r="G223" s="352">
        <f t="shared" si="14"/>
        <v>-64116.248687908905</v>
      </c>
      <c r="H223" s="160">
        <f t="shared" si="15"/>
        <v>1.1546120890299776</v>
      </c>
      <c r="I223" s="42">
        <f t="shared" si="16"/>
        <v>-74029.395838312063</v>
      </c>
    </row>
    <row r="224" spans="1:9" x14ac:dyDescent="0.25">
      <c r="A224" s="38">
        <f>Données!A224</f>
        <v>5763</v>
      </c>
      <c r="B224" s="27" t="str">
        <f>Données!B224</f>
        <v>Valeyres-sous-Rances</v>
      </c>
      <c r="C224" s="31">
        <f>Données!Z224</f>
        <v>606</v>
      </c>
      <c r="D224" s="225">
        <f>Ecrêtage!E224</f>
        <v>36.794042671872823</v>
      </c>
      <c r="E224" s="225">
        <f t="shared" si="13"/>
        <v>11.67671994103889</v>
      </c>
      <c r="F224" s="225">
        <f>+Données!X224</f>
        <v>71</v>
      </c>
      <c r="G224" s="352">
        <f t="shared" si="14"/>
        <v>-135648.68908944761</v>
      </c>
      <c r="H224" s="160">
        <f t="shared" si="15"/>
        <v>1.0509930553990823</v>
      </c>
      <c r="I224" s="42">
        <f t="shared" si="16"/>
        <v>-142565.83020699871</v>
      </c>
    </row>
    <row r="225" spans="1:9" x14ac:dyDescent="0.25">
      <c r="A225" s="38">
        <f>Données!A225</f>
        <v>5764</v>
      </c>
      <c r="B225" s="27" t="str">
        <f>Données!B225</f>
        <v>Vallorbe</v>
      </c>
      <c r="C225" s="31">
        <f>Données!Z225</f>
        <v>3987</v>
      </c>
      <c r="D225" s="225">
        <f>Ecrêtage!E225</f>
        <v>20.997520683480047</v>
      </c>
      <c r="E225" s="225">
        <f t="shared" si="13"/>
        <v>27.473241929431666</v>
      </c>
      <c r="F225" s="225">
        <f>+Données!X225</f>
        <v>71.5</v>
      </c>
      <c r="G225" s="352">
        <f t="shared" si="14"/>
        <v>-2114588.9196298933</v>
      </c>
      <c r="H225" s="160">
        <f t="shared" si="15"/>
        <v>1.0583944149441462</v>
      </c>
      <c r="I225" s="42">
        <f t="shared" si="16"/>
        <v>-2238069.1024390552</v>
      </c>
    </row>
    <row r="226" spans="1:9" x14ac:dyDescent="0.25">
      <c r="A226" s="38">
        <f>Données!A226</f>
        <v>5765</v>
      </c>
      <c r="B226" s="27" t="str">
        <f>Données!B226</f>
        <v>Vaulion</v>
      </c>
      <c r="C226" s="31">
        <f>Données!Z226</f>
        <v>483</v>
      </c>
      <c r="D226" s="225">
        <f>Ecrêtage!E226</f>
        <v>19.933851954093502</v>
      </c>
      <c r="E226" s="225">
        <f t="shared" si="13"/>
        <v>28.536910658818211</v>
      </c>
      <c r="F226" s="225">
        <f>+Données!X226</f>
        <v>81</v>
      </c>
      <c r="G226" s="352">
        <f t="shared" si="14"/>
        <v>-301441.38004033512</v>
      </c>
      <c r="H226" s="160">
        <f t="shared" si="15"/>
        <v>1.1990202463003614</v>
      </c>
      <c r="I226" s="42">
        <f t="shared" si="16"/>
        <v>-361434.31774108345</v>
      </c>
    </row>
    <row r="227" spans="1:9" x14ac:dyDescent="0.25">
      <c r="A227" s="38">
        <f>Données!A227</f>
        <v>5766</v>
      </c>
      <c r="B227" s="27" t="str">
        <f>Données!B227</f>
        <v>Vuiteboeuf</v>
      </c>
      <c r="C227" s="31">
        <f>Données!Z227</f>
        <v>592</v>
      </c>
      <c r="D227" s="225">
        <f>Ecrêtage!E227</f>
        <v>26.051960070785071</v>
      </c>
      <c r="E227" s="225">
        <f t="shared" si="13"/>
        <v>22.418802542126642</v>
      </c>
      <c r="F227" s="225">
        <f>+Données!X227</f>
        <v>75</v>
      </c>
      <c r="G227" s="352">
        <f t="shared" si="14"/>
        <v>-268756.60487501422</v>
      </c>
      <c r="H227" s="160">
        <f t="shared" si="15"/>
        <v>1.1102039317595938</v>
      </c>
      <c r="I227" s="42">
        <f t="shared" si="16"/>
        <v>-298374.63941860042</v>
      </c>
    </row>
    <row r="228" spans="1:9" x14ac:dyDescent="0.25">
      <c r="A228" s="38">
        <f>Données!A228</f>
        <v>5785</v>
      </c>
      <c r="B228" s="27" t="str">
        <f>Données!B228</f>
        <v>Corcelles-le-Jorat</v>
      </c>
      <c r="C228" s="31">
        <f>Données!Z228</f>
        <v>485</v>
      </c>
      <c r="D228" s="225">
        <f>Ecrêtage!E228</f>
        <v>31.880348316151199</v>
      </c>
      <c r="E228" s="225">
        <f t="shared" si="13"/>
        <v>16.590414296760514</v>
      </c>
      <c r="F228" s="225">
        <f>+Données!X228</f>
        <v>75</v>
      </c>
      <c r="G228" s="352">
        <f t="shared" si="14"/>
        <v>-162938.60641205922</v>
      </c>
      <c r="H228" s="160">
        <f t="shared" si="15"/>
        <v>1.1102039317595938</v>
      </c>
      <c r="I228" s="42">
        <f t="shared" si="16"/>
        <v>-180895.0814740971</v>
      </c>
    </row>
    <row r="229" spans="1:9" x14ac:dyDescent="0.25">
      <c r="A229" s="38">
        <f>Données!A229</f>
        <v>5790</v>
      </c>
      <c r="B229" s="27" t="str">
        <f>Données!B229</f>
        <v>Maracon</v>
      </c>
      <c r="C229" s="31">
        <f>Données!Z229</f>
        <v>544</v>
      </c>
      <c r="D229" s="225">
        <f>Ecrêtage!E229</f>
        <v>30.012311735096731</v>
      </c>
      <c r="E229" s="225">
        <f t="shared" si="13"/>
        <v>18.458450877814983</v>
      </c>
      <c r="F229" s="225">
        <f>+Données!X229</f>
        <v>74.5</v>
      </c>
      <c r="G229" s="352">
        <f t="shared" si="14"/>
        <v>-201982.70623754311</v>
      </c>
      <c r="H229" s="160">
        <f t="shared" si="15"/>
        <v>1.1028025722145298</v>
      </c>
      <c r="I229" s="42">
        <f t="shared" si="16"/>
        <v>-222747.04798161431</v>
      </c>
    </row>
    <row r="230" spans="1:9" x14ac:dyDescent="0.25">
      <c r="A230" s="38">
        <f>Données!A230</f>
        <v>5792</v>
      </c>
      <c r="B230" s="27" t="str">
        <f>Données!B230</f>
        <v>Montpreveyres</v>
      </c>
      <c r="C230" s="31">
        <f>Données!Z230</f>
        <v>661</v>
      </c>
      <c r="D230" s="225">
        <f>Ecrêtage!E230</f>
        <v>29.293739567783103</v>
      </c>
      <c r="E230" s="225">
        <f t="shared" si="13"/>
        <v>19.17702304512861</v>
      </c>
      <c r="F230" s="225">
        <f>+Données!X230</f>
        <v>75.5</v>
      </c>
      <c r="G230" s="352">
        <f t="shared" si="14"/>
        <v>-258400.5093662398</v>
      </c>
      <c r="H230" s="160">
        <f t="shared" si="15"/>
        <v>1.1176052913046579</v>
      </c>
      <c r="I230" s="42">
        <f t="shared" si="16"/>
        <v>-288789.77654352842</v>
      </c>
    </row>
    <row r="231" spans="1:9" x14ac:dyDescent="0.25">
      <c r="A231" s="38">
        <f>Données!A231</f>
        <v>5798</v>
      </c>
      <c r="B231" s="27" t="str">
        <f>Données!B231</f>
        <v>Ropraz</v>
      </c>
      <c r="C231" s="31">
        <f>Données!Z231</f>
        <v>529</v>
      </c>
      <c r="D231" s="225">
        <f>Ecrêtage!E231</f>
        <v>30.639605097871822</v>
      </c>
      <c r="E231" s="225">
        <f t="shared" si="13"/>
        <v>17.831157515039891</v>
      </c>
      <c r="F231" s="225">
        <f>+Données!X231</f>
        <v>77.5</v>
      </c>
      <c r="G231" s="352">
        <f t="shared" si="14"/>
        <v>-197378.87766016895</v>
      </c>
      <c r="H231" s="160">
        <f t="shared" si="15"/>
        <v>1.1472107294849136</v>
      </c>
      <c r="I231" s="42">
        <f t="shared" si="16"/>
        <v>-226435.16622543594</v>
      </c>
    </row>
    <row r="232" spans="1:9" x14ac:dyDescent="0.25">
      <c r="A232" s="38">
        <f>Données!A232</f>
        <v>5799</v>
      </c>
      <c r="B232" s="27" t="str">
        <f>Données!B232</f>
        <v>Servion</v>
      </c>
      <c r="C232" s="31">
        <f>Données!Z232</f>
        <v>2136</v>
      </c>
      <c r="D232" s="225">
        <f>Ecrêtage!E232</f>
        <v>34.255954174130167</v>
      </c>
      <c r="E232" s="225">
        <f t="shared" si="13"/>
        <v>14.214808438781546</v>
      </c>
      <c r="F232" s="225">
        <f>+Données!X232</f>
        <v>69</v>
      </c>
      <c r="G232" s="352">
        <f t="shared" si="14"/>
        <v>-565659.53827417246</v>
      </c>
      <c r="H232" s="160">
        <f t="shared" si="15"/>
        <v>1.0213876172188263</v>
      </c>
      <c r="I232" s="42">
        <f t="shared" si="16"/>
        <v>-577757.64795495849</v>
      </c>
    </row>
    <row r="233" spans="1:9" x14ac:dyDescent="0.25">
      <c r="A233" s="38">
        <f>Données!A233</f>
        <v>5803</v>
      </c>
      <c r="B233" s="27" t="str">
        <f>Données!B233</f>
        <v>Vulliens</v>
      </c>
      <c r="C233" s="31">
        <f>Données!Z233</f>
        <v>632</v>
      </c>
      <c r="D233" s="225">
        <f>Ecrêtage!E233</f>
        <v>26.230338693123496</v>
      </c>
      <c r="E233" s="225">
        <f t="shared" si="13"/>
        <v>22.240423919788217</v>
      </c>
      <c r="F233" s="225">
        <f>+Données!X233</f>
        <v>74</v>
      </c>
      <c r="G233" s="352">
        <f t="shared" si="14"/>
        <v>-280837.83938777697</v>
      </c>
      <c r="H233" s="160">
        <f t="shared" si="15"/>
        <v>1.0954012126694659</v>
      </c>
      <c r="I233" s="42">
        <f t="shared" si="16"/>
        <v>-307630.10982884356</v>
      </c>
    </row>
    <row r="234" spans="1:9" x14ac:dyDescent="0.25">
      <c r="A234" s="38">
        <f>Données!A234</f>
        <v>5804</v>
      </c>
      <c r="B234" s="27" t="str">
        <f>Données!B234</f>
        <v>Jorat-Menthue</v>
      </c>
      <c r="C234" s="31">
        <f>Données!Z234</f>
        <v>1565</v>
      </c>
      <c r="D234" s="225">
        <f>Ecrêtage!E234</f>
        <v>28.834086873767927</v>
      </c>
      <c r="E234" s="225">
        <f t="shared" si="13"/>
        <v>19.636675739143787</v>
      </c>
      <c r="F234" s="225">
        <f>+Données!X234</f>
        <v>70.5</v>
      </c>
      <c r="G234" s="352">
        <f t="shared" si="14"/>
        <v>-584972.15201705205</v>
      </c>
      <c r="H234" s="160">
        <f t="shared" si="15"/>
        <v>1.0435916958540181</v>
      </c>
      <c r="I234" s="42">
        <f t="shared" si="16"/>
        <v>-610472.08015084988</v>
      </c>
    </row>
    <row r="235" spans="1:9" x14ac:dyDescent="0.25">
      <c r="A235" s="38">
        <f>Données!A235</f>
        <v>5805</v>
      </c>
      <c r="B235" s="27" t="str">
        <f>Données!B235</f>
        <v>Oron</v>
      </c>
      <c r="C235" s="31">
        <f>Données!Z235</f>
        <v>6119</v>
      </c>
      <c r="D235" s="225">
        <f>Ecrêtage!E235</f>
        <v>28.519338329542681</v>
      </c>
      <c r="E235" s="225">
        <f t="shared" si="13"/>
        <v>19.951424283369033</v>
      </c>
      <c r="F235" s="225">
        <f>+Données!X235</f>
        <v>69</v>
      </c>
      <c r="G235" s="352">
        <f t="shared" si="14"/>
        <v>-2274401.9154884913</v>
      </c>
      <c r="H235" s="160">
        <f t="shared" si="15"/>
        <v>1.0213876172188263</v>
      </c>
      <c r="I235" s="42">
        <f t="shared" si="16"/>
        <v>-2323045.9530587243</v>
      </c>
    </row>
    <row r="236" spans="1:9" x14ac:dyDescent="0.25">
      <c r="A236" s="38">
        <f>Données!A236</f>
        <v>5806</v>
      </c>
      <c r="B236" s="27" t="str">
        <f>Données!B236</f>
        <v>Jorat-Mézières</v>
      </c>
      <c r="C236" s="31">
        <f>Données!Z236</f>
        <v>3110</v>
      </c>
      <c r="D236" s="225">
        <f>Ecrêtage!E236</f>
        <v>33.111853191208205</v>
      </c>
      <c r="E236" s="225">
        <f t="shared" si="13"/>
        <v>15.358909421703508</v>
      </c>
      <c r="F236" s="225">
        <f>+Données!X236</f>
        <v>73</v>
      </c>
      <c r="G236" s="352">
        <f t="shared" si="14"/>
        <v>-941471.9656225238</v>
      </c>
      <c r="H236" s="160">
        <f t="shared" si="15"/>
        <v>1.080598493579338</v>
      </c>
      <c r="I236" s="42">
        <f t="shared" si="16"/>
        <v>-1017353.1877988775</v>
      </c>
    </row>
    <row r="237" spans="1:9" x14ac:dyDescent="0.25">
      <c r="A237" s="38">
        <f>Données!A237</f>
        <v>5812</v>
      </c>
      <c r="B237" s="27" t="str">
        <f>Données!B237</f>
        <v>Champtauroz</v>
      </c>
      <c r="C237" s="31">
        <f>Données!Z237</f>
        <v>169</v>
      </c>
      <c r="D237" s="225">
        <f>Ecrêtage!E237</f>
        <v>21.652621993391218</v>
      </c>
      <c r="E237" s="225">
        <f t="shared" si="13"/>
        <v>26.818140619520495</v>
      </c>
      <c r="F237" s="225">
        <f>+Données!X237</f>
        <v>77</v>
      </c>
      <c r="G237" s="352">
        <f t="shared" si="14"/>
        <v>-94225.805248091463</v>
      </c>
      <c r="H237" s="160">
        <f t="shared" si="15"/>
        <v>1.1398093699398497</v>
      </c>
      <c r="I237" s="42">
        <f t="shared" si="16"/>
        <v>-107399.45571190212</v>
      </c>
    </row>
    <row r="238" spans="1:9" x14ac:dyDescent="0.25">
      <c r="A238" s="38">
        <f>Données!A238</f>
        <v>5813</v>
      </c>
      <c r="B238" s="27" t="str">
        <f>Données!B238</f>
        <v>Chevroux</v>
      </c>
      <c r="C238" s="31">
        <f>Données!Z238</f>
        <v>522</v>
      </c>
      <c r="D238" s="225">
        <f>Ecrêtage!E238</f>
        <v>33.522610770851401</v>
      </c>
      <c r="E238" s="225">
        <f t="shared" si="13"/>
        <v>14.948151842060312</v>
      </c>
      <c r="F238" s="225">
        <f>+Données!X238</f>
        <v>68.5</v>
      </c>
      <c r="G238" s="352">
        <f t="shared" si="14"/>
        <v>-144315.28766246868</v>
      </c>
      <c r="H238" s="160">
        <f t="shared" si="15"/>
        <v>1.0139862576737624</v>
      </c>
      <c r="I238" s="42">
        <f t="shared" si="16"/>
        <v>-146333.71846197909</v>
      </c>
    </row>
    <row r="239" spans="1:9" x14ac:dyDescent="0.25">
      <c r="A239" s="38">
        <f>Données!A239</f>
        <v>5816</v>
      </c>
      <c r="B239" s="27" t="str">
        <f>Données!B239</f>
        <v>Corcelles-près-Payerne</v>
      </c>
      <c r="C239" s="31">
        <f>Données!Z239</f>
        <v>2856</v>
      </c>
      <c r="D239" s="225">
        <f>Ecrêtage!E239</f>
        <v>23.004814276075386</v>
      </c>
      <c r="E239" s="225">
        <f t="shared" si="13"/>
        <v>25.465948336836327</v>
      </c>
      <c r="F239" s="225">
        <f>+Données!X239</f>
        <v>68.5</v>
      </c>
      <c r="G239" s="352">
        <f t="shared" si="14"/>
        <v>-1345155.1925828343</v>
      </c>
      <c r="H239" s="160">
        <f t="shared" si="15"/>
        <v>1.0139862576737624</v>
      </c>
      <c r="I239" s="42">
        <f t="shared" si="16"/>
        <v>-1363968.8797174972</v>
      </c>
    </row>
    <row r="240" spans="1:9" x14ac:dyDescent="0.25">
      <c r="A240" s="38">
        <f>Données!A240</f>
        <v>5817</v>
      </c>
      <c r="B240" s="27" t="str">
        <f>Données!B240</f>
        <v>Grandcour</v>
      </c>
      <c r="C240" s="31">
        <f>Données!Z240</f>
        <v>1001</v>
      </c>
      <c r="D240" s="225">
        <f>Ecrêtage!E240</f>
        <v>25.891006408557427</v>
      </c>
      <c r="E240" s="225">
        <f t="shared" si="13"/>
        <v>22.579756204354286</v>
      </c>
      <c r="F240" s="225">
        <f>+Données!X240</f>
        <v>73.5</v>
      </c>
      <c r="G240" s="352">
        <f t="shared" si="14"/>
        <v>-448543.35713728628</v>
      </c>
      <c r="H240" s="160">
        <f t="shared" si="15"/>
        <v>1.0879998531244019</v>
      </c>
      <c r="I240" s="42">
        <f t="shared" si="16"/>
        <v>-488015.10668529366</v>
      </c>
    </row>
    <row r="241" spans="1:9" x14ac:dyDescent="0.25">
      <c r="A241" s="38">
        <f>Données!A241</f>
        <v>5819</v>
      </c>
      <c r="B241" s="27" t="str">
        <f>Données!B241</f>
        <v>Henniez</v>
      </c>
      <c r="C241" s="31">
        <f>Données!Z241</f>
        <v>414</v>
      </c>
      <c r="D241" s="225">
        <f>Ecrêtage!E241</f>
        <v>24.82066617657355</v>
      </c>
      <c r="E241" s="225">
        <f t="shared" si="13"/>
        <v>23.650096436338163</v>
      </c>
      <c r="F241" s="225">
        <f>+Données!X241</f>
        <v>69</v>
      </c>
      <c r="G241" s="352">
        <f t="shared" si="14"/>
        <v>-182408.93679611772</v>
      </c>
      <c r="H241" s="160">
        <f t="shared" si="15"/>
        <v>1.0213876172188263</v>
      </c>
      <c r="I241" s="42">
        <f t="shared" si="16"/>
        <v>-186310.22931360616</v>
      </c>
    </row>
    <row r="242" spans="1:9" x14ac:dyDescent="0.25">
      <c r="A242" s="38">
        <f>Données!A242</f>
        <v>5821</v>
      </c>
      <c r="B242" s="27" t="str">
        <f>Données!B242</f>
        <v>Missy</v>
      </c>
      <c r="C242" s="31">
        <f>Données!Z242</f>
        <v>387</v>
      </c>
      <c r="D242" s="225">
        <f>Ecrêtage!E242</f>
        <v>21.643320413436697</v>
      </c>
      <c r="E242" s="225">
        <f t="shared" si="13"/>
        <v>26.827442199475016</v>
      </c>
      <c r="F242" s="225">
        <f>+Données!X242</f>
        <v>72</v>
      </c>
      <c r="G242" s="352">
        <f t="shared" si="14"/>
        <v>-201830.35935046643</v>
      </c>
      <c r="H242" s="160">
        <f t="shared" si="15"/>
        <v>1.0657957744892101</v>
      </c>
      <c r="I242" s="42">
        <f t="shared" si="16"/>
        <v>-215109.94415936596</v>
      </c>
    </row>
    <row r="243" spans="1:9" x14ac:dyDescent="0.25">
      <c r="A243" s="38">
        <f>Données!A243</f>
        <v>5822</v>
      </c>
      <c r="B243" s="27" t="str">
        <f>Données!B243</f>
        <v>Payerne</v>
      </c>
      <c r="C243" s="31">
        <f>Données!Z243</f>
        <v>10372</v>
      </c>
      <c r="D243" s="225">
        <f>Ecrêtage!E243</f>
        <v>21.870831545942977</v>
      </c>
      <c r="E243" s="225">
        <f t="shared" si="13"/>
        <v>26.599931066968736</v>
      </c>
      <c r="F243" s="225">
        <f>+Données!X243</f>
        <v>73</v>
      </c>
      <c r="G243" s="352">
        <f t="shared" si="14"/>
        <v>-5437880.2998742806</v>
      </c>
      <c r="H243" s="160">
        <f t="shared" si="15"/>
        <v>1.080598493579338</v>
      </c>
      <c r="I243" s="42">
        <f t="shared" si="16"/>
        <v>-5876165.2603089064</v>
      </c>
    </row>
    <row r="244" spans="1:9" x14ac:dyDescent="0.25">
      <c r="A244" s="38">
        <f>Données!A244</f>
        <v>5827</v>
      </c>
      <c r="B244" s="27" t="str">
        <f>Données!B244</f>
        <v>Trey</v>
      </c>
      <c r="C244" s="31">
        <f>Données!Z244</f>
        <v>302</v>
      </c>
      <c r="D244" s="225">
        <f>Ecrêtage!E244</f>
        <v>25.547204958397014</v>
      </c>
      <c r="E244" s="225">
        <f t="shared" si="13"/>
        <v>22.923557654514699</v>
      </c>
      <c r="F244" s="225">
        <f>+Données!X244</f>
        <v>78</v>
      </c>
      <c r="G244" s="352">
        <f t="shared" si="14"/>
        <v>-145796.57750963204</v>
      </c>
      <c r="H244" s="160">
        <f t="shared" si="15"/>
        <v>1.1546120890299776</v>
      </c>
      <c r="I244" s="42">
        <f t="shared" si="16"/>
        <v>-168338.4909318173</v>
      </c>
    </row>
    <row r="245" spans="1:9" x14ac:dyDescent="0.25">
      <c r="A245" s="38">
        <f>Données!A245</f>
        <v>5828</v>
      </c>
      <c r="B245" s="27" t="str">
        <f>Données!B245</f>
        <v>Treytorrens (Payerne)</v>
      </c>
      <c r="C245" s="31">
        <f>Données!Z245</f>
        <v>105</v>
      </c>
      <c r="D245" s="225">
        <f>Ecrêtage!E245</f>
        <v>27.283872236829293</v>
      </c>
      <c r="E245" s="225">
        <f t="shared" si="13"/>
        <v>21.18689037608242</v>
      </c>
      <c r="F245" s="225">
        <f>+Données!X245</f>
        <v>81.5</v>
      </c>
      <c r="G245" s="352">
        <f t="shared" si="14"/>
        <v>-48952.839886197842</v>
      </c>
      <c r="H245" s="160">
        <f t="shared" si="15"/>
        <v>1.2064216058454253</v>
      </c>
      <c r="I245" s="42">
        <f t="shared" si="16"/>
        <v>-59057.763706200793</v>
      </c>
    </row>
    <row r="246" spans="1:9" x14ac:dyDescent="0.25">
      <c r="A246" s="38">
        <f>Données!A246</f>
        <v>5830</v>
      </c>
      <c r="B246" s="27" t="str">
        <f>Données!B246</f>
        <v>Villarzel</v>
      </c>
      <c r="C246" s="31">
        <f>Données!Z246</f>
        <v>486</v>
      </c>
      <c r="D246" s="225">
        <f>Ecrêtage!E246</f>
        <v>25.667038408779149</v>
      </c>
      <c r="E246" s="225">
        <f t="shared" si="13"/>
        <v>22.803724204132564</v>
      </c>
      <c r="F246" s="225">
        <f>+Données!X246</f>
        <v>75</v>
      </c>
      <c r="G246" s="352">
        <f t="shared" si="14"/>
        <v>-224422.85175497064</v>
      </c>
      <c r="H246" s="160">
        <f t="shared" si="15"/>
        <v>1.1102039317595938</v>
      </c>
      <c r="I246" s="42">
        <f t="shared" si="16"/>
        <v>-249155.13239506885</v>
      </c>
    </row>
    <row r="247" spans="1:9" x14ac:dyDescent="0.25">
      <c r="A247" s="38">
        <f>Données!A247</f>
        <v>5831</v>
      </c>
      <c r="B247" s="27" t="str">
        <f>Données!B247</f>
        <v>Valbroye</v>
      </c>
      <c r="C247" s="31">
        <f>Données!Z247</f>
        <v>3361</v>
      </c>
      <c r="D247" s="225">
        <f>Ecrêtage!E247</f>
        <v>26.025158405095858</v>
      </c>
      <c r="E247" s="225">
        <f t="shared" si="13"/>
        <v>22.445604207815855</v>
      </c>
      <c r="F247" s="225">
        <f>+Données!X247</f>
        <v>70.5</v>
      </c>
      <c r="G247" s="352">
        <f t="shared" si="14"/>
        <v>-1435994.2277578993</v>
      </c>
      <c r="H247" s="160">
        <f t="shared" si="15"/>
        <v>1.0435916958540181</v>
      </c>
      <c r="I247" s="42">
        <f t="shared" si="16"/>
        <v>-1498591.6513824472</v>
      </c>
    </row>
    <row r="248" spans="1:9" x14ac:dyDescent="0.25">
      <c r="A248" s="38">
        <f>Données!A248</f>
        <v>5841</v>
      </c>
      <c r="B248" s="27" t="str">
        <f>Données!B248</f>
        <v>Château-d'Oex</v>
      </c>
      <c r="C248" s="31">
        <f>Données!Z248</f>
        <v>3568</v>
      </c>
      <c r="D248" s="225">
        <f>Ecrêtage!E248</f>
        <v>34.705433803772685</v>
      </c>
      <c r="E248" s="225">
        <f t="shared" si="13"/>
        <v>13.765328809139028</v>
      </c>
      <c r="F248" s="225">
        <f>+Données!X248</f>
        <v>81.5</v>
      </c>
      <c r="G248" s="352">
        <f t="shared" si="14"/>
        <v>-1080768.8236681323</v>
      </c>
      <c r="H248" s="160">
        <f t="shared" si="15"/>
        <v>1.2064216058454253</v>
      </c>
      <c r="I248" s="42">
        <f t="shared" si="16"/>
        <v>-1303862.8597973795</v>
      </c>
    </row>
    <row r="249" spans="1:9" x14ac:dyDescent="0.25">
      <c r="A249" s="38">
        <f>Données!A249</f>
        <v>5842</v>
      </c>
      <c r="B249" s="27" t="str">
        <f>Données!B249</f>
        <v>Rossinière</v>
      </c>
      <c r="C249" s="31">
        <f>Données!Z249</f>
        <v>534</v>
      </c>
      <c r="D249" s="225">
        <f>Ecrêtage!E249</f>
        <v>30.850597478460571</v>
      </c>
      <c r="E249" s="225">
        <f t="shared" si="13"/>
        <v>17.620165134451142</v>
      </c>
      <c r="F249" s="225">
        <f>+Données!X249</f>
        <v>81</v>
      </c>
      <c r="G249" s="352">
        <f t="shared" si="14"/>
        <v>-205778.50813589842</v>
      </c>
      <c r="H249" s="160">
        <f t="shared" si="15"/>
        <v>1.1990202463003614</v>
      </c>
      <c r="I249" s="42">
        <f t="shared" si="16"/>
        <v>-246732.59750842585</v>
      </c>
    </row>
    <row r="250" spans="1:9" x14ac:dyDescent="0.25">
      <c r="A250" s="38">
        <f>Données!A250</f>
        <v>5843</v>
      </c>
      <c r="B250" s="27" t="str">
        <f>Données!B250</f>
        <v>Rougemont</v>
      </c>
      <c r="C250" s="31">
        <f>Données!Z250</f>
        <v>826</v>
      </c>
      <c r="D250" s="225">
        <f>Ecrêtage!E250</f>
        <v>108.64022317916655</v>
      </c>
      <c r="E250" s="225">
        <f t="shared" si="13"/>
        <v>0</v>
      </c>
      <c r="F250" s="225">
        <f>+Données!X250</f>
        <v>79</v>
      </c>
      <c r="G250" s="352">
        <f t="shared" si="14"/>
        <v>0</v>
      </c>
      <c r="H250" s="160">
        <f t="shared" si="15"/>
        <v>1.1694148081201055</v>
      </c>
      <c r="I250" s="42">
        <f t="shared" si="16"/>
        <v>0</v>
      </c>
    </row>
    <row r="251" spans="1:9" x14ac:dyDescent="0.25">
      <c r="A251" s="38">
        <f>Données!A251</f>
        <v>5851</v>
      </c>
      <c r="B251" s="27" t="str">
        <f>Données!B251</f>
        <v>Allaman</v>
      </c>
      <c r="C251" s="31">
        <f>Données!Z251</f>
        <v>420</v>
      </c>
      <c r="D251" s="225">
        <f>Ecrêtage!E251</f>
        <v>58.694678632478627</v>
      </c>
      <c r="E251" s="225">
        <f t="shared" si="13"/>
        <v>0</v>
      </c>
      <c r="F251" s="225">
        <f>+Données!X251</f>
        <v>65</v>
      </c>
      <c r="G251" s="352">
        <f t="shared" si="14"/>
        <v>0</v>
      </c>
      <c r="H251" s="160">
        <f t="shared" si="15"/>
        <v>0.96217674085831462</v>
      </c>
      <c r="I251" s="42">
        <f t="shared" si="16"/>
        <v>0</v>
      </c>
    </row>
    <row r="252" spans="1:9" x14ac:dyDescent="0.25">
      <c r="A252" s="38">
        <f>Données!A252</f>
        <v>5852</v>
      </c>
      <c r="B252" s="27" t="str">
        <f>Données!B252</f>
        <v>Bursinel</v>
      </c>
      <c r="C252" s="31">
        <f>Données!Z252</f>
        <v>503</v>
      </c>
      <c r="D252" s="225">
        <f>Ecrêtage!E252</f>
        <v>70.87394568075419</v>
      </c>
      <c r="E252" s="225">
        <f t="shared" si="13"/>
        <v>0</v>
      </c>
      <c r="F252" s="225">
        <f>+Données!X252</f>
        <v>62</v>
      </c>
      <c r="G252" s="352">
        <f t="shared" si="14"/>
        <v>0</v>
      </c>
      <c r="H252" s="160">
        <f t="shared" si="15"/>
        <v>0.9177685835879309</v>
      </c>
      <c r="I252" s="42">
        <f t="shared" si="16"/>
        <v>0</v>
      </c>
    </row>
    <row r="253" spans="1:9" x14ac:dyDescent="0.25">
      <c r="A253" s="38">
        <f>Données!A253</f>
        <v>5853</v>
      </c>
      <c r="B253" s="27" t="str">
        <f>Données!B253</f>
        <v>Bursins</v>
      </c>
      <c r="C253" s="31">
        <f>Données!Z253</f>
        <v>766</v>
      </c>
      <c r="D253" s="225">
        <f>Ecrêtage!E253</f>
        <v>62.057744640164742</v>
      </c>
      <c r="E253" s="225">
        <f t="shared" si="13"/>
        <v>0</v>
      </c>
      <c r="F253" s="225">
        <f>+Données!X253</f>
        <v>71</v>
      </c>
      <c r="G253" s="352">
        <f t="shared" si="14"/>
        <v>0</v>
      </c>
      <c r="H253" s="160">
        <f t="shared" si="15"/>
        <v>1.0509930553990823</v>
      </c>
      <c r="I253" s="42">
        <f t="shared" si="16"/>
        <v>0</v>
      </c>
    </row>
    <row r="254" spans="1:9" x14ac:dyDescent="0.25">
      <c r="A254" s="38">
        <f>Données!A254</f>
        <v>5854</v>
      </c>
      <c r="B254" s="27" t="str">
        <f>Données!B254</f>
        <v>Burtigny</v>
      </c>
      <c r="C254" s="31">
        <f>Données!Z254</f>
        <v>414</v>
      </c>
      <c r="D254" s="225">
        <f>Ecrêtage!E254</f>
        <v>36.862037190887918</v>
      </c>
      <c r="E254" s="225">
        <f t="shared" si="13"/>
        <v>11.608725422023795</v>
      </c>
      <c r="F254" s="225">
        <f>+Données!X254</f>
        <v>78.5</v>
      </c>
      <c r="G254" s="352">
        <f t="shared" si="14"/>
        <v>-101863.43122239485</v>
      </c>
      <c r="H254" s="160">
        <f t="shared" si="15"/>
        <v>1.1620134485750415</v>
      </c>
      <c r="I254" s="42">
        <f t="shared" si="16"/>
        <v>-118366.67699842159</v>
      </c>
    </row>
    <row r="255" spans="1:9" x14ac:dyDescent="0.25">
      <c r="A255" s="38">
        <f>Données!A255</f>
        <v>5855</v>
      </c>
      <c r="B255" s="27" t="str">
        <f>Données!B255</f>
        <v>Dully</v>
      </c>
      <c r="C255" s="31">
        <f>Données!Z255</f>
        <v>631</v>
      </c>
      <c r="D255" s="225">
        <f>Ecrêtage!E255</f>
        <v>130.85877971473852</v>
      </c>
      <c r="E255" s="225">
        <f t="shared" si="13"/>
        <v>0</v>
      </c>
      <c r="F255" s="225">
        <f>+Données!X255</f>
        <v>53</v>
      </c>
      <c r="G255" s="352">
        <f t="shared" si="14"/>
        <v>0</v>
      </c>
      <c r="H255" s="160">
        <f t="shared" si="15"/>
        <v>0.78454411177677963</v>
      </c>
      <c r="I255" s="42">
        <f t="shared" si="16"/>
        <v>0</v>
      </c>
    </row>
    <row r="256" spans="1:9" x14ac:dyDescent="0.25">
      <c r="A256" s="38">
        <f>Données!A256</f>
        <v>5856</v>
      </c>
      <c r="B256" s="27" t="str">
        <f>Données!B256</f>
        <v>Essertines-sur-Rolle</v>
      </c>
      <c r="C256" s="31">
        <f>Données!Z256</f>
        <v>749</v>
      </c>
      <c r="D256" s="225">
        <f>Ecrêtage!E256</f>
        <v>48.679322404810435</v>
      </c>
      <c r="E256" s="225">
        <f t="shared" si="13"/>
        <v>0</v>
      </c>
      <c r="F256" s="225">
        <f>+Données!X256</f>
        <v>66.5</v>
      </c>
      <c r="G256" s="352">
        <f t="shared" si="14"/>
        <v>0</v>
      </c>
      <c r="H256" s="160">
        <f t="shared" si="15"/>
        <v>0.98438081949350653</v>
      </c>
      <c r="I256" s="42">
        <f t="shared" si="16"/>
        <v>0</v>
      </c>
    </row>
    <row r="257" spans="1:9" x14ac:dyDescent="0.25">
      <c r="A257" s="38">
        <f>Données!A257</f>
        <v>5857</v>
      </c>
      <c r="B257" s="27" t="str">
        <f>Données!B257</f>
        <v>Gilly</v>
      </c>
      <c r="C257" s="31">
        <f>Données!Z257</f>
        <v>1446</v>
      </c>
      <c r="D257" s="225">
        <f>Ecrêtage!E257</f>
        <v>60.047503296986079</v>
      </c>
      <c r="E257" s="225">
        <f t="shared" si="13"/>
        <v>0</v>
      </c>
      <c r="F257" s="225">
        <f>+Données!X257</f>
        <v>64.5</v>
      </c>
      <c r="G257" s="352">
        <f t="shared" si="14"/>
        <v>0</v>
      </c>
      <c r="H257" s="160">
        <f t="shared" si="15"/>
        <v>0.95477538131325068</v>
      </c>
      <c r="I257" s="42">
        <f t="shared" si="16"/>
        <v>0</v>
      </c>
    </row>
    <row r="258" spans="1:9" x14ac:dyDescent="0.25">
      <c r="A258" s="38">
        <f>Données!A258</f>
        <v>5858</v>
      </c>
      <c r="B258" s="27" t="str">
        <f>Données!B258</f>
        <v>Luins</v>
      </c>
      <c r="C258" s="31">
        <f>Données!Z258</f>
        <v>618</v>
      </c>
      <c r="D258" s="225">
        <f>Ecrêtage!E258</f>
        <v>66.604022533860729</v>
      </c>
      <c r="E258" s="225">
        <f t="shared" si="13"/>
        <v>0</v>
      </c>
      <c r="F258" s="225">
        <f>+Données!X258</f>
        <v>58.5</v>
      </c>
      <c r="G258" s="352">
        <f t="shared" si="14"/>
        <v>0</v>
      </c>
      <c r="H258" s="160">
        <f t="shared" si="15"/>
        <v>0.86595906677248324</v>
      </c>
      <c r="I258" s="42">
        <f t="shared" si="16"/>
        <v>0</v>
      </c>
    </row>
    <row r="259" spans="1:9" x14ac:dyDescent="0.25">
      <c r="A259" s="38">
        <f>Données!A259</f>
        <v>5859</v>
      </c>
      <c r="B259" s="27" t="str">
        <f>Données!B259</f>
        <v>Mont-sur-Rolle</v>
      </c>
      <c r="C259" s="31">
        <f>Données!Z259</f>
        <v>2759</v>
      </c>
      <c r="D259" s="225">
        <f>Ecrêtage!E259</f>
        <v>57.42530181824408</v>
      </c>
      <c r="E259" s="225">
        <f t="shared" si="13"/>
        <v>0</v>
      </c>
      <c r="F259" s="225">
        <f>+Données!X259</f>
        <v>63.5</v>
      </c>
      <c r="G259" s="352">
        <f t="shared" si="14"/>
        <v>0</v>
      </c>
      <c r="H259" s="160">
        <f t="shared" si="15"/>
        <v>0.93997266222312281</v>
      </c>
      <c r="I259" s="42">
        <f t="shared" si="16"/>
        <v>0</v>
      </c>
    </row>
    <row r="260" spans="1:9" x14ac:dyDescent="0.25">
      <c r="A260" s="38">
        <f>Données!A260</f>
        <v>5860</v>
      </c>
      <c r="B260" s="27" t="str">
        <f>Données!B260</f>
        <v>Perroy</v>
      </c>
      <c r="C260" s="31">
        <f>Données!Z260</f>
        <v>1542</v>
      </c>
      <c r="D260" s="225">
        <f>Ecrêtage!E260</f>
        <v>85.846295290063622</v>
      </c>
      <c r="E260" s="225">
        <f t="shared" si="13"/>
        <v>0</v>
      </c>
      <c r="F260" s="225">
        <f>+Données!X260</f>
        <v>58.5</v>
      </c>
      <c r="G260" s="352">
        <f t="shared" si="14"/>
        <v>0</v>
      </c>
      <c r="H260" s="160">
        <f t="shared" si="15"/>
        <v>0.86595906677248324</v>
      </c>
      <c r="I260" s="42">
        <f t="shared" si="16"/>
        <v>0</v>
      </c>
    </row>
    <row r="261" spans="1:9" x14ac:dyDescent="0.25">
      <c r="A261" s="38">
        <f>Données!A261</f>
        <v>5861</v>
      </c>
      <c r="B261" s="27" t="str">
        <f>Données!B261</f>
        <v>Rolle</v>
      </c>
      <c r="C261" s="31">
        <f>Données!Z261</f>
        <v>6321</v>
      </c>
      <c r="D261" s="225">
        <f>Ecrêtage!E261</f>
        <v>141.98921027547235</v>
      </c>
      <c r="E261" s="225">
        <f t="shared" si="13"/>
        <v>0</v>
      </c>
      <c r="F261" s="225">
        <f>+Données!X261</f>
        <v>59.5</v>
      </c>
      <c r="G261" s="352">
        <f t="shared" si="14"/>
        <v>0</v>
      </c>
      <c r="H261" s="160">
        <f t="shared" si="15"/>
        <v>0.88076178586261111</v>
      </c>
      <c r="I261" s="42">
        <f t="shared" si="16"/>
        <v>0</v>
      </c>
    </row>
    <row r="262" spans="1:9" x14ac:dyDescent="0.25">
      <c r="A262" s="38">
        <f>Données!A262</f>
        <v>5862</v>
      </c>
      <c r="B262" s="27" t="str">
        <f>Données!B262</f>
        <v>Tartegnin</v>
      </c>
      <c r="C262" s="31">
        <f>Données!Z262</f>
        <v>249</v>
      </c>
      <c r="D262" s="225">
        <f>Ecrêtage!E262</f>
        <v>41.652600274515791</v>
      </c>
      <c r="E262" s="225">
        <f t="shared" si="13"/>
        <v>6.818162338395922</v>
      </c>
      <c r="F262" s="225">
        <f>+Données!X262</f>
        <v>79</v>
      </c>
      <c r="G262" s="352">
        <f t="shared" si="14"/>
        <v>-36212.419266818273</v>
      </c>
      <c r="H262" s="160">
        <f t="shared" si="15"/>
        <v>1.1694148081201055</v>
      </c>
      <c r="I262" s="42">
        <f t="shared" si="16"/>
        <v>-42347.339328471098</v>
      </c>
    </row>
    <row r="263" spans="1:9" x14ac:dyDescent="0.25">
      <c r="A263" s="38">
        <f>Données!A263</f>
        <v>5863</v>
      </c>
      <c r="B263" s="27" t="str">
        <f>Données!B263</f>
        <v>Vinzel</v>
      </c>
      <c r="C263" s="31">
        <f>Données!Z263</f>
        <v>378</v>
      </c>
      <c r="D263" s="225">
        <f>Ecrêtage!E263</f>
        <v>62.597697228144987</v>
      </c>
      <c r="E263" s="225">
        <f t="shared" ref="E263:E305" si="17">IF($D$306-D263&lt;0,0,$D$306-D263)</f>
        <v>0</v>
      </c>
      <c r="F263" s="225">
        <f>+Données!X263</f>
        <v>67</v>
      </c>
      <c r="G263" s="352">
        <f t="shared" ref="G263:G305" si="18">-((C263*E263*F263)*$E$5)</f>
        <v>0</v>
      </c>
      <c r="H263" s="160">
        <f t="shared" ref="H263:H305" si="19">F263/$F$306</f>
        <v>0.99178217903857047</v>
      </c>
      <c r="I263" s="42">
        <f t="shared" ref="I263:I305" si="20">G263*H263</f>
        <v>0</v>
      </c>
    </row>
    <row r="264" spans="1:9" x14ac:dyDescent="0.25">
      <c r="A264" s="38">
        <f>Données!A264</f>
        <v>5871</v>
      </c>
      <c r="B264" s="27" t="str">
        <f>Données!B264</f>
        <v>L'Abbaye</v>
      </c>
      <c r="C264" s="31">
        <f>Données!Z264</f>
        <v>1534</v>
      </c>
      <c r="D264" s="225">
        <f>Ecrêtage!E264</f>
        <v>32.74870692926693</v>
      </c>
      <c r="E264" s="225">
        <f t="shared" si="17"/>
        <v>15.722055683644783</v>
      </c>
      <c r="F264" s="225">
        <f>+Données!X264</f>
        <v>77.3</v>
      </c>
      <c r="G264" s="352">
        <f t="shared" si="18"/>
        <v>-503359.12708191929</v>
      </c>
      <c r="H264" s="160">
        <f t="shared" si="19"/>
        <v>1.1442501856668881</v>
      </c>
      <c r="I264" s="42">
        <f t="shared" si="20"/>
        <v>-575968.77462060889</v>
      </c>
    </row>
    <row r="265" spans="1:9" x14ac:dyDescent="0.25">
      <c r="A265" s="38">
        <f>Données!A265</f>
        <v>5872</v>
      </c>
      <c r="B265" s="27" t="str">
        <f>Données!B265</f>
        <v>Le Chenit</v>
      </c>
      <c r="C265" s="31">
        <f>Données!Z265</f>
        <v>4613</v>
      </c>
      <c r="D265" s="225">
        <f>Ecrêtage!E265</f>
        <v>68.732788615431758</v>
      </c>
      <c r="E265" s="225">
        <f t="shared" si="17"/>
        <v>0</v>
      </c>
      <c r="F265" s="225">
        <f>+Données!X265</f>
        <v>66.83</v>
      </c>
      <c r="G265" s="352">
        <f t="shared" si="18"/>
        <v>0</v>
      </c>
      <c r="H265" s="160">
        <f t="shared" si="19"/>
        <v>0.98926571679324871</v>
      </c>
      <c r="I265" s="42">
        <f t="shared" si="20"/>
        <v>0</v>
      </c>
    </row>
    <row r="266" spans="1:9" x14ac:dyDescent="0.25">
      <c r="A266" s="38">
        <f>Données!A266</f>
        <v>5873</v>
      </c>
      <c r="B266" s="27" t="str">
        <f>Données!B266</f>
        <v>Le Lieu</v>
      </c>
      <c r="C266" s="31">
        <f>Données!Z266</f>
        <v>886</v>
      </c>
      <c r="D266" s="225">
        <f>Ecrêtage!E266</f>
        <v>39.737049419542082</v>
      </c>
      <c r="E266" s="225">
        <f t="shared" si="17"/>
        <v>8.7337131933696313</v>
      </c>
      <c r="F266" s="225">
        <f>+Données!X266</f>
        <v>70</v>
      </c>
      <c r="G266" s="352">
        <f t="shared" si="18"/>
        <v>-146249.52090825181</v>
      </c>
      <c r="H266" s="160">
        <f t="shared" si="19"/>
        <v>1.0361903363089542</v>
      </c>
      <c r="I266" s="42">
        <f t="shared" si="20"/>
        <v>-151542.34025494487</v>
      </c>
    </row>
    <row r="267" spans="1:9" x14ac:dyDescent="0.25">
      <c r="A267" s="38">
        <f>Données!A267</f>
        <v>5882</v>
      </c>
      <c r="B267" s="27" t="str">
        <f>Données!B267</f>
        <v>Chardonne</v>
      </c>
      <c r="C267" s="31">
        <f>Données!Z267</f>
        <v>3192</v>
      </c>
      <c r="D267" s="225">
        <f>Ecrêtage!E267</f>
        <v>63.207054999631424</v>
      </c>
      <c r="E267" s="225">
        <f t="shared" si="17"/>
        <v>0</v>
      </c>
      <c r="F267" s="225">
        <f>+Données!X267</f>
        <v>68</v>
      </c>
      <c r="G267" s="352">
        <f t="shared" si="18"/>
        <v>0</v>
      </c>
      <c r="H267" s="160">
        <f t="shared" si="19"/>
        <v>1.0065848981286984</v>
      </c>
      <c r="I267" s="42">
        <f t="shared" si="20"/>
        <v>0</v>
      </c>
    </row>
    <row r="268" spans="1:9" x14ac:dyDescent="0.25">
      <c r="A268" s="38">
        <f>Données!A268</f>
        <v>5883</v>
      </c>
      <c r="B268" s="27" t="str">
        <f>Données!B268</f>
        <v>Corseaux</v>
      </c>
      <c r="C268" s="31">
        <f>Données!Z268</f>
        <v>2307</v>
      </c>
      <c r="D268" s="225">
        <f>Ecrêtage!E268</f>
        <v>78.411900335532749</v>
      </c>
      <c r="E268" s="225">
        <f t="shared" si="17"/>
        <v>0</v>
      </c>
      <c r="F268" s="225">
        <f>+Données!X268</f>
        <v>67.5</v>
      </c>
      <c r="G268" s="352">
        <f t="shared" si="18"/>
        <v>0</v>
      </c>
      <c r="H268" s="160">
        <f t="shared" si="19"/>
        <v>0.99918353858363451</v>
      </c>
      <c r="I268" s="42">
        <f t="shared" si="20"/>
        <v>0</v>
      </c>
    </row>
    <row r="269" spans="1:9" x14ac:dyDescent="0.25">
      <c r="A269" s="38">
        <f>Données!A269</f>
        <v>5884</v>
      </c>
      <c r="B269" s="27" t="str">
        <f>Données!B269</f>
        <v>Corsier-sur-Vevey</v>
      </c>
      <c r="C269" s="31">
        <f>Données!Z269</f>
        <v>3366</v>
      </c>
      <c r="D269" s="225">
        <f>Ecrêtage!E269</f>
        <v>38.042566491791298</v>
      </c>
      <c r="E269" s="225">
        <f t="shared" si="17"/>
        <v>10.428196121120415</v>
      </c>
      <c r="F269" s="225">
        <f>+Données!X269</f>
        <v>64.5</v>
      </c>
      <c r="G269" s="352">
        <f t="shared" si="18"/>
        <v>-611289.28132238437</v>
      </c>
      <c r="H269" s="160">
        <f t="shared" si="19"/>
        <v>0.95477538131325068</v>
      </c>
      <c r="I269" s="42">
        <f t="shared" si="20"/>
        <v>-583643.9566672825</v>
      </c>
    </row>
    <row r="270" spans="1:9" x14ac:dyDescent="0.25">
      <c r="A270" s="38">
        <f>Données!A270</f>
        <v>5885</v>
      </c>
      <c r="B270" s="27" t="str">
        <f>Données!B270</f>
        <v>Jongny</v>
      </c>
      <c r="C270" s="31">
        <f>Données!Z270</f>
        <v>1842</v>
      </c>
      <c r="D270" s="225">
        <f>Ecrêtage!E270</f>
        <v>56.509968741619069</v>
      </c>
      <c r="E270" s="225">
        <f t="shared" si="17"/>
        <v>0</v>
      </c>
      <c r="F270" s="225">
        <f>+Données!X270</f>
        <v>69.5</v>
      </c>
      <c r="G270" s="352">
        <f t="shared" si="18"/>
        <v>0</v>
      </c>
      <c r="H270" s="160">
        <f t="shared" si="19"/>
        <v>1.0287889767638903</v>
      </c>
      <c r="I270" s="42">
        <f t="shared" si="20"/>
        <v>0</v>
      </c>
    </row>
    <row r="271" spans="1:9" x14ac:dyDescent="0.25">
      <c r="A271" s="38">
        <f>Données!A271</f>
        <v>5886</v>
      </c>
      <c r="B271" s="27" t="str">
        <f>Données!B271</f>
        <v>Montreux</v>
      </c>
      <c r="C271" s="31">
        <f>Données!Z271</f>
        <v>26081</v>
      </c>
      <c r="D271" s="225">
        <f>Ecrêtage!E271</f>
        <v>44.212749363668806</v>
      </c>
      <c r="E271" s="225">
        <f t="shared" si="17"/>
        <v>4.2580132492429072</v>
      </c>
      <c r="F271" s="225">
        <f>+Données!X271</f>
        <v>65</v>
      </c>
      <c r="G271" s="352">
        <f t="shared" si="18"/>
        <v>-1948984.4243639999</v>
      </c>
      <c r="H271" s="160">
        <f t="shared" si="19"/>
        <v>0.96217674085831462</v>
      </c>
      <c r="I271" s="42">
        <f t="shared" si="20"/>
        <v>-1875267.4814181717</v>
      </c>
    </row>
    <row r="272" spans="1:9" x14ac:dyDescent="0.25">
      <c r="A272" s="38">
        <f>Données!A272</f>
        <v>5889</v>
      </c>
      <c r="B272" s="27" t="str">
        <f>Données!B272</f>
        <v>La Tour-de-Peilz</v>
      </c>
      <c r="C272" s="31">
        <f>Données!Z272</f>
        <v>12400</v>
      </c>
      <c r="D272" s="225">
        <f>Ecrêtage!E272</f>
        <v>57.191884364499316</v>
      </c>
      <c r="E272" s="225">
        <f t="shared" si="17"/>
        <v>0</v>
      </c>
      <c r="F272" s="225">
        <f>+Données!X272</f>
        <v>64</v>
      </c>
      <c r="G272" s="352">
        <f t="shared" si="18"/>
        <v>0</v>
      </c>
      <c r="H272" s="160">
        <f t="shared" si="19"/>
        <v>0.94737402176818675</v>
      </c>
      <c r="I272" s="42">
        <f t="shared" si="20"/>
        <v>0</v>
      </c>
    </row>
    <row r="273" spans="1:9" x14ac:dyDescent="0.25">
      <c r="A273" s="38">
        <f>Données!A273</f>
        <v>5890</v>
      </c>
      <c r="B273" s="27" t="str">
        <f>Données!B273</f>
        <v>Vevey</v>
      </c>
      <c r="C273" s="31">
        <f>Données!Z273</f>
        <v>19743</v>
      </c>
      <c r="D273" s="225">
        <f>Ecrêtage!E273</f>
        <v>47.869508379545174</v>
      </c>
      <c r="E273" s="225">
        <f t="shared" si="17"/>
        <v>0.60125423336653938</v>
      </c>
      <c r="F273" s="225">
        <f>+Données!X273</f>
        <v>74.5</v>
      </c>
      <c r="G273" s="352">
        <f t="shared" si="18"/>
        <v>-238776.36125498766</v>
      </c>
      <c r="H273" s="160">
        <f t="shared" si="19"/>
        <v>1.1028025722145298</v>
      </c>
      <c r="I273" s="42">
        <f t="shared" si="20"/>
        <v>-263323.1853760262</v>
      </c>
    </row>
    <row r="274" spans="1:9" x14ac:dyDescent="0.25">
      <c r="A274" s="38">
        <f>Données!A274</f>
        <v>5891</v>
      </c>
      <c r="B274" s="27" t="str">
        <f>Données!B274</f>
        <v>Veytaux</v>
      </c>
      <c r="C274" s="31">
        <f>Données!Z274</f>
        <v>970</v>
      </c>
      <c r="D274" s="225">
        <f>Ecrêtage!E274</f>
        <v>42.384862073228014</v>
      </c>
      <c r="E274" s="225">
        <f t="shared" si="17"/>
        <v>6.0859005396836992</v>
      </c>
      <c r="F274" s="225">
        <f>+Données!X274</f>
        <v>69.5</v>
      </c>
      <c r="G274" s="352">
        <f t="shared" si="18"/>
        <v>-110775.86591834968</v>
      </c>
      <c r="H274" s="160">
        <f t="shared" si="19"/>
        <v>1.0287889767638903</v>
      </c>
      <c r="I274" s="42">
        <f t="shared" si="20"/>
        <v>-113964.98974827287</v>
      </c>
    </row>
    <row r="275" spans="1:9" x14ac:dyDescent="0.25">
      <c r="A275" s="38">
        <f>Données!A275</f>
        <v>5892</v>
      </c>
      <c r="B275" s="27" t="str">
        <f>Données!B275</f>
        <v>Blonay-Saint-Légier</v>
      </c>
      <c r="C275" s="31">
        <f>Données!Z275</f>
        <v>12123</v>
      </c>
      <c r="D275" s="225">
        <f>Ecrêtage!E275</f>
        <v>61.843987196924942</v>
      </c>
      <c r="E275" s="225">
        <f t="shared" si="17"/>
        <v>0</v>
      </c>
      <c r="F275" s="225">
        <f>+Données!X275</f>
        <v>68.5</v>
      </c>
      <c r="G275" s="352">
        <f t="shared" si="18"/>
        <v>0</v>
      </c>
      <c r="H275" s="160">
        <f t="shared" si="19"/>
        <v>1.0139862576737624</v>
      </c>
      <c r="I275" s="42">
        <f t="shared" si="20"/>
        <v>0</v>
      </c>
    </row>
    <row r="276" spans="1:9" x14ac:dyDescent="0.25">
      <c r="A276" s="38">
        <f>Données!A276</f>
        <v>5902</v>
      </c>
      <c r="B276" s="27" t="str">
        <f>Données!B276</f>
        <v>Belmont-sur-Yverdon</v>
      </c>
      <c r="C276" s="31">
        <f>Données!Z276</f>
        <v>434</v>
      </c>
      <c r="D276" s="225">
        <f>Ecrêtage!E276</f>
        <v>27.460852534562214</v>
      </c>
      <c r="E276" s="225">
        <f t="shared" si="17"/>
        <v>21.009910078349499</v>
      </c>
      <c r="F276" s="225">
        <f>+Données!X276</f>
        <v>70</v>
      </c>
      <c r="G276" s="352">
        <f t="shared" si="18"/>
        <v>-172335.88840866962</v>
      </c>
      <c r="H276" s="160">
        <f t="shared" si="19"/>
        <v>1.0361903363089542</v>
      </c>
      <c r="I276" s="42">
        <f t="shared" si="20"/>
        <v>-178572.78216828176</v>
      </c>
    </row>
    <row r="277" spans="1:9" s="202" customFormat="1" x14ac:dyDescent="0.25">
      <c r="A277" s="38">
        <f>Données!A277</f>
        <v>5903</v>
      </c>
      <c r="B277" s="27" t="str">
        <f>Données!B277</f>
        <v>Bioley-Magnoux</v>
      </c>
      <c r="C277" s="31">
        <f>Données!Z277</f>
        <v>247</v>
      </c>
      <c r="D277" s="225">
        <f>Ecrêtage!E277</f>
        <v>25.406604572328259</v>
      </c>
      <c r="E277" s="225">
        <f t="shared" si="17"/>
        <v>23.064158040583454</v>
      </c>
      <c r="F277" s="225">
        <f>+Données!X277</f>
        <v>72</v>
      </c>
      <c r="G277" s="352">
        <f t="shared" si="18"/>
        <v>-110746.70638030877</v>
      </c>
      <c r="H277" s="160">
        <f t="shared" si="19"/>
        <v>1.0657957744892101</v>
      </c>
      <c r="I277" s="42">
        <f t="shared" si="20"/>
        <v>-118033.37169873033</v>
      </c>
    </row>
    <row r="278" spans="1:9" s="202" customFormat="1" x14ac:dyDescent="0.25">
      <c r="A278" s="38">
        <f>Données!A278</f>
        <v>5904</v>
      </c>
      <c r="B278" s="27" t="str">
        <f>Données!B278</f>
        <v>Chamblon</v>
      </c>
      <c r="C278" s="31">
        <f>Données!Z278</f>
        <v>567</v>
      </c>
      <c r="D278" s="225">
        <f>Ecrêtage!E278</f>
        <v>33.316138100582549</v>
      </c>
      <c r="E278" s="225">
        <f t="shared" si="17"/>
        <v>15.154624512329164</v>
      </c>
      <c r="F278" s="225">
        <f>+Données!X278</f>
        <v>66</v>
      </c>
      <c r="G278" s="352">
        <f t="shared" si="18"/>
        <v>-153121.41679510317</v>
      </c>
      <c r="H278" s="160">
        <f t="shared" si="19"/>
        <v>0.9769794599484426</v>
      </c>
      <c r="I278" s="42">
        <f t="shared" si="20"/>
        <v>-149596.47908702027</v>
      </c>
    </row>
    <row r="279" spans="1:9" s="202" customFormat="1" x14ac:dyDescent="0.25">
      <c r="A279" s="38">
        <f>Données!A279</f>
        <v>5905</v>
      </c>
      <c r="B279" s="27" t="str">
        <f>Données!B279</f>
        <v>Champvent</v>
      </c>
      <c r="C279" s="31">
        <f>Données!Z279</f>
        <v>734</v>
      </c>
      <c r="D279" s="225">
        <f>Ecrêtage!E279</f>
        <v>29.338116776956014</v>
      </c>
      <c r="E279" s="225">
        <f t="shared" si="17"/>
        <v>19.132645835955699</v>
      </c>
      <c r="F279" s="225">
        <f>+Données!X279</f>
        <v>70</v>
      </c>
      <c r="G279" s="352">
        <f t="shared" si="18"/>
        <v>-265419.54262387904</v>
      </c>
      <c r="H279" s="160">
        <f t="shared" si="19"/>
        <v>1.0361903363089542</v>
      </c>
      <c r="I279" s="42">
        <f t="shared" si="20"/>
        <v>-275025.16513440601</v>
      </c>
    </row>
    <row r="280" spans="1:9" s="202" customFormat="1" x14ac:dyDescent="0.25">
      <c r="A280" s="38">
        <f>Données!A280</f>
        <v>5907</v>
      </c>
      <c r="B280" s="27" t="str">
        <f>Données!B280</f>
        <v>Chavannes-le-Chêne</v>
      </c>
      <c r="C280" s="31">
        <f>Données!Z280</f>
        <v>316</v>
      </c>
      <c r="D280" s="225">
        <f>Ecrêtage!E280</f>
        <v>26.751495780590716</v>
      </c>
      <c r="E280" s="225">
        <f t="shared" si="17"/>
        <v>21.719266832320997</v>
      </c>
      <c r="F280" s="225">
        <f>+Données!X280</f>
        <v>75</v>
      </c>
      <c r="G280" s="352">
        <f t="shared" si="18"/>
        <v>-138981.58846002209</v>
      </c>
      <c r="H280" s="160">
        <f t="shared" si="19"/>
        <v>1.1102039317595938</v>
      </c>
      <c r="I280" s="42">
        <f t="shared" si="20"/>
        <v>-154297.90595051029</v>
      </c>
    </row>
    <row r="281" spans="1:9" s="202" customFormat="1" x14ac:dyDescent="0.25">
      <c r="A281" s="38">
        <f>Données!A281</f>
        <v>5908</v>
      </c>
      <c r="B281" s="27" t="str">
        <f>Données!B281</f>
        <v>Chêne-Pâquier</v>
      </c>
      <c r="C281" s="31">
        <f>Données!Z281</f>
        <v>163</v>
      </c>
      <c r="D281" s="225">
        <f>Ecrêtage!E281</f>
        <v>30.171390593047043</v>
      </c>
      <c r="E281" s="225">
        <f t="shared" si="17"/>
        <v>18.29937201986467</v>
      </c>
      <c r="F281" s="225">
        <f>+Données!X281</f>
        <v>75</v>
      </c>
      <c r="G281" s="352">
        <f t="shared" si="18"/>
        <v>-60401.652194568313</v>
      </c>
      <c r="H281" s="160">
        <f t="shared" si="19"/>
        <v>1.1102039317595938</v>
      </c>
      <c r="I281" s="42">
        <f t="shared" si="20"/>
        <v>-67058.151751185229</v>
      </c>
    </row>
    <row r="282" spans="1:9" s="202" customFormat="1" x14ac:dyDescent="0.25">
      <c r="A282" s="38">
        <f>Données!A282</f>
        <v>5909</v>
      </c>
      <c r="B282" s="27" t="str">
        <f>Données!B282</f>
        <v>Cheseaux-Noréaz</v>
      </c>
      <c r="C282" s="31">
        <f>Données!Z282</f>
        <v>734</v>
      </c>
      <c r="D282" s="225">
        <f>Ecrêtage!E282</f>
        <v>46.566280450608005</v>
      </c>
      <c r="E282" s="225">
        <f t="shared" si="17"/>
        <v>1.904482162303708</v>
      </c>
      <c r="F282" s="225">
        <f>+Données!X282</f>
        <v>67</v>
      </c>
      <c r="G282" s="352">
        <f t="shared" si="18"/>
        <v>-25287.828419998375</v>
      </c>
      <c r="H282" s="160">
        <f t="shared" si="19"/>
        <v>0.99178217903857047</v>
      </c>
      <c r="I282" s="42">
        <f t="shared" si="20"/>
        <v>-25080.017573539481</v>
      </c>
    </row>
    <row r="283" spans="1:9" s="202" customFormat="1" x14ac:dyDescent="0.25">
      <c r="A283" s="38">
        <f>Données!A283</f>
        <v>5910</v>
      </c>
      <c r="B283" s="27" t="str">
        <f>Données!B283</f>
        <v>Cronay</v>
      </c>
      <c r="C283" s="31">
        <f>Données!Z283</f>
        <v>410</v>
      </c>
      <c r="D283" s="225">
        <f>Ecrêtage!E283</f>
        <v>25.902496357301228</v>
      </c>
      <c r="E283" s="225">
        <f t="shared" si="17"/>
        <v>22.568266255610485</v>
      </c>
      <c r="F283" s="225">
        <f>+Données!X283</f>
        <v>77</v>
      </c>
      <c r="G283" s="352">
        <f t="shared" si="18"/>
        <v>-192369.64473619824</v>
      </c>
      <c r="H283" s="160">
        <f t="shared" si="19"/>
        <v>1.1398093699398497</v>
      </c>
      <c r="I283" s="42">
        <f t="shared" si="20"/>
        <v>-219264.72356231886</v>
      </c>
    </row>
    <row r="284" spans="1:9" s="202" customFormat="1" x14ac:dyDescent="0.25">
      <c r="A284" s="38">
        <f>Données!A284</f>
        <v>5911</v>
      </c>
      <c r="B284" s="27" t="str">
        <f>Données!B284</f>
        <v>Cuarny</v>
      </c>
      <c r="C284" s="31">
        <f>Données!Z284</f>
        <v>236</v>
      </c>
      <c r="D284" s="225">
        <f>Ecrêtage!E284</f>
        <v>32.333581333920307</v>
      </c>
      <c r="E284" s="225">
        <f t="shared" si="17"/>
        <v>16.137181278991406</v>
      </c>
      <c r="F284" s="225">
        <f>+Données!X284</f>
        <v>77</v>
      </c>
      <c r="G284" s="352">
        <f t="shared" si="18"/>
        <v>-79176.111714494604</v>
      </c>
      <c r="H284" s="160">
        <f t="shared" si="19"/>
        <v>1.1398093699398497</v>
      </c>
      <c r="I284" s="42">
        <f t="shared" si="20"/>
        <v>-90245.674007585243</v>
      </c>
    </row>
    <row r="285" spans="1:9" x14ac:dyDescent="0.25">
      <c r="A285" s="38">
        <f>Données!A285</f>
        <v>5912</v>
      </c>
      <c r="B285" s="27" t="str">
        <f>Données!B285</f>
        <v>Démoret</v>
      </c>
      <c r="C285" s="31">
        <f>Données!Z285</f>
        <v>167</v>
      </c>
      <c r="D285" s="225">
        <f>Ecrêtage!E285</f>
        <v>18.177242438200519</v>
      </c>
      <c r="E285" s="225">
        <f t="shared" si="17"/>
        <v>30.293520174711194</v>
      </c>
      <c r="F285" s="225">
        <f>+Données!X285</f>
        <v>78</v>
      </c>
      <c r="G285" s="352">
        <f t="shared" si="18"/>
        <v>-106542.91632486279</v>
      </c>
      <c r="H285" s="160">
        <f t="shared" si="19"/>
        <v>1.1546120890299776</v>
      </c>
      <c r="I285" s="42">
        <f t="shared" si="20"/>
        <v>-123015.73918919593</v>
      </c>
    </row>
    <row r="286" spans="1:9" x14ac:dyDescent="0.25">
      <c r="A286" s="38">
        <f>Données!A286</f>
        <v>5913</v>
      </c>
      <c r="B286" s="27" t="str">
        <f>Données!B286</f>
        <v>Donneloye</v>
      </c>
      <c r="C286" s="31">
        <f>Données!Z286</f>
        <v>905</v>
      </c>
      <c r="D286" s="225">
        <f>Ecrêtage!E286</f>
        <v>24.163718610459398</v>
      </c>
      <c r="E286" s="225">
        <f t="shared" si="17"/>
        <v>24.307044002452315</v>
      </c>
      <c r="F286" s="225">
        <f>+Données!X286</f>
        <v>73</v>
      </c>
      <c r="G286" s="352">
        <f t="shared" si="18"/>
        <v>-433578.1127459433</v>
      </c>
      <c r="H286" s="160">
        <f t="shared" si="19"/>
        <v>1.080598493579338</v>
      </c>
      <c r="I286" s="42">
        <f t="shared" si="20"/>
        <v>-468523.85548223869</v>
      </c>
    </row>
    <row r="287" spans="1:9" x14ac:dyDescent="0.25">
      <c r="A287" s="38">
        <f>Données!A287</f>
        <v>5914</v>
      </c>
      <c r="B287" s="27" t="str">
        <f>Données!B287</f>
        <v>Ependes</v>
      </c>
      <c r="C287" s="31">
        <f>Données!Z287</f>
        <v>372</v>
      </c>
      <c r="D287" s="225">
        <f>Ecrêtage!E287</f>
        <v>26.414365079365069</v>
      </c>
      <c r="E287" s="225">
        <f t="shared" si="17"/>
        <v>22.056397533546644</v>
      </c>
      <c r="F287" s="225">
        <f>+Données!X287</f>
        <v>73.5</v>
      </c>
      <c r="G287" s="352">
        <f t="shared" si="18"/>
        <v>-162827.82576780271</v>
      </c>
      <c r="H287" s="160">
        <f t="shared" si="19"/>
        <v>1.0879998531244019</v>
      </c>
      <c r="I287" s="42">
        <f t="shared" si="20"/>
        <v>-177156.65051993506</v>
      </c>
    </row>
    <row r="288" spans="1:9" x14ac:dyDescent="0.25">
      <c r="A288" s="38">
        <f>Données!A288</f>
        <v>5919</v>
      </c>
      <c r="B288" s="27" t="str">
        <f>Données!B288</f>
        <v>Mathod</v>
      </c>
      <c r="C288" s="31">
        <f>Données!Z288</f>
        <v>684</v>
      </c>
      <c r="D288" s="225">
        <f>Ecrêtage!E288</f>
        <v>30.488865368475199</v>
      </c>
      <c r="E288" s="225">
        <f t="shared" si="17"/>
        <v>17.981897244436514</v>
      </c>
      <c r="F288" s="225">
        <f>+Données!X288</f>
        <v>72</v>
      </c>
      <c r="G288" s="352">
        <f t="shared" si="18"/>
        <v>-239104.56838338258</v>
      </c>
      <c r="H288" s="160">
        <f t="shared" si="19"/>
        <v>1.0657957744892101</v>
      </c>
      <c r="I288" s="42">
        <f t="shared" si="20"/>
        <v>-254836.63864407555</v>
      </c>
    </row>
    <row r="289" spans="1:9" x14ac:dyDescent="0.25">
      <c r="A289" s="38">
        <f>Données!A289</f>
        <v>5921</v>
      </c>
      <c r="B289" s="27" t="str">
        <f>Données!B289</f>
        <v>Molondin</v>
      </c>
      <c r="C289" s="31">
        <f>Données!Z289</f>
        <v>257</v>
      </c>
      <c r="D289" s="225">
        <f>Ecrêtage!E289</f>
        <v>19.809212182350965</v>
      </c>
      <c r="E289" s="225">
        <f t="shared" si="17"/>
        <v>28.661550430560748</v>
      </c>
      <c r="F289" s="225">
        <f>+Données!X289</f>
        <v>81</v>
      </c>
      <c r="G289" s="352">
        <f t="shared" si="18"/>
        <v>-161094.82373450542</v>
      </c>
      <c r="H289" s="160">
        <f t="shared" si="19"/>
        <v>1.1990202463003614</v>
      </c>
      <c r="I289" s="42">
        <f t="shared" si="20"/>
        <v>-193155.95523185999</v>
      </c>
    </row>
    <row r="290" spans="1:9" x14ac:dyDescent="0.25">
      <c r="A290" s="38">
        <f>Données!A290</f>
        <v>5922</v>
      </c>
      <c r="B290" s="27" t="str">
        <f>Données!B290</f>
        <v>Montagny-près-Yverdon</v>
      </c>
      <c r="C290" s="31">
        <f>Données!Z290</f>
        <v>770</v>
      </c>
      <c r="D290" s="225">
        <f>Ecrêtage!E290</f>
        <v>51.688307107621064</v>
      </c>
      <c r="E290" s="225">
        <f t="shared" si="17"/>
        <v>0</v>
      </c>
      <c r="F290" s="225">
        <f>+Données!X290</f>
        <v>64.5</v>
      </c>
      <c r="G290" s="352">
        <f t="shared" si="18"/>
        <v>0</v>
      </c>
      <c r="H290" s="160">
        <f t="shared" si="19"/>
        <v>0.95477538131325068</v>
      </c>
      <c r="I290" s="42">
        <f t="shared" si="20"/>
        <v>0</v>
      </c>
    </row>
    <row r="291" spans="1:9" x14ac:dyDescent="0.25">
      <c r="A291" s="38">
        <f>Données!A291</f>
        <v>5923</v>
      </c>
      <c r="B291" s="27" t="str">
        <f>Données!B291</f>
        <v>Oppens</v>
      </c>
      <c r="C291" s="31">
        <f>Données!Z291</f>
        <v>202</v>
      </c>
      <c r="D291" s="225">
        <f>Ecrêtage!E291</f>
        <v>22.07628468402396</v>
      </c>
      <c r="E291" s="225">
        <f t="shared" si="17"/>
        <v>26.394477928887753</v>
      </c>
      <c r="F291" s="225">
        <f>+Données!X291</f>
        <v>81</v>
      </c>
      <c r="G291" s="352">
        <f t="shared" si="18"/>
        <v>-116603.94092556459</v>
      </c>
      <c r="H291" s="160">
        <f t="shared" si="19"/>
        <v>1.1990202463003614</v>
      </c>
      <c r="I291" s="42">
        <f t="shared" si="20"/>
        <v>-139810.48596816324</v>
      </c>
    </row>
    <row r="292" spans="1:9" x14ac:dyDescent="0.25">
      <c r="A292" s="38">
        <f>Données!A292</f>
        <v>5924</v>
      </c>
      <c r="B292" s="27" t="str">
        <f>Données!B292</f>
        <v>Orges</v>
      </c>
      <c r="C292" s="31">
        <f>Données!Z292</f>
        <v>407</v>
      </c>
      <c r="D292" s="225">
        <f>Ecrêtage!E292</f>
        <v>28.593592203997606</v>
      </c>
      <c r="E292" s="225">
        <f t="shared" si="17"/>
        <v>19.877170408914107</v>
      </c>
      <c r="F292" s="225">
        <f>+Données!X292</f>
        <v>74</v>
      </c>
      <c r="G292" s="352">
        <f t="shared" si="18"/>
        <v>-161638.3669614323</v>
      </c>
      <c r="H292" s="160">
        <f t="shared" si="19"/>
        <v>1.0954012126694659</v>
      </c>
      <c r="I292" s="42">
        <f t="shared" si="20"/>
        <v>-177058.86318346506</v>
      </c>
    </row>
    <row r="293" spans="1:9" x14ac:dyDescent="0.25">
      <c r="A293" s="38">
        <f>Données!A293</f>
        <v>5925</v>
      </c>
      <c r="B293" s="27" t="str">
        <f>Données!B293</f>
        <v>Orzens</v>
      </c>
      <c r="C293" s="31">
        <f>Données!Z293</f>
        <v>212</v>
      </c>
      <c r="D293" s="225">
        <f>Ecrêtage!E293</f>
        <v>24.79120790542154</v>
      </c>
      <c r="E293" s="225">
        <f t="shared" si="17"/>
        <v>23.679554707490173</v>
      </c>
      <c r="F293" s="225">
        <f>+Données!X293</f>
        <v>79</v>
      </c>
      <c r="G293" s="352">
        <f t="shared" si="18"/>
        <v>-107077.99920508226</v>
      </c>
      <c r="H293" s="160">
        <f t="shared" si="19"/>
        <v>1.1694148081201055</v>
      </c>
      <c r="I293" s="42">
        <f t="shared" si="20"/>
        <v>-125218.59789429608</v>
      </c>
    </row>
    <row r="294" spans="1:9" x14ac:dyDescent="0.25">
      <c r="A294" s="38">
        <f>Données!A294</f>
        <v>5926</v>
      </c>
      <c r="B294" s="27" t="str">
        <f>Données!B294</f>
        <v>Pomy</v>
      </c>
      <c r="C294" s="31">
        <f>Données!Z294</f>
        <v>868</v>
      </c>
      <c r="D294" s="225">
        <f>Ecrêtage!E294</f>
        <v>30.855622282079569</v>
      </c>
      <c r="E294" s="225">
        <f t="shared" si="17"/>
        <v>17.615140330832144</v>
      </c>
      <c r="F294" s="225">
        <f>+Données!X294</f>
        <v>71</v>
      </c>
      <c r="G294" s="352">
        <f t="shared" si="18"/>
        <v>-293108.18444330135</v>
      </c>
      <c r="H294" s="160">
        <f t="shared" si="19"/>
        <v>1.0509930553990823</v>
      </c>
      <c r="I294" s="42">
        <f t="shared" si="20"/>
        <v>-308054.66633054306</v>
      </c>
    </row>
    <row r="295" spans="1:9" x14ac:dyDescent="0.25">
      <c r="A295" s="38">
        <f>Données!A295</f>
        <v>5928</v>
      </c>
      <c r="B295" s="27" t="str">
        <f>Données!B295</f>
        <v>Rovray</v>
      </c>
      <c r="C295" s="31">
        <f>Données!Z295</f>
        <v>197</v>
      </c>
      <c r="D295" s="225">
        <f>Ecrêtage!E295</f>
        <v>25.865581626495334</v>
      </c>
      <c r="E295" s="225">
        <f t="shared" si="17"/>
        <v>22.605180986416379</v>
      </c>
      <c r="F295" s="225">
        <f>+Données!X295</f>
        <v>71.5</v>
      </c>
      <c r="G295" s="352">
        <f t="shared" si="18"/>
        <v>-85969.424731725332</v>
      </c>
      <c r="H295" s="160">
        <f t="shared" si="19"/>
        <v>1.0583944149441462</v>
      </c>
      <c r="I295" s="42">
        <f t="shared" si="20"/>
        <v>-90989.558992019243</v>
      </c>
    </row>
    <row r="296" spans="1:9" x14ac:dyDescent="0.25">
      <c r="A296" s="38">
        <f>Données!A296</f>
        <v>5929</v>
      </c>
      <c r="B296" s="27" t="str">
        <f>Données!B296</f>
        <v>Suchy</v>
      </c>
      <c r="C296" s="31">
        <f>Données!Z296</f>
        <v>671</v>
      </c>
      <c r="D296" s="225">
        <f>Ecrêtage!E296</f>
        <v>32.195338088141362</v>
      </c>
      <c r="E296" s="225">
        <f t="shared" si="17"/>
        <v>16.275424524770351</v>
      </c>
      <c r="F296" s="225">
        <f>+Données!X296</f>
        <v>70</v>
      </c>
      <c r="G296" s="352">
        <f t="shared" si="18"/>
        <v>-206403.30628068515</v>
      </c>
      <c r="H296" s="160">
        <f t="shared" si="19"/>
        <v>1.0361903363089542</v>
      </c>
      <c r="I296" s="42">
        <f t="shared" si="20"/>
        <v>-213873.11135026324</v>
      </c>
    </row>
    <row r="297" spans="1:9" x14ac:dyDescent="0.25">
      <c r="A297" s="38">
        <f>Données!A297</f>
        <v>5930</v>
      </c>
      <c r="B297" s="27" t="str">
        <f>Données!B297</f>
        <v>Suscévaz</v>
      </c>
      <c r="C297" s="31">
        <f>Données!Z297</f>
        <v>220</v>
      </c>
      <c r="D297" s="225">
        <f>Ecrêtage!E297</f>
        <v>26.132568813131311</v>
      </c>
      <c r="E297" s="225">
        <f t="shared" si="17"/>
        <v>22.338193799780402</v>
      </c>
      <c r="F297" s="225">
        <f>+Données!X297</f>
        <v>72</v>
      </c>
      <c r="G297" s="352">
        <f t="shared" si="18"/>
        <v>-95535.987242900825</v>
      </c>
      <c r="H297" s="160">
        <f t="shared" si="19"/>
        <v>1.0657957744892101</v>
      </c>
      <c r="I297" s="42">
        <f t="shared" si="20"/>
        <v>-101821.85151513878</v>
      </c>
    </row>
    <row r="298" spans="1:9" x14ac:dyDescent="0.25">
      <c r="A298" s="38">
        <f>Données!A298</f>
        <v>5931</v>
      </c>
      <c r="B298" s="27" t="str">
        <f>Données!B298</f>
        <v>Treycovagnes</v>
      </c>
      <c r="C298" s="31">
        <f>Données!Z298</f>
        <v>520</v>
      </c>
      <c r="D298" s="225">
        <f>Ecrêtage!E298</f>
        <v>31.359122051282043</v>
      </c>
      <c r="E298" s="225">
        <f t="shared" si="17"/>
        <v>17.11164056162967</v>
      </c>
      <c r="F298" s="225">
        <f>+Données!X298</f>
        <v>75</v>
      </c>
      <c r="G298" s="352">
        <f t="shared" si="18"/>
        <v>-180185.57511396043</v>
      </c>
      <c r="H298" s="160">
        <f t="shared" si="19"/>
        <v>1.1102039317595938</v>
      </c>
      <c r="I298" s="42">
        <f t="shared" si="20"/>
        <v>-200042.73393788247</v>
      </c>
    </row>
    <row r="299" spans="1:9" x14ac:dyDescent="0.25">
      <c r="A299" s="38">
        <f>Données!A299</f>
        <v>5932</v>
      </c>
      <c r="B299" s="27" t="str">
        <f>Données!B299</f>
        <v>Ursins</v>
      </c>
      <c r="C299" s="31">
        <f>Données!Z299</f>
        <v>230</v>
      </c>
      <c r="D299" s="225">
        <f>Ecrêtage!E299</f>
        <v>34.5462347826087</v>
      </c>
      <c r="E299" s="225">
        <f t="shared" si="17"/>
        <v>13.924527830303013</v>
      </c>
      <c r="F299" s="225">
        <f>+Données!X299</f>
        <v>75</v>
      </c>
      <c r="G299" s="352">
        <f t="shared" si="18"/>
        <v>-64853.488369636289</v>
      </c>
      <c r="H299" s="160">
        <f t="shared" si="19"/>
        <v>1.1102039317595938</v>
      </c>
      <c r="I299" s="42">
        <f t="shared" si="20"/>
        <v>-72000.597776295297</v>
      </c>
    </row>
    <row r="300" spans="1:9" x14ac:dyDescent="0.25">
      <c r="A300" s="38">
        <f>Données!A300</f>
        <v>5933</v>
      </c>
      <c r="B300" s="27" t="str">
        <f>Données!B300</f>
        <v>Valeyres-sous-Montagny</v>
      </c>
      <c r="C300" s="31">
        <f>Données!Z300</f>
        <v>703</v>
      </c>
      <c r="D300" s="225">
        <f>Ecrêtage!E300</f>
        <v>33.397318079557721</v>
      </c>
      <c r="E300" s="225">
        <f t="shared" si="17"/>
        <v>15.073444533353992</v>
      </c>
      <c r="F300" s="225">
        <f>+Données!X300</f>
        <v>70.5</v>
      </c>
      <c r="G300" s="352">
        <f t="shared" si="18"/>
        <v>-201706.88073475246</v>
      </c>
      <c r="H300" s="160">
        <f t="shared" si="19"/>
        <v>1.0435916958540181</v>
      </c>
      <c r="I300" s="42">
        <f t="shared" si="20"/>
        <v>-210499.62573140449</v>
      </c>
    </row>
    <row r="301" spans="1:9" x14ac:dyDescent="0.25">
      <c r="A301" s="38">
        <f>Données!A301</f>
        <v>5934</v>
      </c>
      <c r="B301" s="27" t="str">
        <f>Données!B301</f>
        <v>Valeyres-sous-Ursins</v>
      </c>
      <c r="C301" s="31">
        <f>Données!Z301</f>
        <v>241</v>
      </c>
      <c r="D301" s="225">
        <f>Ecrêtage!E301</f>
        <v>69.658032548364488</v>
      </c>
      <c r="E301" s="225">
        <f t="shared" si="17"/>
        <v>0</v>
      </c>
      <c r="F301" s="225">
        <f>+Données!X301</f>
        <v>77</v>
      </c>
      <c r="G301" s="352">
        <f t="shared" si="18"/>
        <v>0</v>
      </c>
      <c r="H301" s="160">
        <f t="shared" si="19"/>
        <v>1.1398093699398497</v>
      </c>
      <c r="I301" s="42">
        <f t="shared" si="20"/>
        <v>0</v>
      </c>
    </row>
    <row r="302" spans="1:9" x14ac:dyDescent="0.25">
      <c r="A302" s="38">
        <f>Données!A302</f>
        <v>5935</v>
      </c>
      <c r="B302" s="27" t="str">
        <f>Données!B302</f>
        <v>Villars-Epeney</v>
      </c>
      <c r="C302" s="31">
        <f>Données!Z302</f>
        <v>92</v>
      </c>
      <c r="D302" s="225">
        <f>Ecrêtage!E302</f>
        <v>73.091454603580573</v>
      </c>
      <c r="E302" s="225">
        <f t="shared" si="17"/>
        <v>0</v>
      </c>
      <c r="F302" s="225">
        <f>+Données!X302</f>
        <v>68</v>
      </c>
      <c r="G302" s="352">
        <f t="shared" si="18"/>
        <v>0</v>
      </c>
      <c r="H302" s="160">
        <f t="shared" si="19"/>
        <v>1.0065848981286984</v>
      </c>
      <c r="I302" s="42">
        <f t="shared" si="20"/>
        <v>0</v>
      </c>
    </row>
    <row r="303" spans="1:9" x14ac:dyDescent="0.25">
      <c r="A303" s="38">
        <f>Données!A303</f>
        <v>5937</v>
      </c>
      <c r="B303" s="27" t="str">
        <f>Données!B303</f>
        <v>Vugelles-La Mothe</v>
      </c>
      <c r="C303" s="31">
        <f>Données!Z303</f>
        <v>137</v>
      </c>
      <c r="D303" s="225">
        <f>Ecrêtage!E303</f>
        <v>24.407986444212725</v>
      </c>
      <c r="E303" s="225">
        <f t="shared" si="17"/>
        <v>24.062776168698988</v>
      </c>
      <c r="F303" s="225">
        <f>+Données!X303</f>
        <v>70</v>
      </c>
      <c r="G303" s="352">
        <f t="shared" si="18"/>
        <v>-62305.746333612304</v>
      </c>
      <c r="H303" s="160">
        <f t="shared" si="19"/>
        <v>1.0361903363089542</v>
      </c>
      <c r="I303" s="42">
        <f t="shared" si="20"/>
        <v>-64560.612247406119</v>
      </c>
    </row>
    <row r="304" spans="1:9" x14ac:dyDescent="0.25">
      <c r="A304" s="38">
        <f>Données!A304</f>
        <v>5938</v>
      </c>
      <c r="B304" s="27" t="str">
        <f>Données!B304</f>
        <v>Yverdon-les-Bains</v>
      </c>
      <c r="C304" s="31">
        <f>Données!Z304</f>
        <v>29877</v>
      </c>
      <c r="D304" s="225">
        <f>Ecrêtage!E304</f>
        <v>26.126943785074364</v>
      </c>
      <c r="E304" s="225">
        <f t="shared" si="17"/>
        <v>22.34381882783735</v>
      </c>
      <c r="F304" s="225">
        <f>+Données!X304</f>
        <v>75</v>
      </c>
      <c r="G304" s="352">
        <f t="shared" si="18"/>
        <v>-13518217.071165755</v>
      </c>
      <c r="H304" s="160">
        <f t="shared" si="19"/>
        <v>1.1102039317595938</v>
      </c>
      <c r="I304" s="42">
        <f t="shared" si="20"/>
        <v>-15007977.742787881</v>
      </c>
    </row>
    <row r="305" spans="1:9" x14ac:dyDescent="0.25">
      <c r="A305" s="38">
        <f>Données!A305</f>
        <v>5939</v>
      </c>
      <c r="B305" s="27" t="str">
        <f>Données!B305</f>
        <v>Yvonand</v>
      </c>
      <c r="C305" s="31">
        <f>Données!Z305</f>
        <v>3531</v>
      </c>
      <c r="D305" s="225">
        <f>Ecrêtage!E305</f>
        <v>27.582653144080499</v>
      </c>
      <c r="E305" s="225">
        <f t="shared" si="17"/>
        <v>20.888109468831214</v>
      </c>
      <c r="F305" s="225">
        <f>+Données!X305</f>
        <v>71.5</v>
      </c>
      <c r="G305" s="382">
        <f t="shared" si="18"/>
        <v>-1423857.9300874225</v>
      </c>
      <c r="H305" s="160">
        <f t="shared" si="19"/>
        <v>1.0583944149441462</v>
      </c>
      <c r="I305" s="42">
        <f t="shared" si="20"/>
        <v>-1507003.2808784605</v>
      </c>
    </row>
    <row r="306" spans="1:9" x14ac:dyDescent="0.25">
      <c r="A306" s="25"/>
      <c r="B306" s="74">
        <f>COUNTA(B6:B305)</f>
        <v>300</v>
      </c>
      <c r="C306" s="9">
        <f>SUM(C6:C305)</f>
        <v>830791</v>
      </c>
      <c r="D306" s="17">
        <f>Ecrêtage!E306</f>
        <v>48.470762612911713</v>
      </c>
      <c r="E306" s="17"/>
      <c r="F306" s="161">
        <f>VPI!Q306</f>
        <v>67.55515617849629</v>
      </c>
      <c r="G306" s="305">
        <f>SUM(G6:G305)</f>
        <v>-131460059.43439461</v>
      </c>
      <c r="H306" s="350">
        <f>F306/F$306</f>
        <v>1</v>
      </c>
      <c r="I306" s="30">
        <f>SUM(I6:I305)</f>
        <v>-141027623.05217063</v>
      </c>
    </row>
  </sheetData>
  <sheetProtection sheet="1" objects="1" scenarios="1"/>
  <mergeCells count="8">
    <mergeCell ref="A4:A5"/>
    <mergeCell ref="I4:I5"/>
    <mergeCell ref="H4:H5"/>
    <mergeCell ref="F4:F5"/>
    <mergeCell ref="G4:G5"/>
    <mergeCell ref="B4:B5"/>
    <mergeCell ref="C4:C5"/>
    <mergeCell ref="D4:D5"/>
  </mergeCells>
  <phoneticPr fontId="20" type="noConversion"/>
  <hyperlinks>
    <hyperlink ref="E1" location="Population!A1" display="← Précédent" xr:uid="{FA7D792E-F931-4B28-A994-C274FA1E13DC}"/>
    <hyperlink ref="G1" location="DT!A1" display="Suivant →" xr:uid="{42740692-23A6-4EE7-A698-07672C5336C9}"/>
    <hyperlink ref="F1" location="'Table des matières'!A1" display="Table des             matières" xr:uid="{1F6BF085-4168-4E4A-85BB-BC1DC2C07F2A}"/>
  </hyperlinks>
  <pageMargins left="0.78740157499999996" right="0.78740157499999996" top="0.984251969" bottom="0.984251969" header="0.4921259845" footer="0.4921259845"/>
  <pageSetup paperSize="9" orientation="portrait" horizontalDpi="4294967292" verticalDpi="4294967292"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theme="6" tint="0.39997558519241921"/>
  </sheetPr>
  <dimension ref="A1:AL308"/>
  <sheetViews>
    <sheetView zoomScaleNormal="100" workbookViewId="0">
      <pane ySplit="5" topLeftCell="A6" activePane="bottomLeft" state="frozen"/>
      <selection activeCell="D32" sqref="D32"/>
      <selection pane="bottomLeft" activeCell="A6" sqref="A6"/>
    </sheetView>
  </sheetViews>
  <sheetFormatPr baseColWidth="10" defaultColWidth="10.75" defaultRowHeight="15" x14ac:dyDescent="0.25"/>
  <cols>
    <col min="1" max="1" width="7.25" style="11" customWidth="1"/>
    <col min="2" max="2" width="20.25" style="11" bestFit="1" customWidth="1"/>
    <col min="3" max="3" width="11.375" style="5" bestFit="1" customWidth="1"/>
    <col min="4" max="4" width="3.625" style="221" customWidth="1"/>
    <col min="5" max="5" width="10.75" style="5" bestFit="1" customWidth="1"/>
    <col min="6" max="6" width="12.5" style="5" customWidth="1"/>
    <col min="7" max="7" width="13.75" style="5" customWidth="1"/>
    <col min="8" max="8" width="13.25" style="5" customWidth="1"/>
    <col min="9" max="9" width="3.625" style="221" customWidth="1"/>
    <col min="10" max="10" width="9.875" style="5" bestFit="1" customWidth="1"/>
    <col min="11" max="11" width="12.5" style="5" customWidth="1"/>
    <col min="12" max="12" width="13" style="5" bestFit="1" customWidth="1"/>
    <col min="13" max="13" width="13.25" style="5" bestFit="1" customWidth="1"/>
    <col min="14" max="14" width="3.625" style="221" customWidth="1"/>
    <col min="15" max="15" width="13.875" style="5" customWidth="1"/>
    <col min="16" max="16" width="11.25" style="13" bestFit="1" customWidth="1"/>
    <col min="17" max="17" width="2.5" style="11" customWidth="1"/>
    <col min="18" max="18" width="10.875" style="202" bestFit="1" customWidth="1"/>
    <col min="19" max="19" width="11.75" style="202" bestFit="1" customWidth="1"/>
    <col min="20" max="20" width="11.125" style="202" bestFit="1" customWidth="1"/>
    <col min="21" max="22" width="10.625" style="202" bestFit="1" customWidth="1"/>
    <col min="23" max="23" width="12.75" style="202" bestFit="1" customWidth="1"/>
    <col min="24" max="38" width="10.75" style="202"/>
    <col min="39" max="16384" width="10.75" style="11"/>
  </cols>
  <sheetData>
    <row r="1" spans="1:38" s="267" customFormat="1" ht="26.25" x14ac:dyDescent="0.4">
      <c r="A1" s="254" t="s">
        <v>408</v>
      </c>
      <c r="B1" s="259"/>
      <c r="C1" s="264"/>
      <c r="D1" s="265"/>
      <c r="E1" s="264"/>
      <c r="G1" s="374" t="s">
        <v>405</v>
      </c>
      <c r="H1" s="281" t="s">
        <v>397</v>
      </c>
      <c r="I1" s="773" t="s">
        <v>406</v>
      </c>
      <c r="J1" s="773"/>
      <c r="K1" s="264"/>
      <c r="O1" s="264"/>
      <c r="P1" s="266"/>
      <c r="Q1" s="261"/>
    </row>
    <row r="2" spans="1:38" s="33" customFormat="1" ht="15.75" x14ac:dyDescent="0.25">
      <c r="A2" s="327" t="str">
        <f>Paramètres!B4</f>
        <v>Décompte 2022</v>
      </c>
      <c r="B2" s="32"/>
      <c r="C2" s="34"/>
      <c r="D2" s="165"/>
      <c r="E2" s="34"/>
      <c r="F2" s="34"/>
      <c r="G2" s="34"/>
      <c r="H2" s="34"/>
      <c r="I2" s="165"/>
      <c r="J2" s="34"/>
      <c r="K2" s="34"/>
      <c r="L2" s="34"/>
      <c r="M2" s="34"/>
      <c r="N2" s="165"/>
      <c r="O2" s="34"/>
      <c r="P2" s="80"/>
      <c r="Q2" s="202"/>
    </row>
    <row r="3" spans="1:38" s="202" customFormat="1" ht="25.5" customHeight="1" x14ac:dyDescent="0.25">
      <c r="C3" s="5"/>
      <c r="D3" s="221"/>
      <c r="E3" s="5"/>
      <c r="F3" s="5"/>
      <c r="G3" s="5"/>
      <c r="H3" s="5"/>
      <c r="I3" s="221"/>
      <c r="J3" s="5"/>
      <c r="K3" s="5"/>
      <c r="L3" s="5"/>
      <c r="M3" s="5"/>
      <c r="N3" s="221"/>
      <c r="O3" s="5"/>
      <c r="P3" s="222"/>
    </row>
    <row r="4" spans="1:38" ht="60" customHeight="1" x14ac:dyDescent="0.25">
      <c r="A4" s="762" t="s">
        <v>44</v>
      </c>
      <c r="B4" s="762" t="s">
        <v>84</v>
      </c>
      <c r="C4" s="768" t="s">
        <v>496</v>
      </c>
      <c r="D4" s="310"/>
      <c r="E4" s="768" t="s">
        <v>431</v>
      </c>
      <c r="F4" s="768" t="s">
        <v>43</v>
      </c>
      <c r="G4" s="280" t="s">
        <v>256</v>
      </c>
      <c r="H4" s="280" t="s">
        <v>509</v>
      </c>
      <c r="I4" s="310"/>
      <c r="J4" s="768" t="s">
        <v>430</v>
      </c>
      <c r="K4" s="768" t="s">
        <v>429</v>
      </c>
      <c r="L4" s="280" t="s">
        <v>190</v>
      </c>
      <c r="M4" s="280" t="s">
        <v>510</v>
      </c>
      <c r="N4" s="310"/>
      <c r="O4" s="768" t="s">
        <v>511</v>
      </c>
      <c r="P4" s="202"/>
      <c r="Q4" s="202"/>
      <c r="AF4" s="11"/>
      <c r="AG4" s="11"/>
      <c r="AH4" s="11"/>
      <c r="AI4" s="11"/>
      <c r="AJ4" s="11"/>
      <c r="AK4" s="11"/>
      <c r="AL4" s="11"/>
    </row>
    <row r="5" spans="1:38" x14ac:dyDescent="0.25">
      <c r="A5" s="763"/>
      <c r="B5" s="764"/>
      <c r="C5" s="772"/>
      <c r="D5" s="310"/>
      <c r="E5" s="772"/>
      <c r="F5" s="769"/>
      <c r="G5" s="306">
        <f>Paramètres!B40</f>
        <v>8</v>
      </c>
      <c r="H5" s="307">
        <f>+Paramètres!C40</f>
        <v>0.75</v>
      </c>
      <c r="I5" s="311"/>
      <c r="J5" s="772"/>
      <c r="K5" s="772"/>
      <c r="L5" s="306">
        <f>Paramètres!B41</f>
        <v>1</v>
      </c>
      <c r="M5" s="309">
        <f>+Paramètres!C41</f>
        <v>0.75</v>
      </c>
      <c r="N5" s="311"/>
      <c r="O5" s="769"/>
      <c r="P5" s="202"/>
      <c r="Q5" s="202"/>
      <c r="AF5" s="11"/>
      <c r="AG5" s="11"/>
      <c r="AH5" s="11"/>
      <c r="AI5" s="11"/>
      <c r="AJ5" s="11"/>
      <c r="AK5" s="11"/>
      <c r="AL5" s="11"/>
    </row>
    <row r="6" spans="1:38" x14ac:dyDescent="0.25">
      <c r="A6" s="36">
        <f>+Données!A6</f>
        <v>5401</v>
      </c>
      <c r="B6" s="229" t="str">
        <f>+Données!B6</f>
        <v>Aigle</v>
      </c>
      <c r="C6" s="219">
        <f>+Ecrêtage!C6</f>
        <v>294634.51575757569</v>
      </c>
      <c r="D6" s="218"/>
      <c r="E6" s="219">
        <f>Données!AF6+Données!AG6+Données!AH6</f>
        <v>7191856</v>
      </c>
      <c r="F6" s="164">
        <f t="shared" ref="F6" si="0">+C6*$G$5</f>
        <v>2357076.1260606055</v>
      </c>
      <c r="G6" s="41">
        <f>IF(E6&gt;F6,E6-F6,0)</f>
        <v>4834779.873939395</v>
      </c>
      <c r="H6" s="289">
        <f>-G6*H$5</f>
        <v>-3626084.9054545462</v>
      </c>
      <c r="J6" s="41">
        <f>Données!AN6</f>
        <v>520347</v>
      </c>
      <c r="K6" s="199">
        <f t="shared" ref="K6" si="1">C6*L$5</f>
        <v>294634.51575757569</v>
      </c>
      <c r="L6" s="50">
        <f>IF(J6&gt;K6,J6-K6,0)</f>
        <v>225712.48424242431</v>
      </c>
      <c r="M6" s="304">
        <f>-L6*M$5</f>
        <v>-169284.36318181822</v>
      </c>
      <c r="O6" s="64">
        <f t="shared" ref="O6" si="2">M6+H6</f>
        <v>-3795369.2686363645</v>
      </c>
      <c r="P6" s="247"/>
      <c r="Q6" s="211"/>
      <c r="R6" s="211"/>
      <c r="S6" s="211"/>
      <c r="T6" s="211"/>
      <c r="U6" s="211"/>
      <c r="AF6" s="11"/>
      <c r="AG6" s="11"/>
      <c r="AH6" s="11"/>
      <c r="AI6" s="11"/>
      <c r="AJ6" s="11"/>
      <c r="AK6" s="11"/>
      <c r="AL6" s="11"/>
    </row>
    <row r="7" spans="1:38" s="202" customFormat="1" x14ac:dyDescent="0.25">
      <c r="A7" s="38">
        <f>+Données!A7</f>
        <v>5402</v>
      </c>
      <c r="B7" s="229" t="str">
        <f>+Données!B7</f>
        <v>Bex</v>
      </c>
      <c r="C7" s="220">
        <f>+Ecrêtage!C7</f>
        <v>191961.18746478873</v>
      </c>
      <c r="D7" s="218"/>
      <c r="E7" s="220">
        <f>Données!AF7+Données!AG7+Données!AH7</f>
        <v>4965718</v>
      </c>
      <c r="F7" s="218">
        <f t="shared" ref="F7:F70" si="3">+C7*$G$5</f>
        <v>1535689.4997183098</v>
      </c>
      <c r="G7" s="8">
        <f t="shared" ref="G7:G70" si="4">IF(E7&gt;F7,E7-F7,0)</f>
        <v>3430028.5002816902</v>
      </c>
      <c r="H7" s="289">
        <f t="shared" ref="H7:H70" si="5">-G7*H$5</f>
        <v>-2572521.3752112677</v>
      </c>
      <c r="I7" s="221"/>
      <c r="J7" s="8">
        <f>Données!AN7</f>
        <v>630027</v>
      </c>
      <c r="K7" s="198">
        <f t="shared" ref="K7:K70" si="6">C7*L$5</f>
        <v>191961.18746478873</v>
      </c>
      <c r="L7" s="221">
        <f t="shared" ref="L7:L70" si="7">IF(J7&gt;K7,J7-K7,0)</f>
        <v>438065.81253521127</v>
      </c>
      <c r="M7" s="289">
        <f t="shared" ref="M7:M70" si="8">-L7*M$5</f>
        <v>-328549.35940140847</v>
      </c>
      <c r="N7" s="221"/>
      <c r="O7" s="42">
        <f t="shared" ref="O7:O70" si="9">M7+H7</f>
        <v>-2901070.7346126763</v>
      </c>
      <c r="P7" s="247"/>
      <c r="Q7" s="211"/>
      <c r="R7" s="211"/>
      <c r="S7" s="211"/>
      <c r="T7" s="211"/>
      <c r="U7" s="211"/>
    </row>
    <row r="8" spans="1:38" s="202" customFormat="1" x14ac:dyDescent="0.25">
      <c r="A8" s="38">
        <f>+Données!A8</f>
        <v>5403</v>
      </c>
      <c r="B8" s="229" t="str">
        <f>+Données!B8</f>
        <v>Chessel</v>
      </c>
      <c r="C8" s="220">
        <f>+Ecrêtage!C8</f>
        <v>13521.430615384616</v>
      </c>
      <c r="D8" s="218"/>
      <c r="E8" s="220">
        <f>Données!AF8+Données!AG8+Données!AH8</f>
        <v>101326</v>
      </c>
      <c r="F8" s="218">
        <f t="shared" si="3"/>
        <v>108171.44492307692</v>
      </c>
      <c r="G8" s="8">
        <f t="shared" si="4"/>
        <v>0</v>
      </c>
      <c r="H8" s="289">
        <f t="shared" si="5"/>
        <v>0</v>
      </c>
      <c r="I8" s="221"/>
      <c r="J8" s="8">
        <f>Données!AN8</f>
        <v>44204</v>
      </c>
      <c r="K8" s="198">
        <f t="shared" si="6"/>
        <v>13521.430615384616</v>
      </c>
      <c r="L8" s="221">
        <f t="shared" si="7"/>
        <v>30682.569384615384</v>
      </c>
      <c r="M8" s="289">
        <f t="shared" si="8"/>
        <v>-23011.927038461537</v>
      </c>
      <c r="N8" s="221"/>
      <c r="O8" s="42">
        <f t="shared" si="9"/>
        <v>-23011.927038461537</v>
      </c>
      <c r="P8" s="247"/>
      <c r="Q8" s="211"/>
      <c r="R8" s="211"/>
      <c r="S8" s="211"/>
      <c r="T8" s="211"/>
      <c r="U8" s="211"/>
    </row>
    <row r="9" spans="1:38" s="202" customFormat="1" x14ac:dyDescent="0.25">
      <c r="A9" s="38">
        <f>+Données!A9</f>
        <v>5404</v>
      </c>
      <c r="B9" s="229" t="str">
        <f>+Données!B9</f>
        <v>Corbeyrier</v>
      </c>
      <c r="C9" s="220">
        <f>+Ecrêtage!C9</f>
        <v>11663.247882882884</v>
      </c>
      <c r="D9" s="218"/>
      <c r="E9" s="220">
        <f>Données!AF9+Données!AG9+Données!AH9</f>
        <v>328154</v>
      </c>
      <c r="F9" s="218">
        <f t="shared" si="3"/>
        <v>93305.983063063075</v>
      </c>
      <c r="G9" s="8">
        <f t="shared" si="4"/>
        <v>234848.01693693694</v>
      </c>
      <c r="H9" s="289">
        <f t="shared" si="5"/>
        <v>-176136.01270270272</v>
      </c>
      <c r="I9" s="221"/>
      <c r="J9" s="8">
        <f>Données!AN9</f>
        <v>33852</v>
      </c>
      <c r="K9" s="198">
        <f t="shared" si="6"/>
        <v>11663.247882882884</v>
      </c>
      <c r="L9" s="221">
        <f t="shared" si="7"/>
        <v>22188.752117117117</v>
      </c>
      <c r="M9" s="289">
        <f t="shared" si="8"/>
        <v>-16641.56408783784</v>
      </c>
      <c r="N9" s="221"/>
      <c r="O9" s="42">
        <f t="shared" si="9"/>
        <v>-192777.57679054057</v>
      </c>
      <c r="P9" s="247"/>
      <c r="Q9" s="211"/>
      <c r="R9" s="211"/>
      <c r="S9" s="211"/>
      <c r="T9" s="211"/>
      <c r="U9" s="211"/>
    </row>
    <row r="10" spans="1:38" s="202" customFormat="1" x14ac:dyDescent="0.25">
      <c r="A10" s="38">
        <f>+Données!A10</f>
        <v>5405</v>
      </c>
      <c r="B10" s="229" t="str">
        <f>+Données!B10</f>
        <v>Gryon</v>
      </c>
      <c r="C10" s="220">
        <f>+Ecrêtage!C10</f>
        <v>73286.214467120197</v>
      </c>
      <c r="D10" s="218"/>
      <c r="E10" s="220">
        <f>Données!AF10+Données!AG10+Données!AH10</f>
        <v>1390377</v>
      </c>
      <c r="F10" s="218">
        <f t="shared" si="3"/>
        <v>586289.71573696157</v>
      </c>
      <c r="G10" s="8">
        <f t="shared" si="4"/>
        <v>804087.28426303843</v>
      </c>
      <c r="H10" s="289">
        <f t="shared" si="5"/>
        <v>-603065.46319727879</v>
      </c>
      <c r="I10" s="221"/>
      <c r="J10" s="8">
        <f>Données!AN10</f>
        <v>12343</v>
      </c>
      <c r="K10" s="198">
        <f t="shared" si="6"/>
        <v>73286.214467120197</v>
      </c>
      <c r="L10" s="221">
        <f t="shared" si="7"/>
        <v>0</v>
      </c>
      <c r="M10" s="289">
        <f t="shared" si="8"/>
        <v>0</v>
      </c>
      <c r="N10" s="221"/>
      <c r="O10" s="42">
        <f t="shared" si="9"/>
        <v>-603065.46319727879</v>
      </c>
      <c r="P10" s="247"/>
      <c r="Q10" s="211"/>
      <c r="R10" s="211"/>
      <c r="S10" s="211"/>
      <c r="T10" s="211"/>
      <c r="U10" s="211"/>
    </row>
    <row r="11" spans="1:38" x14ac:dyDescent="0.25">
      <c r="A11" s="38">
        <f>+Données!A11</f>
        <v>5406</v>
      </c>
      <c r="B11" s="229" t="str">
        <f>+Données!B11</f>
        <v>Lavey-Morcles</v>
      </c>
      <c r="C11" s="220">
        <f>+Ecrêtage!C11</f>
        <v>22111.529381387842</v>
      </c>
      <c r="D11" s="218"/>
      <c r="E11" s="220">
        <f>Données!AF11+Données!AG11+Données!AH11</f>
        <v>402109</v>
      </c>
      <c r="F11" s="218">
        <f t="shared" si="3"/>
        <v>176892.23505110273</v>
      </c>
      <c r="G11" s="8">
        <f t="shared" si="4"/>
        <v>225216.76494889727</v>
      </c>
      <c r="H11" s="289">
        <f t="shared" si="5"/>
        <v>-168912.57371167294</v>
      </c>
      <c r="J11" s="8">
        <f>Données!AN11</f>
        <v>24861</v>
      </c>
      <c r="K11" s="198">
        <f t="shared" si="6"/>
        <v>22111.529381387842</v>
      </c>
      <c r="L11" s="12">
        <f t="shared" si="7"/>
        <v>2749.4706186121584</v>
      </c>
      <c r="M11" s="289">
        <f t="shared" si="8"/>
        <v>-2062.1029639591188</v>
      </c>
      <c r="O11" s="42">
        <f t="shared" si="9"/>
        <v>-170974.67667563207</v>
      </c>
      <c r="P11" s="247"/>
      <c r="Q11" s="211"/>
      <c r="R11" s="211"/>
      <c r="S11" s="211"/>
      <c r="T11" s="211"/>
      <c r="U11" s="211"/>
      <c r="AF11" s="11"/>
      <c r="AG11" s="11"/>
      <c r="AH11" s="11"/>
      <c r="AI11" s="11"/>
      <c r="AJ11" s="11"/>
      <c r="AK11" s="11"/>
      <c r="AL11" s="11"/>
    </row>
    <row r="12" spans="1:38" x14ac:dyDescent="0.25">
      <c r="A12" s="38">
        <f>+Données!A12</f>
        <v>5407</v>
      </c>
      <c r="B12" s="229" t="str">
        <f>+Données!B12</f>
        <v>Leysin</v>
      </c>
      <c r="C12" s="220">
        <f>+Ecrêtage!C12</f>
        <v>89841.412521367529</v>
      </c>
      <c r="D12" s="218"/>
      <c r="E12" s="220">
        <f>Données!AF12+Données!AG12+Données!AH12</f>
        <v>2843604</v>
      </c>
      <c r="F12" s="218">
        <f t="shared" si="3"/>
        <v>718731.30017094023</v>
      </c>
      <c r="G12" s="8">
        <f t="shared" si="4"/>
        <v>2124872.6998290597</v>
      </c>
      <c r="H12" s="289">
        <f t="shared" si="5"/>
        <v>-1593654.5248717947</v>
      </c>
      <c r="J12" s="8">
        <f>Données!AN12</f>
        <v>85561</v>
      </c>
      <c r="K12" s="198">
        <f t="shared" si="6"/>
        <v>89841.412521367529</v>
      </c>
      <c r="L12" s="12">
        <f t="shared" si="7"/>
        <v>0</v>
      </c>
      <c r="M12" s="289">
        <f t="shared" si="8"/>
        <v>0</v>
      </c>
      <c r="O12" s="42">
        <f t="shared" si="9"/>
        <v>-1593654.5248717947</v>
      </c>
      <c r="P12" s="247"/>
      <c r="Q12" s="211"/>
      <c r="R12" s="211"/>
      <c r="S12" s="211"/>
      <c r="T12" s="211"/>
      <c r="U12" s="211"/>
      <c r="AF12" s="11"/>
      <c r="AG12" s="11"/>
      <c r="AH12" s="11"/>
      <c r="AI12" s="11"/>
      <c r="AJ12" s="11"/>
      <c r="AK12" s="11"/>
      <c r="AL12" s="11"/>
    </row>
    <row r="13" spans="1:38" x14ac:dyDescent="0.25">
      <c r="A13" s="38">
        <f>+Données!A13</f>
        <v>5408</v>
      </c>
      <c r="B13" s="229" t="str">
        <f>+Données!B13</f>
        <v>Noville</v>
      </c>
      <c r="C13" s="220">
        <f>+Ecrêtage!C13</f>
        <v>41973.380088888902</v>
      </c>
      <c r="D13" s="218"/>
      <c r="E13" s="220">
        <f>Données!AF13+Données!AG13+Données!AH13</f>
        <v>483940</v>
      </c>
      <c r="F13" s="218">
        <f t="shared" si="3"/>
        <v>335787.04071111121</v>
      </c>
      <c r="G13" s="8">
        <f t="shared" si="4"/>
        <v>148152.95928888879</v>
      </c>
      <c r="H13" s="289">
        <f t="shared" si="5"/>
        <v>-111114.71946666659</v>
      </c>
      <c r="J13" s="8">
        <f>Données!AN13</f>
        <v>65637</v>
      </c>
      <c r="K13" s="198">
        <f t="shared" si="6"/>
        <v>41973.380088888902</v>
      </c>
      <c r="L13" s="12">
        <f t="shared" si="7"/>
        <v>23663.619911111098</v>
      </c>
      <c r="M13" s="289">
        <f t="shared" si="8"/>
        <v>-17747.714933333322</v>
      </c>
      <c r="O13" s="42">
        <f t="shared" si="9"/>
        <v>-128862.43439999991</v>
      </c>
      <c r="P13" s="247"/>
      <c r="Q13" s="211"/>
      <c r="R13" s="211"/>
      <c r="S13" s="211"/>
      <c r="T13" s="211"/>
      <c r="U13" s="211"/>
      <c r="AF13" s="11"/>
      <c r="AG13" s="11"/>
      <c r="AH13" s="11"/>
      <c r="AI13" s="11"/>
      <c r="AJ13" s="11"/>
      <c r="AK13" s="11"/>
      <c r="AL13" s="11"/>
    </row>
    <row r="14" spans="1:38" x14ac:dyDescent="0.25">
      <c r="A14" s="38">
        <f>+Données!A14</f>
        <v>5409</v>
      </c>
      <c r="B14" s="229" t="str">
        <f>+Données!B14</f>
        <v>Ollon</v>
      </c>
      <c r="C14" s="220">
        <f>+Ecrêtage!C14</f>
        <v>405938.29721719451</v>
      </c>
      <c r="D14" s="218"/>
      <c r="E14" s="220">
        <f>Données!AF14+Données!AG14+Données!AH14</f>
        <v>7014601.2000000002</v>
      </c>
      <c r="F14" s="218">
        <f t="shared" si="3"/>
        <v>3247506.3777375561</v>
      </c>
      <c r="G14" s="8">
        <f t="shared" si="4"/>
        <v>3767094.8222624441</v>
      </c>
      <c r="H14" s="289">
        <f t="shared" si="5"/>
        <v>-2825321.1166968332</v>
      </c>
      <c r="J14" s="8">
        <f>Données!AN14</f>
        <v>1337615</v>
      </c>
      <c r="K14" s="198">
        <f t="shared" si="6"/>
        <v>405938.29721719451</v>
      </c>
      <c r="L14" s="12">
        <f t="shared" si="7"/>
        <v>931676.70278280554</v>
      </c>
      <c r="M14" s="289">
        <f t="shared" si="8"/>
        <v>-698757.52708710416</v>
      </c>
      <c r="O14" s="42">
        <f t="shared" si="9"/>
        <v>-3524078.6437839372</v>
      </c>
      <c r="P14" s="247"/>
      <c r="Q14" s="211"/>
      <c r="R14" s="211"/>
      <c r="S14" s="211"/>
      <c r="T14" s="211"/>
      <c r="U14" s="211"/>
      <c r="AF14" s="11"/>
      <c r="AG14" s="11"/>
      <c r="AH14" s="11"/>
      <c r="AI14" s="11"/>
      <c r="AJ14" s="11"/>
      <c r="AK14" s="11"/>
      <c r="AL14" s="11"/>
    </row>
    <row r="15" spans="1:38" x14ac:dyDescent="0.25">
      <c r="A15" s="38">
        <f>+Données!A15</f>
        <v>5410</v>
      </c>
      <c r="B15" s="229" t="str">
        <f>+Données!B15</f>
        <v>Ormont-Dessous</v>
      </c>
      <c r="C15" s="220">
        <f>+Ecrêtage!C15</f>
        <v>38413.35632034632</v>
      </c>
      <c r="D15" s="218"/>
      <c r="E15" s="220">
        <f>Données!AF15+Données!AG15+Données!AH15</f>
        <v>1464079</v>
      </c>
      <c r="F15" s="218">
        <f t="shared" si="3"/>
        <v>307306.85056277056</v>
      </c>
      <c r="G15" s="8">
        <f t="shared" si="4"/>
        <v>1156772.1494372294</v>
      </c>
      <c r="H15" s="289">
        <f t="shared" si="5"/>
        <v>-867579.11207792209</v>
      </c>
      <c r="J15" s="8">
        <f>Données!AN15</f>
        <v>90384</v>
      </c>
      <c r="K15" s="198">
        <f t="shared" si="6"/>
        <v>38413.35632034632</v>
      </c>
      <c r="L15" s="12">
        <f t="shared" si="7"/>
        <v>51970.64367965368</v>
      </c>
      <c r="M15" s="289">
        <f t="shared" si="8"/>
        <v>-38977.982759740262</v>
      </c>
      <c r="O15" s="42">
        <f t="shared" si="9"/>
        <v>-906557.0948376623</v>
      </c>
      <c r="P15" s="247"/>
      <c r="Q15" s="211"/>
      <c r="R15" s="211"/>
      <c r="S15" s="211"/>
      <c r="T15" s="211"/>
      <c r="U15" s="211"/>
      <c r="AF15" s="11"/>
      <c r="AG15" s="11"/>
      <c r="AH15" s="11"/>
      <c r="AI15" s="11"/>
      <c r="AJ15" s="11"/>
      <c r="AK15" s="11"/>
      <c r="AL15" s="11"/>
    </row>
    <row r="16" spans="1:38" x14ac:dyDescent="0.25">
      <c r="A16" s="38">
        <f>+Données!A16</f>
        <v>5411</v>
      </c>
      <c r="B16" s="229" t="str">
        <f>+Données!B16</f>
        <v>Ormont-Dessus</v>
      </c>
      <c r="C16" s="220">
        <f>+Ecrêtage!C16</f>
        <v>76161.465657894747</v>
      </c>
      <c r="D16" s="218"/>
      <c r="E16" s="220">
        <f>Données!AF16+Données!AG16+Données!AH16</f>
        <v>1511355</v>
      </c>
      <c r="F16" s="218">
        <f t="shared" si="3"/>
        <v>609291.72526315798</v>
      </c>
      <c r="G16" s="8">
        <f t="shared" si="4"/>
        <v>902063.27473684202</v>
      </c>
      <c r="H16" s="289">
        <f t="shared" si="5"/>
        <v>-676547.45605263149</v>
      </c>
      <c r="J16" s="8">
        <f>Données!AN16</f>
        <v>95299</v>
      </c>
      <c r="K16" s="198">
        <f t="shared" si="6"/>
        <v>76161.465657894747</v>
      </c>
      <c r="L16" s="12">
        <f t="shared" si="7"/>
        <v>19137.534342105253</v>
      </c>
      <c r="M16" s="289">
        <f t="shared" si="8"/>
        <v>-14353.15075657894</v>
      </c>
      <c r="O16" s="42">
        <f t="shared" si="9"/>
        <v>-690900.60680921038</v>
      </c>
      <c r="P16" s="247"/>
      <c r="Q16" s="211"/>
      <c r="R16" s="211"/>
      <c r="S16" s="211"/>
      <c r="T16" s="211"/>
      <c r="U16" s="211"/>
      <c r="AF16" s="11"/>
      <c r="AG16" s="11"/>
      <c r="AH16" s="11"/>
      <c r="AI16" s="11"/>
      <c r="AJ16" s="11"/>
      <c r="AK16" s="11"/>
      <c r="AL16" s="11"/>
    </row>
    <row r="17" spans="1:38" x14ac:dyDescent="0.25">
      <c r="A17" s="38">
        <f>+Données!A17</f>
        <v>5412</v>
      </c>
      <c r="B17" s="229" t="str">
        <f>+Données!B17</f>
        <v>Rennaz</v>
      </c>
      <c r="C17" s="220">
        <f>+Ecrêtage!C17</f>
        <v>32240.440579710143</v>
      </c>
      <c r="D17" s="218"/>
      <c r="E17" s="220">
        <f>Données!AF17+Données!AG17+Données!AH17</f>
        <v>328500</v>
      </c>
      <c r="F17" s="218">
        <f t="shared" si="3"/>
        <v>257923.52463768114</v>
      </c>
      <c r="G17" s="8">
        <f t="shared" si="4"/>
        <v>70576.475362318859</v>
      </c>
      <c r="H17" s="289">
        <f t="shared" si="5"/>
        <v>-52932.356521739144</v>
      </c>
      <c r="J17" s="8">
        <f>Données!AN17</f>
        <v>41740</v>
      </c>
      <c r="K17" s="198">
        <f t="shared" si="6"/>
        <v>32240.440579710143</v>
      </c>
      <c r="L17" s="12">
        <f t="shared" si="7"/>
        <v>9499.5594202898574</v>
      </c>
      <c r="M17" s="289">
        <f t="shared" si="8"/>
        <v>-7124.669565217393</v>
      </c>
      <c r="O17" s="42">
        <f t="shared" si="9"/>
        <v>-60057.026086956539</v>
      </c>
      <c r="P17" s="247"/>
      <c r="Q17" s="211"/>
      <c r="R17" s="211"/>
      <c r="S17" s="211"/>
      <c r="T17" s="211"/>
      <c r="U17" s="211"/>
      <c r="AF17" s="11"/>
      <c r="AG17" s="11"/>
      <c r="AH17" s="11"/>
      <c r="AI17" s="11"/>
      <c r="AJ17" s="11"/>
      <c r="AK17" s="11"/>
      <c r="AL17" s="11"/>
    </row>
    <row r="18" spans="1:38" x14ac:dyDescent="0.25">
      <c r="A18" s="38">
        <f>+Données!A18</f>
        <v>5413</v>
      </c>
      <c r="B18" s="229" t="str">
        <f>+Données!B18</f>
        <v>Roche</v>
      </c>
      <c r="C18" s="220">
        <f>+Ecrêtage!C18</f>
        <v>42596.643504901964</v>
      </c>
      <c r="D18" s="218"/>
      <c r="E18" s="220">
        <f>Données!AF18+Données!AG18+Données!AH18</f>
        <v>469863</v>
      </c>
      <c r="F18" s="218">
        <f t="shared" si="3"/>
        <v>340773.14803921571</v>
      </c>
      <c r="G18" s="8">
        <f t="shared" si="4"/>
        <v>129089.85196078429</v>
      </c>
      <c r="H18" s="289">
        <f t="shared" si="5"/>
        <v>-96817.388970588217</v>
      </c>
      <c r="J18" s="8">
        <f>Données!AN18</f>
        <v>16354</v>
      </c>
      <c r="K18" s="198">
        <f t="shared" si="6"/>
        <v>42596.643504901964</v>
      </c>
      <c r="L18" s="12">
        <f t="shared" si="7"/>
        <v>0</v>
      </c>
      <c r="M18" s="289">
        <f t="shared" si="8"/>
        <v>0</v>
      </c>
      <c r="O18" s="42">
        <f t="shared" si="9"/>
        <v>-96817.388970588217</v>
      </c>
      <c r="P18" s="247"/>
      <c r="Q18" s="211"/>
      <c r="R18" s="211"/>
      <c r="S18" s="211"/>
      <c r="T18" s="211"/>
      <c r="U18" s="211"/>
      <c r="AF18" s="11"/>
      <c r="AG18" s="11"/>
      <c r="AH18" s="11"/>
      <c r="AI18" s="11"/>
      <c r="AJ18" s="11"/>
      <c r="AK18" s="11"/>
      <c r="AL18" s="11"/>
    </row>
    <row r="19" spans="1:38" x14ac:dyDescent="0.25">
      <c r="A19" s="38">
        <f>+Données!A19</f>
        <v>5414</v>
      </c>
      <c r="B19" s="229" t="str">
        <f>+Données!B19</f>
        <v>Villeneuve</v>
      </c>
      <c r="C19" s="220">
        <f>+Ecrêtage!C19</f>
        <v>165881.46711111109</v>
      </c>
      <c r="D19" s="218"/>
      <c r="E19" s="220">
        <f>Données!AF19+Données!AG19+Données!AH19</f>
        <v>3880954</v>
      </c>
      <c r="F19" s="218">
        <f t="shared" si="3"/>
        <v>1327051.7368888888</v>
      </c>
      <c r="G19" s="8">
        <f t="shared" si="4"/>
        <v>2553902.2631111112</v>
      </c>
      <c r="H19" s="289">
        <f t="shared" si="5"/>
        <v>-1915426.6973333335</v>
      </c>
      <c r="J19" s="8">
        <f>Données!AN19</f>
        <v>142065</v>
      </c>
      <c r="K19" s="198">
        <f t="shared" si="6"/>
        <v>165881.46711111109</v>
      </c>
      <c r="L19" s="12">
        <f t="shared" si="7"/>
        <v>0</v>
      </c>
      <c r="M19" s="289">
        <f t="shared" si="8"/>
        <v>0</v>
      </c>
      <c r="O19" s="42">
        <f t="shared" si="9"/>
        <v>-1915426.6973333335</v>
      </c>
      <c r="P19" s="247"/>
      <c r="Q19" s="211"/>
      <c r="R19" s="211"/>
      <c r="S19" s="211"/>
      <c r="T19" s="211"/>
      <c r="U19" s="211"/>
      <c r="AF19" s="11"/>
      <c r="AG19" s="11"/>
      <c r="AH19" s="11"/>
      <c r="AI19" s="11"/>
      <c r="AJ19" s="11"/>
      <c r="AK19" s="11"/>
      <c r="AL19" s="11"/>
    </row>
    <row r="20" spans="1:38" x14ac:dyDescent="0.25">
      <c r="A20" s="38">
        <f>+Données!A20</f>
        <v>5415</v>
      </c>
      <c r="B20" s="229" t="str">
        <f>+Données!B20</f>
        <v>Yvorne</v>
      </c>
      <c r="C20" s="220">
        <f>+Ecrêtage!C20</f>
        <v>33675.515990675995</v>
      </c>
      <c r="D20" s="218"/>
      <c r="E20" s="220">
        <f>Données!AF20+Données!AG20+Données!AH20</f>
        <v>740564</v>
      </c>
      <c r="F20" s="218">
        <f t="shared" si="3"/>
        <v>269404.12792540796</v>
      </c>
      <c r="G20" s="8">
        <f t="shared" si="4"/>
        <v>471159.87207459204</v>
      </c>
      <c r="H20" s="289">
        <f t="shared" si="5"/>
        <v>-353369.90405594406</v>
      </c>
      <c r="J20" s="8">
        <f>Données!AN20</f>
        <v>47758</v>
      </c>
      <c r="K20" s="198">
        <f t="shared" si="6"/>
        <v>33675.515990675995</v>
      </c>
      <c r="L20" s="12">
        <f t="shared" si="7"/>
        <v>14082.484009324005</v>
      </c>
      <c r="M20" s="289">
        <f t="shared" si="8"/>
        <v>-10561.863006993004</v>
      </c>
      <c r="O20" s="42">
        <f t="shared" si="9"/>
        <v>-363931.76706293708</v>
      </c>
      <c r="P20" s="247"/>
      <c r="Q20" s="211"/>
      <c r="R20" s="211"/>
      <c r="S20" s="211"/>
      <c r="T20" s="211"/>
      <c r="U20" s="211"/>
      <c r="AF20" s="11"/>
      <c r="AG20" s="11"/>
      <c r="AH20" s="11"/>
      <c r="AI20" s="11"/>
      <c r="AJ20" s="11"/>
      <c r="AK20" s="11"/>
      <c r="AL20" s="11"/>
    </row>
    <row r="21" spans="1:38" s="202" customFormat="1" x14ac:dyDescent="0.25">
      <c r="A21" s="38">
        <f>+Données!A21</f>
        <v>5422</v>
      </c>
      <c r="B21" s="229" t="str">
        <f>+Données!B21</f>
        <v>Aubonne</v>
      </c>
      <c r="C21" s="220">
        <f>+Ecrêtage!C21</f>
        <v>297608.37742857152</v>
      </c>
      <c r="D21" s="218"/>
      <c r="E21" s="220">
        <f>Données!AF21+Données!AG21+Données!AH21</f>
        <v>2086171</v>
      </c>
      <c r="F21" s="218">
        <f t="shared" si="3"/>
        <v>2380867.0194285722</v>
      </c>
      <c r="G21" s="8">
        <f t="shared" si="4"/>
        <v>0</v>
      </c>
      <c r="H21" s="289">
        <f t="shared" si="5"/>
        <v>0</v>
      </c>
      <c r="I21" s="221"/>
      <c r="J21" s="8">
        <f>Données!AN21</f>
        <v>45133</v>
      </c>
      <c r="K21" s="198">
        <f t="shared" si="6"/>
        <v>297608.37742857152</v>
      </c>
      <c r="L21" s="221">
        <f t="shared" si="7"/>
        <v>0</v>
      </c>
      <c r="M21" s="289">
        <f t="shared" si="8"/>
        <v>0</v>
      </c>
      <c r="N21" s="221"/>
      <c r="O21" s="42">
        <f t="shared" si="9"/>
        <v>0</v>
      </c>
      <c r="P21" s="247"/>
      <c r="Q21" s="211"/>
      <c r="R21" s="211"/>
      <c r="S21" s="211"/>
      <c r="T21" s="211"/>
      <c r="U21" s="211"/>
    </row>
    <row r="22" spans="1:38" x14ac:dyDescent="0.25">
      <c r="A22" s="38">
        <f>+Données!A22</f>
        <v>5423</v>
      </c>
      <c r="B22" s="229" t="str">
        <f>+Données!B22</f>
        <v>Ballens</v>
      </c>
      <c r="C22" s="220">
        <f>+Ecrêtage!C22</f>
        <v>17345.890547945211</v>
      </c>
      <c r="D22" s="218"/>
      <c r="E22" s="220">
        <f>Données!AF22+Données!AG22+Données!AH22</f>
        <v>232210</v>
      </c>
      <c r="F22" s="218">
        <f t="shared" si="3"/>
        <v>138767.12438356169</v>
      </c>
      <c r="G22" s="8">
        <f t="shared" si="4"/>
        <v>93442.875616438308</v>
      </c>
      <c r="H22" s="289">
        <f t="shared" si="5"/>
        <v>-70082.156712328724</v>
      </c>
      <c r="J22" s="8">
        <f>Données!AN22</f>
        <v>22991</v>
      </c>
      <c r="K22" s="198">
        <f t="shared" si="6"/>
        <v>17345.890547945211</v>
      </c>
      <c r="L22" s="12">
        <f t="shared" si="7"/>
        <v>5645.1094520547886</v>
      </c>
      <c r="M22" s="289">
        <f t="shared" si="8"/>
        <v>-4233.8320890410914</v>
      </c>
      <c r="O22" s="42">
        <f t="shared" si="9"/>
        <v>-74315.988801369822</v>
      </c>
      <c r="P22" s="247"/>
      <c r="Q22" s="211"/>
      <c r="R22" s="211"/>
      <c r="S22" s="211"/>
      <c r="T22" s="211"/>
      <c r="U22" s="211"/>
      <c r="AF22" s="11"/>
      <c r="AG22" s="11"/>
      <c r="AH22" s="11"/>
      <c r="AI22" s="11"/>
      <c r="AJ22" s="11"/>
      <c r="AK22" s="11"/>
      <c r="AL22" s="11"/>
    </row>
    <row r="23" spans="1:38" x14ac:dyDescent="0.25">
      <c r="A23" s="38">
        <f>+Données!A23</f>
        <v>5424</v>
      </c>
      <c r="B23" s="229" t="str">
        <f>+Données!B23</f>
        <v>Berolle</v>
      </c>
      <c r="C23" s="220">
        <f>+Ecrêtage!C23</f>
        <v>10263.254304635762</v>
      </c>
      <c r="D23" s="218"/>
      <c r="E23" s="220">
        <f>Données!AF23+Données!AG23+Données!AH23</f>
        <v>141031</v>
      </c>
      <c r="F23" s="218">
        <f t="shared" si="3"/>
        <v>82106.034437086098</v>
      </c>
      <c r="G23" s="8">
        <f t="shared" si="4"/>
        <v>58924.965562913902</v>
      </c>
      <c r="H23" s="289">
        <f t="shared" si="5"/>
        <v>-44193.724172185423</v>
      </c>
      <c r="J23" s="8">
        <f>Données!AN23</f>
        <v>63851</v>
      </c>
      <c r="K23" s="198">
        <f t="shared" si="6"/>
        <v>10263.254304635762</v>
      </c>
      <c r="L23" s="12">
        <f t="shared" si="7"/>
        <v>53587.74569536424</v>
      </c>
      <c r="M23" s="289">
        <f t="shared" si="8"/>
        <v>-40190.809271523176</v>
      </c>
      <c r="O23" s="42">
        <f t="shared" si="9"/>
        <v>-84384.533443708598</v>
      </c>
      <c r="P23" s="247"/>
      <c r="Q23" s="211"/>
      <c r="R23" s="211"/>
      <c r="S23" s="211"/>
      <c r="T23" s="211"/>
      <c r="U23" s="211"/>
      <c r="AF23" s="11"/>
      <c r="AG23" s="11"/>
      <c r="AH23" s="11"/>
      <c r="AI23" s="11"/>
      <c r="AJ23" s="11"/>
      <c r="AK23" s="11"/>
      <c r="AL23" s="11"/>
    </row>
    <row r="24" spans="1:38" x14ac:dyDescent="0.25">
      <c r="A24" s="38">
        <f>+Données!A24</f>
        <v>5425</v>
      </c>
      <c r="B24" s="229" t="str">
        <f>+Données!B24</f>
        <v>Bière</v>
      </c>
      <c r="C24" s="220">
        <f>+Ecrêtage!C24</f>
        <v>42247.955252373817</v>
      </c>
      <c r="D24" s="218"/>
      <c r="E24" s="220">
        <f>Données!AF24+Données!AG24+Données!AH24</f>
        <v>950014</v>
      </c>
      <c r="F24" s="218">
        <f t="shared" si="3"/>
        <v>337983.64201899053</v>
      </c>
      <c r="G24" s="8">
        <f t="shared" si="4"/>
        <v>612030.35798100941</v>
      </c>
      <c r="H24" s="289">
        <f t="shared" si="5"/>
        <v>-459022.76848575706</v>
      </c>
      <c r="J24" s="8">
        <f>Données!AN24</f>
        <v>150905</v>
      </c>
      <c r="K24" s="198">
        <f t="shared" si="6"/>
        <v>42247.955252373817</v>
      </c>
      <c r="L24" s="12">
        <f t="shared" si="7"/>
        <v>108657.04474762618</v>
      </c>
      <c r="M24" s="289">
        <f t="shared" si="8"/>
        <v>-81492.783560719632</v>
      </c>
      <c r="O24" s="42">
        <f t="shared" si="9"/>
        <v>-540515.55204647663</v>
      </c>
      <c r="P24" s="247"/>
      <c r="Q24" s="211"/>
      <c r="R24" s="211"/>
      <c r="S24" s="211"/>
      <c r="T24" s="211"/>
      <c r="U24" s="211"/>
      <c r="AF24" s="11"/>
      <c r="AG24" s="11"/>
      <c r="AH24" s="11"/>
      <c r="AI24" s="11"/>
      <c r="AJ24" s="11"/>
      <c r="AK24" s="11"/>
      <c r="AL24" s="11"/>
    </row>
    <row r="25" spans="1:38" x14ac:dyDescent="0.25">
      <c r="A25" s="38">
        <f>+Données!A25</f>
        <v>5426</v>
      </c>
      <c r="B25" s="229" t="str">
        <f>+Données!B25</f>
        <v>Bougy-Villars</v>
      </c>
      <c r="C25" s="220">
        <f>+Ecrêtage!C25</f>
        <v>61945.082222222212</v>
      </c>
      <c r="D25" s="218"/>
      <c r="E25" s="220">
        <f>Données!AF25+Données!AG25+Données!AH25</f>
        <v>0</v>
      </c>
      <c r="F25" s="218">
        <f t="shared" si="3"/>
        <v>495560.6577777777</v>
      </c>
      <c r="G25" s="8">
        <f t="shared" si="4"/>
        <v>0</v>
      </c>
      <c r="H25" s="289">
        <f t="shared" si="5"/>
        <v>0</v>
      </c>
      <c r="J25" s="8">
        <f>Données!AN25</f>
        <v>0</v>
      </c>
      <c r="K25" s="198">
        <f t="shared" si="6"/>
        <v>61945.082222222212</v>
      </c>
      <c r="L25" s="12">
        <f t="shared" si="7"/>
        <v>0</v>
      </c>
      <c r="M25" s="289">
        <f t="shared" si="8"/>
        <v>0</v>
      </c>
      <c r="O25" s="42">
        <f t="shared" si="9"/>
        <v>0</v>
      </c>
      <c r="P25" s="247"/>
      <c r="Q25" s="211"/>
      <c r="R25" s="211"/>
      <c r="S25" s="211"/>
      <c r="T25" s="211"/>
      <c r="U25" s="211"/>
      <c r="AF25" s="11"/>
      <c r="AG25" s="11"/>
      <c r="AH25" s="11"/>
      <c r="AI25" s="11"/>
      <c r="AJ25" s="11"/>
      <c r="AK25" s="11"/>
      <c r="AL25" s="11"/>
    </row>
    <row r="26" spans="1:38" x14ac:dyDescent="0.25">
      <c r="A26" s="38">
        <f>+Données!A26</f>
        <v>5427</v>
      </c>
      <c r="B26" s="229" t="str">
        <f>+Données!B26</f>
        <v>Féchy</v>
      </c>
      <c r="C26" s="220">
        <f>+Ecrêtage!C26</f>
        <v>86922.106418269221</v>
      </c>
      <c r="D26" s="218"/>
      <c r="E26" s="220">
        <f>Données!AF26+Données!AG26+Données!AH26</f>
        <v>319732</v>
      </c>
      <c r="F26" s="218">
        <f t="shared" si="3"/>
        <v>695376.85134615377</v>
      </c>
      <c r="G26" s="8">
        <f t="shared" si="4"/>
        <v>0</v>
      </c>
      <c r="H26" s="289">
        <f t="shared" si="5"/>
        <v>0</v>
      </c>
      <c r="J26" s="8">
        <f>Données!AN26</f>
        <v>4213</v>
      </c>
      <c r="K26" s="198">
        <f t="shared" si="6"/>
        <v>86922.106418269221</v>
      </c>
      <c r="L26" s="12">
        <f t="shared" si="7"/>
        <v>0</v>
      </c>
      <c r="M26" s="289">
        <f t="shared" si="8"/>
        <v>0</v>
      </c>
      <c r="O26" s="42">
        <f t="shared" si="9"/>
        <v>0</v>
      </c>
      <c r="P26" s="247"/>
      <c r="Q26" s="211"/>
      <c r="R26" s="211"/>
      <c r="S26" s="211"/>
      <c r="T26" s="211"/>
      <c r="U26" s="211"/>
      <c r="AF26" s="11"/>
      <c r="AG26" s="11"/>
      <c r="AH26" s="11"/>
      <c r="AI26" s="11"/>
      <c r="AJ26" s="11"/>
      <c r="AK26" s="11"/>
      <c r="AL26" s="11"/>
    </row>
    <row r="27" spans="1:38" x14ac:dyDescent="0.25">
      <c r="A27" s="38">
        <f>+Données!A27</f>
        <v>5428</v>
      </c>
      <c r="B27" s="229" t="str">
        <f>+Données!B27</f>
        <v>Gimel</v>
      </c>
      <c r="C27" s="220">
        <f>+Ecrêtage!C27</f>
        <v>71357.587986577171</v>
      </c>
      <c r="D27" s="218"/>
      <c r="E27" s="220">
        <f>Données!AF27+Données!AG27+Données!AH27</f>
        <v>1287623</v>
      </c>
      <c r="F27" s="218">
        <f t="shared" si="3"/>
        <v>570860.70389261737</v>
      </c>
      <c r="G27" s="8">
        <f t="shared" si="4"/>
        <v>716762.29610738263</v>
      </c>
      <c r="H27" s="289">
        <f t="shared" si="5"/>
        <v>-537571.722080537</v>
      </c>
      <c r="J27" s="8">
        <f>Données!AN27</f>
        <v>24699</v>
      </c>
      <c r="K27" s="198">
        <f t="shared" si="6"/>
        <v>71357.587986577171</v>
      </c>
      <c r="L27" s="12">
        <f t="shared" si="7"/>
        <v>0</v>
      </c>
      <c r="M27" s="289">
        <f t="shared" si="8"/>
        <v>0</v>
      </c>
      <c r="O27" s="42">
        <f t="shared" si="9"/>
        <v>-537571.722080537</v>
      </c>
      <c r="P27" s="247"/>
      <c r="Q27" s="211"/>
      <c r="R27" s="211"/>
      <c r="S27" s="211"/>
      <c r="T27" s="211"/>
      <c r="U27" s="211"/>
      <c r="AF27" s="11"/>
      <c r="AG27" s="11"/>
      <c r="AH27" s="11"/>
      <c r="AI27" s="11"/>
      <c r="AJ27" s="11"/>
      <c r="AK27" s="11"/>
      <c r="AL27" s="11"/>
    </row>
    <row r="28" spans="1:38" x14ac:dyDescent="0.25">
      <c r="A28" s="38">
        <f>+Données!A28</f>
        <v>5429</v>
      </c>
      <c r="B28" s="229" t="str">
        <f>+Données!B28</f>
        <v>Longirod</v>
      </c>
      <c r="C28" s="220">
        <f>+Ecrêtage!C28</f>
        <v>17142.381290322584</v>
      </c>
      <c r="D28" s="218"/>
      <c r="E28" s="220">
        <f>Données!AF28+Données!AG28+Données!AH28</f>
        <v>219013</v>
      </c>
      <c r="F28" s="218">
        <f t="shared" si="3"/>
        <v>137139.05032258068</v>
      </c>
      <c r="G28" s="8">
        <f t="shared" si="4"/>
        <v>81873.949677419325</v>
      </c>
      <c r="H28" s="289">
        <f t="shared" si="5"/>
        <v>-61405.462258064494</v>
      </c>
      <c r="J28" s="8">
        <f>Données!AN28</f>
        <v>24891</v>
      </c>
      <c r="K28" s="198">
        <f t="shared" si="6"/>
        <v>17142.381290322584</v>
      </c>
      <c r="L28" s="12">
        <f t="shared" si="7"/>
        <v>7748.6187096774156</v>
      </c>
      <c r="M28" s="289">
        <f t="shared" si="8"/>
        <v>-5811.4640322580617</v>
      </c>
      <c r="O28" s="42">
        <f t="shared" si="9"/>
        <v>-67216.926290322561</v>
      </c>
      <c r="P28" s="247"/>
      <c r="Q28" s="211"/>
      <c r="R28" s="211"/>
      <c r="S28" s="211"/>
      <c r="T28" s="211"/>
      <c r="U28" s="211"/>
      <c r="AF28" s="11"/>
      <c r="AG28" s="11"/>
      <c r="AH28" s="11"/>
      <c r="AI28" s="11"/>
      <c r="AJ28" s="11"/>
      <c r="AK28" s="11"/>
      <c r="AL28" s="11"/>
    </row>
    <row r="29" spans="1:38" x14ac:dyDescent="0.25">
      <c r="A29" s="38">
        <f>+Données!A29</f>
        <v>5430</v>
      </c>
      <c r="B29" s="229" t="str">
        <f>+Données!B29</f>
        <v>Marchissy</v>
      </c>
      <c r="C29" s="220">
        <f>+Ecrêtage!C29</f>
        <v>17121.715483870968</v>
      </c>
      <c r="D29" s="218"/>
      <c r="E29" s="220">
        <f>Données!AF29+Données!AG29+Données!AH29</f>
        <v>216480</v>
      </c>
      <c r="F29" s="218">
        <f t="shared" si="3"/>
        <v>136973.72387096775</v>
      </c>
      <c r="G29" s="8">
        <f t="shared" si="4"/>
        <v>79506.276129032252</v>
      </c>
      <c r="H29" s="289">
        <f t="shared" si="5"/>
        <v>-59629.707096774189</v>
      </c>
      <c r="J29" s="8">
        <f>Données!AN29</f>
        <v>-16342</v>
      </c>
      <c r="K29" s="198">
        <f t="shared" si="6"/>
        <v>17121.715483870968</v>
      </c>
      <c r="L29" s="12">
        <f t="shared" si="7"/>
        <v>0</v>
      </c>
      <c r="M29" s="289">
        <f t="shared" si="8"/>
        <v>0</v>
      </c>
      <c r="O29" s="42">
        <f t="shared" si="9"/>
        <v>-59629.707096774189</v>
      </c>
      <c r="P29" s="247"/>
      <c r="Q29" s="211"/>
      <c r="R29" s="211"/>
      <c r="S29" s="211"/>
      <c r="T29" s="211"/>
      <c r="U29" s="211"/>
      <c r="AF29" s="11"/>
      <c r="AG29" s="11"/>
      <c r="AH29" s="11"/>
      <c r="AI29" s="11"/>
      <c r="AJ29" s="11"/>
      <c r="AK29" s="11"/>
      <c r="AL29" s="11"/>
    </row>
    <row r="30" spans="1:38" x14ac:dyDescent="0.25">
      <c r="A30" s="38">
        <f>+Données!A30</f>
        <v>5431</v>
      </c>
      <c r="B30" s="229" t="str">
        <f>+Données!B30</f>
        <v>Mollens</v>
      </c>
      <c r="C30" s="220">
        <f>+Ecrêtage!C30</f>
        <v>9475.049594594595</v>
      </c>
      <c r="D30" s="218"/>
      <c r="E30" s="220">
        <f>Données!AF30+Données!AG30+Données!AH30</f>
        <v>114420</v>
      </c>
      <c r="F30" s="218">
        <f t="shared" si="3"/>
        <v>75800.39675675676</v>
      </c>
      <c r="G30" s="8">
        <f t="shared" si="4"/>
        <v>38619.60324324324</v>
      </c>
      <c r="H30" s="289">
        <f t="shared" si="5"/>
        <v>-28964.70243243243</v>
      </c>
      <c r="J30" s="8">
        <f>Données!AN30</f>
        <v>47143</v>
      </c>
      <c r="K30" s="198">
        <f t="shared" si="6"/>
        <v>9475.049594594595</v>
      </c>
      <c r="L30" s="12">
        <f t="shared" si="7"/>
        <v>37667.950405405405</v>
      </c>
      <c r="M30" s="289">
        <f t="shared" si="8"/>
        <v>-28250.962804054056</v>
      </c>
      <c r="O30" s="42">
        <f t="shared" si="9"/>
        <v>-57215.665236486486</v>
      </c>
      <c r="P30" s="247"/>
      <c r="Q30" s="211"/>
      <c r="R30" s="211"/>
      <c r="S30" s="211"/>
      <c r="T30" s="211"/>
      <c r="U30" s="211"/>
      <c r="AF30" s="11"/>
      <c r="AG30" s="11"/>
      <c r="AH30" s="11"/>
      <c r="AI30" s="11"/>
      <c r="AJ30" s="11"/>
      <c r="AK30" s="11"/>
      <c r="AL30" s="11"/>
    </row>
    <row r="31" spans="1:38" x14ac:dyDescent="0.25">
      <c r="A31" s="38">
        <f>+Données!A31</f>
        <v>5434</v>
      </c>
      <c r="B31" s="229" t="str">
        <f>+Données!B31</f>
        <v>Saint-George</v>
      </c>
      <c r="C31" s="220">
        <f>+Ecrêtage!C31</f>
        <v>40910.448657074339</v>
      </c>
      <c r="D31" s="218"/>
      <c r="E31" s="220">
        <f>Données!AF31+Données!AG31+Données!AH31</f>
        <v>536477</v>
      </c>
      <c r="F31" s="218">
        <f t="shared" si="3"/>
        <v>327283.58925659471</v>
      </c>
      <c r="G31" s="8">
        <f t="shared" si="4"/>
        <v>209193.41074340529</v>
      </c>
      <c r="H31" s="289">
        <f t="shared" si="5"/>
        <v>-156895.05805755395</v>
      </c>
      <c r="J31" s="8">
        <f>Données!AN31</f>
        <v>7747</v>
      </c>
      <c r="K31" s="198">
        <f t="shared" si="6"/>
        <v>40910.448657074339</v>
      </c>
      <c r="L31" s="12">
        <f t="shared" si="7"/>
        <v>0</v>
      </c>
      <c r="M31" s="289">
        <f t="shared" si="8"/>
        <v>0</v>
      </c>
      <c r="O31" s="42">
        <f t="shared" si="9"/>
        <v>-156895.05805755395</v>
      </c>
      <c r="P31" s="247"/>
      <c r="Q31" s="211"/>
      <c r="R31" s="211"/>
      <c r="S31" s="211"/>
      <c r="T31" s="211"/>
      <c r="U31" s="211"/>
      <c r="AF31" s="11"/>
      <c r="AG31" s="11"/>
      <c r="AH31" s="11"/>
      <c r="AI31" s="11"/>
      <c r="AJ31" s="11"/>
      <c r="AK31" s="11"/>
      <c r="AL31" s="11"/>
    </row>
    <row r="32" spans="1:38" x14ac:dyDescent="0.25">
      <c r="A32" s="38">
        <f>+Données!A32</f>
        <v>5435</v>
      </c>
      <c r="B32" s="229" t="str">
        <f>+Données!B32</f>
        <v>Saint-Livres</v>
      </c>
      <c r="C32" s="220">
        <f>+Ecrêtage!C32</f>
        <v>25462.29188405797</v>
      </c>
      <c r="D32" s="218"/>
      <c r="E32" s="220">
        <f>Données!AF32+Données!AG32+Données!AH32</f>
        <v>248808</v>
      </c>
      <c r="F32" s="218">
        <f t="shared" si="3"/>
        <v>203698.33507246376</v>
      </c>
      <c r="G32" s="8">
        <f t="shared" si="4"/>
        <v>45109.664927536243</v>
      </c>
      <c r="H32" s="289">
        <f t="shared" si="5"/>
        <v>-33832.248695652183</v>
      </c>
      <c r="J32" s="8">
        <f>Données!AN32</f>
        <v>14756</v>
      </c>
      <c r="K32" s="198">
        <f t="shared" si="6"/>
        <v>25462.29188405797</v>
      </c>
      <c r="L32" s="12">
        <f t="shared" si="7"/>
        <v>0</v>
      </c>
      <c r="M32" s="289">
        <f t="shared" si="8"/>
        <v>0</v>
      </c>
      <c r="O32" s="42">
        <f t="shared" si="9"/>
        <v>-33832.248695652183</v>
      </c>
      <c r="P32" s="247"/>
      <c r="Q32" s="211"/>
      <c r="R32" s="211"/>
      <c r="S32" s="211"/>
      <c r="T32" s="211"/>
      <c r="U32" s="211"/>
      <c r="AF32" s="11"/>
      <c r="AG32" s="11"/>
      <c r="AH32" s="11"/>
      <c r="AI32" s="11"/>
      <c r="AJ32" s="11"/>
      <c r="AK32" s="11"/>
      <c r="AL32" s="11"/>
    </row>
    <row r="33" spans="1:38" x14ac:dyDescent="0.25">
      <c r="A33" s="38">
        <f>+Données!A33</f>
        <v>5436</v>
      </c>
      <c r="B33" s="229" t="str">
        <f>+Données!B33</f>
        <v>Saint-Oyens</v>
      </c>
      <c r="C33" s="220">
        <f>+Ecrêtage!C33</f>
        <v>16425.371772151899</v>
      </c>
      <c r="D33" s="218"/>
      <c r="E33" s="220">
        <f>Données!AF33+Données!AG33+Données!AH33</f>
        <v>105452</v>
      </c>
      <c r="F33" s="218">
        <f t="shared" si="3"/>
        <v>131402.97417721519</v>
      </c>
      <c r="G33" s="8">
        <f t="shared" si="4"/>
        <v>0</v>
      </c>
      <c r="H33" s="289">
        <f t="shared" si="5"/>
        <v>0</v>
      </c>
      <c r="J33" s="8">
        <f>Données!AN33</f>
        <v>10360</v>
      </c>
      <c r="K33" s="198">
        <f t="shared" si="6"/>
        <v>16425.371772151899</v>
      </c>
      <c r="L33" s="12">
        <f t="shared" si="7"/>
        <v>0</v>
      </c>
      <c r="M33" s="289">
        <f t="shared" si="8"/>
        <v>0</v>
      </c>
      <c r="O33" s="42">
        <f t="shared" si="9"/>
        <v>0</v>
      </c>
      <c r="P33" s="247"/>
      <c r="Q33" s="211"/>
      <c r="R33" s="211"/>
      <c r="S33" s="211"/>
      <c r="T33" s="211"/>
      <c r="U33" s="211"/>
      <c r="AF33" s="11"/>
      <c r="AG33" s="11"/>
      <c r="AH33" s="11"/>
      <c r="AI33" s="11"/>
      <c r="AJ33" s="11"/>
      <c r="AK33" s="11"/>
      <c r="AL33" s="11"/>
    </row>
    <row r="34" spans="1:38" x14ac:dyDescent="0.25">
      <c r="A34" s="38">
        <f>+Données!A34</f>
        <v>5437</v>
      </c>
      <c r="B34" s="229" t="str">
        <f>+Données!B34</f>
        <v>Saubraz</v>
      </c>
      <c r="C34" s="220">
        <f>+Ecrêtage!C34</f>
        <v>12127.91725</v>
      </c>
      <c r="D34" s="218"/>
      <c r="E34" s="220">
        <f>Données!AF34+Données!AG34+Données!AH34</f>
        <v>101863</v>
      </c>
      <c r="F34" s="218">
        <f t="shared" si="3"/>
        <v>97023.338000000003</v>
      </c>
      <c r="G34" s="8">
        <f t="shared" si="4"/>
        <v>4839.6619999999966</v>
      </c>
      <c r="H34" s="289">
        <f t="shared" si="5"/>
        <v>-3629.7464999999975</v>
      </c>
      <c r="J34" s="8">
        <f>Données!AN34</f>
        <v>-53001</v>
      </c>
      <c r="K34" s="198">
        <f t="shared" si="6"/>
        <v>12127.91725</v>
      </c>
      <c r="L34" s="12">
        <f t="shared" si="7"/>
        <v>0</v>
      </c>
      <c r="M34" s="289">
        <f t="shared" si="8"/>
        <v>0</v>
      </c>
      <c r="O34" s="42">
        <f t="shared" si="9"/>
        <v>-3629.7464999999975</v>
      </c>
      <c r="P34" s="247"/>
      <c r="Q34" s="211"/>
      <c r="R34" s="211"/>
      <c r="S34" s="211"/>
      <c r="T34" s="211"/>
      <c r="U34" s="211"/>
      <c r="AF34" s="11"/>
      <c r="AG34" s="11"/>
      <c r="AH34" s="11"/>
      <c r="AI34" s="11"/>
      <c r="AJ34" s="11"/>
      <c r="AK34" s="11"/>
      <c r="AL34" s="11"/>
    </row>
    <row r="35" spans="1:38" x14ac:dyDescent="0.25">
      <c r="A35" s="38">
        <f>+Données!A35</f>
        <v>5451</v>
      </c>
      <c r="B35" s="229" t="str">
        <f>+Données!B35</f>
        <v>Avenches</v>
      </c>
      <c r="C35" s="220">
        <f>+Ecrêtage!C35</f>
        <v>142633.11649122802</v>
      </c>
      <c r="D35" s="218"/>
      <c r="E35" s="220">
        <f>Données!AF35+Données!AG35+Données!AH35</f>
        <v>2809794</v>
      </c>
      <c r="F35" s="218">
        <f t="shared" si="3"/>
        <v>1141064.9319298242</v>
      </c>
      <c r="G35" s="8">
        <f t="shared" si="4"/>
        <v>1668729.0680701758</v>
      </c>
      <c r="H35" s="289">
        <f t="shared" si="5"/>
        <v>-1251546.8010526318</v>
      </c>
      <c r="J35" s="8">
        <f>Données!AN35</f>
        <v>75745</v>
      </c>
      <c r="K35" s="198">
        <f t="shared" si="6"/>
        <v>142633.11649122802</v>
      </c>
      <c r="L35" s="12">
        <f t="shared" si="7"/>
        <v>0</v>
      </c>
      <c r="M35" s="289">
        <f t="shared" si="8"/>
        <v>0</v>
      </c>
      <c r="O35" s="42">
        <f t="shared" si="9"/>
        <v>-1251546.8010526318</v>
      </c>
      <c r="P35" s="247"/>
      <c r="Q35" s="211"/>
      <c r="R35" s="211"/>
      <c r="S35" s="211"/>
      <c r="T35" s="211"/>
      <c r="U35" s="211"/>
      <c r="AF35" s="11"/>
      <c r="AG35" s="11"/>
      <c r="AH35" s="11"/>
      <c r="AI35" s="11"/>
      <c r="AJ35" s="11"/>
      <c r="AK35" s="11"/>
      <c r="AL35" s="11"/>
    </row>
    <row r="36" spans="1:38" x14ac:dyDescent="0.25">
      <c r="A36" s="38">
        <f>+Données!A36</f>
        <v>5456</v>
      </c>
      <c r="B36" s="229" t="str">
        <f>+Données!B36</f>
        <v>Cudrefin</v>
      </c>
      <c r="C36" s="220">
        <f>+Ecrêtage!C36</f>
        <v>64060.385932203382</v>
      </c>
      <c r="D36" s="218"/>
      <c r="E36" s="220">
        <f>Données!AF36+Données!AG36+Données!AH36</f>
        <v>716850</v>
      </c>
      <c r="F36" s="218">
        <f t="shared" si="3"/>
        <v>512483.08745762706</v>
      </c>
      <c r="G36" s="8">
        <f t="shared" si="4"/>
        <v>204366.91254237294</v>
      </c>
      <c r="H36" s="289">
        <f t="shared" si="5"/>
        <v>-153275.18440677971</v>
      </c>
      <c r="J36" s="8">
        <f>Données!AN36</f>
        <v>24459</v>
      </c>
      <c r="K36" s="198">
        <f t="shared" si="6"/>
        <v>64060.385932203382</v>
      </c>
      <c r="L36" s="12">
        <f t="shared" si="7"/>
        <v>0</v>
      </c>
      <c r="M36" s="289">
        <f t="shared" si="8"/>
        <v>0</v>
      </c>
      <c r="O36" s="42">
        <f t="shared" si="9"/>
        <v>-153275.18440677971</v>
      </c>
      <c r="P36" s="247"/>
      <c r="Q36" s="211"/>
      <c r="R36" s="211"/>
      <c r="S36" s="211"/>
      <c r="T36" s="211"/>
      <c r="U36" s="211"/>
      <c r="AF36" s="11"/>
      <c r="AG36" s="11"/>
      <c r="AH36" s="11"/>
      <c r="AI36" s="11"/>
      <c r="AJ36" s="11"/>
      <c r="AK36" s="11"/>
      <c r="AL36" s="11"/>
    </row>
    <row r="37" spans="1:38" x14ac:dyDescent="0.25">
      <c r="A37" s="38">
        <f>+Données!A37</f>
        <v>5458</v>
      </c>
      <c r="B37" s="229" t="str">
        <f>+Données!B37</f>
        <v>Faoug</v>
      </c>
      <c r="C37" s="220">
        <f>+Ecrêtage!C37</f>
        <v>32630.920512820507</v>
      </c>
      <c r="D37" s="218"/>
      <c r="E37" s="220">
        <f>Données!AF37+Données!AG37+Données!AH37</f>
        <v>409420</v>
      </c>
      <c r="F37" s="218">
        <f t="shared" si="3"/>
        <v>261047.36410256405</v>
      </c>
      <c r="G37" s="8">
        <f t="shared" si="4"/>
        <v>148372.63589743595</v>
      </c>
      <c r="H37" s="289">
        <f t="shared" si="5"/>
        <v>-111279.47692307696</v>
      </c>
      <c r="J37" s="8">
        <f>Données!AN37</f>
        <v>16403</v>
      </c>
      <c r="K37" s="198">
        <f t="shared" si="6"/>
        <v>32630.920512820507</v>
      </c>
      <c r="L37" s="12">
        <f t="shared" si="7"/>
        <v>0</v>
      </c>
      <c r="M37" s="289">
        <f t="shared" si="8"/>
        <v>0</v>
      </c>
      <c r="O37" s="42">
        <f t="shared" si="9"/>
        <v>-111279.47692307696</v>
      </c>
      <c r="P37" s="247"/>
      <c r="Q37" s="211"/>
      <c r="R37" s="211"/>
      <c r="S37" s="211"/>
      <c r="T37" s="211"/>
      <c r="U37" s="211"/>
      <c r="AF37" s="11"/>
      <c r="AG37" s="11"/>
      <c r="AH37" s="11"/>
      <c r="AI37" s="11"/>
      <c r="AJ37" s="11"/>
      <c r="AK37" s="11"/>
      <c r="AL37" s="11"/>
    </row>
    <row r="38" spans="1:38" x14ac:dyDescent="0.25">
      <c r="A38" s="38">
        <f>+Données!A38</f>
        <v>5464</v>
      </c>
      <c r="B38" s="229" t="str">
        <f>+Données!B38</f>
        <v>Vully-les-Lacs</v>
      </c>
      <c r="C38" s="220">
        <f>+Ecrêtage!C38</f>
        <v>117933.44731343284</v>
      </c>
      <c r="D38" s="218"/>
      <c r="E38" s="220">
        <f>Données!AF38+Données!AG38+Données!AH38</f>
        <v>1463644</v>
      </c>
      <c r="F38" s="218">
        <f t="shared" si="3"/>
        <v>943467.57850746275</v>
      </c>
      <c r="G38" s="8">
        <f t="shared" si="4"/>
        <v>520176.42149253725</v>
      </c>
      <c r="H38" s="289">
        <f t="shared" si="5"/>
        <v>-390132.31611940294</v>
      </c>
      <c r="J38" s="8">
        <f>Données!AN38</f>
        <v>36274</v>
      </c>
      <c r="K38" s="198">
        <f t="shared" si="6"/>
        <v>117933.44731343284</v>
      </c>
      <c r="L38" s="12">
        <f t="shared" si="7"/>
        <v>0</v>
      </c>
      <c r="M38" s="289">
        <f t="shared" si="8"/>
        <v>0</v>
      </c>
      <c r="O38" s="42">
        <f t="shared" si="9"/>
        <v>-390132.31611940294</v>
      </c>
      <c r="P38" s="247"/>
      <c r="Q38" s="211"/>
      <c r="R38" s="211"/>
      <c r="S38" s="211"/>
      <c r="T38" s="211"/>
      <c r="U38" s="211"/>
      <c r="AF38" s="11"/>
      <c r="AG38" s="11"/>
      <c r="AH38" s="11"/>
      <c r="AI38" s="11"/>
      <c r="AJ38" s="11"/>
      <c r="AK38" s="11"/>
      <c r="AL38" s="11"/>
    </row>
    <row r="39" spans="1:38" x14ac:dyDescent="0.25">
      <c r="A39" s="38">
        <f>+Données!A39</f>
        <v>5471</v>
      </c>
      <c r="B39" s="229" t="str">
        <f>+Données!B39</f>
        <v>Bettens</v>
      </c>
      <c r="C39" s="220">
        <f>+Ecrêtage!C39</f>
        <v>22692.287412698413</v>
      </c>
      <c r="D39" s="218"/>
      <c r="E39" s="220">
        <f>Données!AF39+Données!AG39+Données!AH39</f>
        <v>0</v>
      </c>
      <c r="F39" s="218">
        <f t="shared" si="3"/>
        <v>181538.29930158731</v>
      </c>
      <c r="G39" s="8">
        <f t="shared" si="4"/>
        <v>0</v>
      </c>
      <c r="H39" s="289">
        <f t="shared" si="5"/>
        <v>0</v>
      </c>
      <c r="J39" s="8">
        <f>Données!AN39</f>
        <v>0</v>
      </c>
      <c r="K39" s="198">
        <f t="shared" si="6"/>
        <v>22692.287412698413</v>
      </c>
      <c r="L39" s="12">
        <f t="shared" si="7"/>
        <v>0</v>
      </c>
      <c r="M39" s="289">
        <f t="shared" si="8"/>
        <v>0</v>
      </c>
      <c r="O39" s="42">
        <f t="shared" si="9"/>
        <v>0</v>
      </c>
      <c r="P39" s="247"/>
      <c r="Q39" s="211"/>
      <c r="R39" s="211"/>
      <c r="S39" s="211"/>
      <c r="T39" s="211"/>
      <c r="U39" s="211"/>
      <c r="AF39" s="11"/>
      <c r="AG39" s="11"/>
      <c r="AH39" s="11"/>
      <c r="AI39" s="11"/>
      <c r="AJ39" s="11"/>
      <c r="AK39" s="11"/>
      <c r="AL39" s="11"/>
    </row>
    <row r="40" spans="1:38" x14ac:dyDescent="0.25">
      <c r="A40" s="38">
        <f>+Données!A40</f>
        <v>5472</v>
      </c>
      <c r="B40" s="229" t="str">
        <f>+Données!B40</f>
        <v>Bournens</v>
      </c>
      <c r="C40" s="220">
        <f>+Ecrêtage!C40</f>
        <v>19974.836617647059</v>
      </c>
      <c r="D40" s="218"/>
      <c r="E40" s="220">
        <f>Données!AF40+Données!AG40+Données!AH40</f>
        <v>157017</v>
      </c>
      <c r="F40" s="218">
        <f t="shared" si="3"/>
        <v>159798.69294117647</v>
      </c>
      <c r="G40" s="8">
        <f t="shared" si="4"/>
        <v>0</v>
      </c>
      <c r="H40" s="289">
        <f t="shared" si="5"/>
        <v>0</v>
      </c>
      <c r="J40" s="8">
        <f>Données!AN40</f>
        <v>30215</v>
      </c>
      <c r="K40" s="198">
        <f t="shared" si="6"/>
        <v>19974.836617647059</v>
      </c>
      <c r="L40" s="12">
        <f t="shared" si="7"/>
        <v>10240.163382352941</v>
      </c>
      <c r="M40" s="289">
        <f t="shared" si="8"/>
        <v>-7680.1225367647057</v>
      </c>
      <c r="O40" s="42">
        <f t="shared" si="9"/>
        <v>-7680.1225367647057</v>
      </c>
      <c r="P40" s="247"/>
      <c r="Q40" s="211"/>
      <c r="R40" s="211"/>
      <c r="S40" s="211"/>
      <c r="T40" s="211"/>
      <c r="U40" s="211"/>
      <c r="AF40" s="11"/>
      <c r="AG40" s="11"/>
      <c r="AH40" s="11"/>
      <c r="AI40" s="11"/>
      <c r="AJ40" s="11"/>
      <c r="AK40" s="11"/>
      <c r="AL40" s="11"/>
    </row>
    <row r="41" spans="1:38" x14ac:dyDescent="0.25">
      <c r="A41" s="38">
        <f>+Données!A41</f>
        <v>5473</v>
      </c>
      <c r="B41" s="229" t="str">
        <f>+Données!B41</f>
        <v>Boussens</v>
      </c>
      <c r="C41" s="220">
        <f>+Ecrêtage!C41</f>
        <v>40043.184999999998</v>
      </c>
      <c r="D41" s="218"/>
      <c r="E41" s="220">
        <f>Données!AF41+Données!AG41+Données!AH41</f>
        <v>0</v>
      </c>
      <c r="F41" s="218">
        <f t="shared" si="3"/>
        <v>320345.48</v>
      </c>
      <c r="G41" s="8">
        <f t="shared" si="4"/>
        <v>0</v>
      </c>
      <c r="H41" s="289">
        <f t="shared" si="5"/>
        <v>0</v>
      </c>
      <c r="J41" s="8">
        <f>Données!AN41</f>
        <v>0</v>
      </c>
      <c r="K41" s="198">
        <f t="shared" si="6"/>
        <v>40043.184999999998</v>
      </c>
      <c r="L41" s="12">
        <f t="shared" si="7"/>
        <v>0</v>
      </c>
      <c r="M41" s="289">
        <f t="shared" si="8"/>
        <v>0</v>
      </c>
      <c r="O41" s="42">
        <f t="shared" si="9"/>
        <v>0</v>
      </c>
      <c r="P41" s="247"/>
      <c r="Q41" s="211"/>
      <c r="R41" s="211"/>
      <c r="S41" s="211"/>
      <c r="T41" s="211"/>
      <c r="U41" s="211"/>
      <c r="AF41" s="11"/>
      <c r="AG41" s="11"/>
      <c r="AH41" s="11"/>
      <c r="AI41" s="11"/>
      <c r="AJ41" s="11"/>
      <c r="AK41" s="11"/>
      <c r="AL41" s="11"/>
    </row>
    <row r="42" spans="1:38" x14ac:dyDescent="0.25">
      <c r="A42" s="38">
        <f>+Données!A42</f>
        <v>5474</v>
      </c>
      <c r="B42" s="229" t="str">
        <f>+Données!B42</f>
        <v>La Chaux (Cossonay)</v>
      </c>
      <c r="C42" s="220">
        <f>+Ecrêtage!C42</f>
        <v>13862.516425438596</v>
      </c>
      <c r="D42" s="218"/>
      <c r="E42" s="220">
        <f>Données!AF42+Données!AG42+Données!AH42</f>
        <v>343757</v>
      </c>
      <c r="F42" s="218">
        <f t="shared" si="3"/>
        <v>110900.13140350877</v>
      </c>
      <c r="G42" s="8">
        <f t="shared" si="4"/>
        <v>232856.86859649123</v>
      </c>
      <c r="H42" s="289">
        <f t="shared" si="5"/>
        <v>-174642.65144736844</v>
      </c>
      <c r="J42" s="8">
        <f>Données!AN42</f>
        <v>7743</v>
      </c>
      <c r="K42" s="198">
        <f t="shared" si="6"/>
        <v>13862.516425438596</v>
      </c>
      <c r="L42" s="12">
        <f t="shared" si="7"/>
        <v>0</v>
      </c>
      <c r="M42" s="289">
        <f t="shared" si="8"/>
        <v>0</v>
      </c>
      <c r="O42" s="42">
        <f t="shared" si="9"/>
        <v>-174642.65144736844</v>
      </c>
      <c r="P42" s="247"/>
      <c r="Q42" s="211"/>
      <c r="R42" s="211"/>
      <c r="S42" s="211"/>
      <c r="T42" s="211"/>
      <c r="U42" s="211"/>
      <c r="AF42" s="11"/>
      <c r="AG42" s="11"/>
      <c r="AH42" s="11"/>
      <c r="AI42" s="11"/>
      <c r="AJ42" s="11"/>
      <c r="AK42" s="11"/>
      <c r="AL42" s="11"/>
    </row>
    <row r="43" spans="1:38" x14ac:dyDescent="0.25">
      <c r="A43" s="38">
        <f>+Données!A43</f>
        <v>5475</v>
      </c>
      <c r="B43" s="229" t="str">
        <f>+Données!B43</f>
        <v>Chavannes-le-Veyron</v>
      </c>
      <c r="C43" s="220">
        <f>+Ecrêtage!C43</f>
        <v>4297.2048000000004</v>
      </c>
      <c r="D43" s="218"/>
      <c r="E43" s="220">
        <f>Données!AF43+Données!AG43+Données!AH43</f>
        <v>75846</v>
      </c>
      <c r="F43" s="218">
        <f t="shared" si="3"/>
        <v>34377.638400000003</v>
      </c>
      <c r="G43" s="8">
        <f t="shared" si="4"/>
        <v>41468.361599999997</v>
      </c>
      <c r="H43" s="289">
        <f t="shared" si="5"/>
        <v>-31101.271199999996</v>
      </c>
      <c r="J43" s="8">
        <f>Données!AN43</f>
        <v>29301</v>
      </c>
      <c r="K43" s="198">
        <f t="shared" si="6"/>
        <v>4297.2048000000004</v>
      </c>
      <c r="L43" s="12">
        <f t="shared" si="7"/>
        <v>25003.7952</v>
      </c>
      <c r="M43" s="289">
        <f t="shared" si="8"/>
        <v>-18752.846400000002</v>
      </c>
      <c r="O43" s="42">
        <f t="shared" si="9"/>
        <v>-49854.117599999998</v>
      </c>
      <c r="P43" s="247"/>
      <c r="Q43" s="211"/>
      <c r="R43" s="211"/>
      <c r="S43" s="211"/>
      <c r="T43" s="211"/>
      <c r="U43" s="211"/>
      <c r="AF43" s="11"/>
      <c r="AG43" s="11"/>
      <c r="AH43" s="11"/>
      <c r="AI43" s="11"/>
      <c r="AJ43" s="11"/>
      <c r="AK43" s="11"/>
      <c r="AL43" s="11"/>
    </row>
    <row r="44" spans="1:38" x14ac:dyDescent="0.25">
      <c r="A44" s="38">
        <f>+Données!A44</f>
        <v>5476</v>
      </c>
      <c r="B44" s="229" t="str">
        <f>+Données!B44</f>
        <v>Chevilly</v>
      </c>
      <c r="C44" s="220">
        <f>+Ecrêtage!C44</f>
        <v>13558.452965517243</v>
      </c>
      <c r="D44" s="218"/>
      <c r="E44" s="220">
        <f>Données!AF44+Données!AG44+Données!AH44</f>
        <v>84179</v>
      </c>
      <c r="F44" s="218">
        <f t="shared" si="3"/>
        <v>108467.62372413794</v>
      </c>
      <c r="G44" s="8">
        <f t="shared" si="4"/>
        <v>0</v>
      </c>
      <c r="H44" s="289">
        <f t="shared" si="5"/>
        <v>0</v>
      </c>
      <c r="J44" s="8">
        <f>Données!AN44</f>
        <v>1912</v>
      </c>
      <c r="K44" s="198">
        <f t="shared" si="6"/>
        <v>13558.452965517243</v>
      </c>
      <c r="L44" s="12">
        <f t="shared" si="7"/>
        <v>0</v>
      </c>
      <c r="M44" s="289">
        <f t="shared" si="8"/>
        <v>0</v>
      </c>
      <c r="O44" s="42">
        <f t="shared" si="9"/>
        <v>0</v>
      </c>
      <c r="P44" s="247"/>
      <c r="Q44" s="211"/>
      <c r="R44" s="211"/>
      <c r="S44" s="211"/>
      <c r="T44" s="211"/>
      <c r="U44" s="211"/>
      <c r="AF44" s="11"/>
      <c r="AG44" s="11"/>
      <c r="AH44" s="11"/>
      <c r="AI44" s="11"/>
      <c r="AJ44" s="11"/>
      <c r="AK44" s="11"/>
      <c r="AL44" s="11"/>
    </row>
    <row r="45" spans="1:38" x14ac:dyDescent="0.25">
      <c r="A45" s="38">
        <f>+Données!A45</f>
        <v>5477</v>
      </c>
      <c r="B45" s="229" t="str">
        <f>+Données!B45</f>
        <v>Cossonay</v>
      </c>
      <c r="C45" s="220">
        <f>+Ecrêtage!C45</f>
        <v>151490.5288235294</v>
      </c>
      <c r="D45" s="218"/>
      <c r="E45" s="220">
        <f>Données!AF45+Données!AG45+Données!AH45</f>
        <v>2463203</v>
      </c>
      <c r="F45" s="218">
        <f t="shared" si="3"/>
        <v>1211924.2305882352</v>
      </c>
      <c r="G45" s="8">
        <f t="shared" si="4"/>
        <v>1251278.7694117648</v>
      </c>
      <c r="H45" s="289">
        <f t="shared" si="5"/>
        <v>-938459.07705882355</v>
      </c>
      <c r="J45" s="8">
        <f>Données!AN45</f>
        <v>73393</v>
      </c>
      <c r="K45" s="198">
        <f t="shared" si="6"/>
        <v>151490.5288235294</v>
      </c>
      <c r="L45" s="12">
        <f t="shared" si="7"/>
        <v>0</v>
      </c>
      <c r="M45" s="289">
        <f t="shared" si="8"/>
        <v>0</v>
      </c>
      <c r="O45" s="42">
        <f t="shared" si="9"/>
        <v>-938459.07705882355</v>
      </c>
      <c r="P45" s="247"/>
      <c r="Q45" s="211"/>
      <c r="R45" s="211"/>
      <c r="S45" s="211"/>
      <c r="T45" s="211"/>
      <c r="U45" s="211"/>
      <c r="AF45" s="11"/>
      <c r="AG45" s="11"/>
      <c r="AH45" s="11"/>
      <c r="AI45" s="11"/>
      <c r="AJ45" s="11"/>
      <c r="AK45" s="11"/>
      <c r="AL45" s="11"/>
    </row>
    <row r="46" spans="1:38" x14ac:dyDescent="0.25">
      <c r="A46" s="38">
        <f>+Données!A46</f>
        <v>5479</v>
      </c>
      <c r="B46" s="229" t="str">
        <f>+Données!B46</f>
        <v>Cuarnens</v>
      </c>
      <c r="C46" s="220">
        <f>+Ecrêtage!C46</f>
        <v>14331.337792207793</v>
      </c>
      <c r="D46" s="218"/>
      <c r="E46" s="220">
        <f>Données!AF46+Données!AG46+Données!AH46</f>
        <v>391675</v>
      </c>
      <c r="F46" s="218">
        <f t="shared" si="3"/>
        <v>114650.70233766234</v>
      </c>
      <c r="G46" s="8">
        <f t="shared" si="4"/>
        <v>277024.29766233766</v>
      </c>
      <c r="H46" s="289">
        <f t="shared" si="5"/>
        <v>-207768.22324675324</v>
      </c>
      <c r="J46" s="8">
        <f>Données!AN46</f>
        <v>64229</v>
      </c>
      <c r="K46" s="198">
        <f t="shared" si="6"/>
        <v>14331.337792207793</v>
      </c>
      <c r="L46" s="12">
        <f t="shared" si="7"/>
        <v>49897.662207792207</v>
      </c>
      <c r="M46" s="289">
        <f t="shared" si="8"/>
        <v>-37423.246655844152</v>
      </c>
      <c r="O46" s="42">
        <f t="shared" si="9"/>
        <v>-245191.4699025974</v>
      </c>
      <c r="P46" s="247"/>
      <c r="Q46" s="211"/>
      <c r="R46" s="211"/>
      <c r="S46" s="211"/>
      <c r="T46" s="211"/>
      <c r="U46" s="211"/>
      <c r="AF46" s="11"/>
      <c r="AG46" s="11"/>
      <c r="AH46" s="11"/>
      <c r="AI46" s="11"/>
      <c r="AJ46" s="11"/>
      <c r="AK46" s="11"/>
      <c r="AL46" s="11"/>
    </row>
    <row r="47" spans="1:38" x14ac:dyDescent="0.25">
      <c r="A47" s="38">
        <f>+Données!A47</f>
        <v>5480</v>
      </c>
      <c r="B47" s="229" t="str">
        <f>+Données!B47</f>
        <v>Daillens</v>
      </c>
      <c r="C47" s="220">
        <f>+Ecrêtage!C47</f>
        <v>42720.265505050505</v>
      </c>
      <c r="D47" s="218"/>
      <c r="E47" s="220">
        <f>Données!AF47+Données!AG47+Données!AH47</f>
        <v>448152</v>
      </c>
      <c r="F47" s="218">
        <f t="shared" si="3"/>
        <v>341762.12404040404</v>
      </c>
      <c r="G47" s="8">
        <f t="shared" si="4"/>
        <v>106389.87595959596</v>
      </c>
      <c r="H47" s="289">
        <f t="shared" si="5"/>
        <v>-79792.406969696967</v>
      </c>
      <c r="J47" s="8">
        <f>Données!AN47</f>
        <v>66527</v>
      </c>
      <c r="K47" s="198">
        <f t="shared" si="6"/>
        <v>42720.265505050505</v>
      </c>
      <c r="L47" s="12">
        <f t="shared" si="7"/>
        <v>23806.734494949495</v>
      </c>
      <c r="M47" s="289">
        <f t="shared" si="8"/>
        <v>-17855.050871212123</v>
      </c>
      <c r="O47" s="42">
        <f t="shared" si="9"/>
        <v>-97647.45784090909</v>
      </c>
      <c r="P47" s="247"/>
      <c r="Q47" s="211"/>
      <c r="R47" s="211"/>
      <c r="S47" s="211"/>
      <c r="T47" s="211"/>
      <c r="U47" s="211"/>
      <c r="AF47" s="11"/>
      <c r="AG47" s="11"/>
      <c r="AH47" s="11"/>
      <c r="AI47" s="11"/>
      <c r="AJ47" s="11"/>
      <c r="AK47" s="11"/>
      <c r="AL47" s="11"/>
    </row>
    <row r="48" spans="1:38" x14ac:dyDescent="0.25">
      <c r="A48" s="38">
        <f>+Données!A48</f>
        <v>5481</v>
      </c>
      <c r="B48" s="229" t="str">
        <f>+Données!B48</f>
        <v>Dizy</v>
      </c>
      <c r="C48" s="220">
        <f>+Ecrêtage!C48</f>
        <v>8552.7156000000014</v>
      </c>
      <c r="D48" s="218"/>
      <c r="E48" s="220">
        <f>Données!AF48+Données!AG48+Données!AH48</f>
        <v>110859</v>
      </c>
      <c r="F48" s="218">
        <f t="shared" si="3"/>
        <v>68421.724800000011</v>
      </c>
      <c r="G48" s="8">
        <f t="shared" si="4"/>
        <v>42437.275199999989</v>
      </c>
      <c r="H48" s="289">
        <f t="shared" si="5"/>
        <v>-31827.956399999992</v>
      </c>
      <c r="J48" s="8">
        <f>Données!AN48</f>
        <v>7367</v>
      </c>
      <c r="K48" s="198">
        <f t="shared" si="6"/>
        <v>8552.7156000000014</v>
      </c>
      <c r="L48" s="12">
        <f t="shared" si="7"/>
        <v>0</v>
      </c>
      <c r="M48" s="289">
        <f t="shared" si="8"/>
        <v>0</v>
      </c>
      <c r="O48" s="42">
        <f t="shared" si="9"/>
        <v>-31827.956399999992</v>
      </c>
      <c r="P48" s="247"/>
      <c r="Q48" s="211"/>
      <c r="R48" s="211"/>
      <c r="S48" s="211"/>
      <c r="T48" s="211"/>
      <c r="U48" s="211"/>
      <c r="AF48" s="11"/>
      <c r="AG48" s="11"/>
      <c r="AH48" s="11"/>
      <c r="AI48" s="11"/>
      <c r="AJ48" s="11"/>
      <c r="AK48" s="11"/>
      <c r="AL48" s="11"/>
    </row>
    <row r="49" spans="1:38" x14ac:dyDescent="0.25">
      <c r="A49" s="38">
        <f>+Données!A49</f>
        <v>5482</v>
      </c>
      <c r="B49" s="229" t="str">
        <f>+Données!B49</f>
        <v>Eclépens</v>
      </c>
      <c r="C49" s="220">
        <f>+Ecrêtage!C49</f>
        <v>48314.544130434791</v>
      </c>
      <c r="D49" s="218"/>
      <c r="E49" s="220">
        <f>Données!AF49+Données!AG49+Données!AH49</f>
        <v>532443</v>
      </c>
      <c r="F49" s="218">
        <f t="shared" si="3"/>
        <v>386516.35304347833</v>
      </c>
      <c r="G49" s="8">
        <f t="shared" si="4"/>
        <v>145926.64695652167</v>
      </c>
      <c r="H49" s="289">
        <f t="shared" si="5"/>
        <v>-109444.98521739125</v>
      </c>
      <c r="J49" s="8">
        <f>Données!AN49</f>
        <v>94139</v>
      </c>
      <c r="K49" s="198">
        <f t="shared" si="6"/>
        <v>48314.544130434791</v>
      </c>
      <c r="L49" s="12">
        <f t="shared" si="7"/>
        <v>45824.455869565209</v>
      </c>
      <c r="M49" s="289">
        <f t="shared" si="8"/>
        <v>-34368.34190217391</v>
      </c>
      <c r="O49" s="42">
        <f t="shared" si="9"/>
        <v>-143813.32711956516</v>
      </c>
      <c r="P49" s="247"/>
      <c r="Q49" s="211"/>
      <c r="R49" s="211"/>
      <c r="S49" s="211"/>
      <c r="T49" s="211"/>
      <c r="U49" s="211"/>
      <c r="AF49" s="11"/>
      <c r="AG49" s="11"/>
      <c r="AH49" s="11"/>
      <c r="AI49" s="11"/>
      <c r="AJ49" s="11"/>
      <c r="AK49" s="11"/>
      <c r="AL49" s="11"/>
    </row>
    <row r="50" spans="1:38" x14ac:dyDescent="0.25">
      <c r="A50" s="38">
        <f>+Données!A50</f>
        <v>5483</v>
      </c>
      <c r="B50" s="229" t="str">
        <f>+Données!B50</f>
        <v>Ferreyres</v>
      </c>
      <c r="C50" s="220">
        <f>+Ecrêtage!C50</f>
        <v>10284.283289473684</v>
      </c>
      <c r="D50" s="218"/>
      <c r="E50" s="220">
        <f>Données!AF50+Données!AG50+Données!AH50</f>
        <v>82877</v>
      </c>
      <c r="F50" s="218">
        <f t="shared" si="3"/>
        <v>82274.266315789471</v>
      </c>
      <c r="G50" s="8">
        <f t="shared" si="4"/>
        <v>602.73368421052874</v>
      </c>
      <c r="H50" s="289">
        <f t="shared" si="5"/>
        <v>-452.05026315789655</v>
      </c>
      <c r="J50" s="8">
        <f>Données!AN50</f>
        <v>3208</v>
      </c>
      <c r="K50" s="198">
        <f t="shared" si="6"/>
        <v>10284.283289473684</v>
      </c>
      <c r="L50" s="12">
        <f t="shared" si="7"/>
        <v>0</v>
      </c>
      <c r="M50" s="289">
        <f t="shared" si="8"/>
        <v>0</v>
      </c>
      <c r="O50" s="42">
        <f t="shared" si="9"/>
        <v>-452.05026315789655</v>
      </c>
      <c r="P50" s="247"/>
      <c r="Q50" s="211"/>
      <c r="R50" s="211"/>
      <c r="S50" s="211"/>
      <c r="T50" s="211"/>
      <c r="U50" s="211"/>
      <c r="AF50" s="11"/>
      <c r="AG50" s="11"/>
      <c r="AH50" s="11"/>
      <c r="AI50" s="11"/>
      <c r="AJ50" s="11"/>
      <c r="AK50" s="11"/>
      <c r="AL50" s="11"/>
    </row>
    <row r="51" spans="1:38" x14ac:dyDescent="0.25">
      <c r="A51" s="38">
        <f>+Données!A51</f>
        <v>5484</v>
      </c>
      <c r="B51" s="229" t="str">
        <f>+Données!B51</f>
        <v>Gollion</v>
      </c>
      <c r="C51" s="220">
        <f>+Ecrêtage!C51</f>
        <v>32601.670945945945</v>
      </c>
      <c r="D51" s="218"/>
      <c r="E51" s="220">
        <f>Données!AF51+Données!AG51+Données!AH51</f>
        <v>590563</v>
      </c>
      <c r="F51" s="218">
        <f t="shared" si="3"/>
        <v>260813.36756756756</v>
      </c>
      <c r="G51" s="8">
        <f t="shared" si="4"/>
        <v>329749.63243243244</v>
      </c>
      <c r="H51" s="289">
        <f t="shared" si="5"/>
        <v>-247312.22432432434</v>
      </c>
      <c r="J51" s="8">
        <f>Données!AN51</f>
        <v>75011</v>
      </c>
      <c r="K51" s="198">
        <f t="shared" si="6"/>
        <v>32601.670945945945</v>
      </c>
      <c r="L51" s="12">
        <f t="shared" si="7"/>
        <v>42409.329054054055</v>
      </c>
      <c r="M51" s="289">
        <f t="shared" si="8"/>
        <v>-31806.996790540543</v>
      </c>
      <c r="O51" s="42">
        <f t="shared" si="9"/>
        <v>-279119.22111486486</v>
      </c>
      <c r="P51" s="247"/>
      <c r="Q51" s="211"/>
      <c r="R51" s="211"/>
      <c r="S51" s="211"/>
      <c r="T51" s="211"/>
      <c r="U51" s="211"/>
      <c r="AF51" s="11"/>
      <c r="AG51" s="11"/>
      <c r="AH51" s="11"/>
      <c r="AI51" s="11"/>
      <c r="AJ51" s="11"/>
      <c r="AK51" s="11"/>
      <c r="AL51" s="11"/>
    </row>
    <row r="52" spans="1:38" x14ac:dyDescent="0.25">
      <c r="A52" s="38">
        <f>+Données!A52</f>
        <v>5485</v>
      </c>
      <c r="B52" s="229" t="str">
        <f>+Données!B52</f>
        <v>Grancy</v>
      </c>
      <c r="C52" s="220">
        <f>+Ecrêtage!C52</f>
        <v>18961.380428571429</v>
      </c>
      <c r="D52" s="218"/>
      <c r="E52" s="220">
        <f>Données!AF52+Données!AG52+Données!AH52</f>
        <v>189663</v>
      </c>
      <c r="F52" s="218">
        <f t="shared" si="3"/>
        <v>151691.04342857143</v>
      </c>
      <c r="G52" s="8">
        <f t="shared" si="4"/>
        <v>37971.956571428571</v>
      </c>
      <c r="H52" s="289">
        <f t="shared" si="5"/>
        <v>-28478.967428571428</v>
      </c>
      <c r="J52" s="8">
        <f>Données!AN52</f>
        <v>79838</v>
      </c>
      <c r="K52" s="198">
        <f t="shared" si="6"/>
        <v>18961.380428571429</v>
      </c>
      <c r="L52" s="12">
        <f t="shared" si="7"/>
        <v>60876.619571428571</v>
      </c>
      <c r="M52" s="289">
        <f t="shared" si="8"/>
        <v>-45657.464678571429</v>
      </c>
      <c r="O52" s="42">
        <f t="shared" si="9"/>
        <v>-74136.432107142857</v>
      </c>
      <c r="P52" s="247"/>
      <c r="Q52" s="211"/>
      <c r="R52" s="211"/>
      <c r="S52" s="211"/>
      <c r="T52" s="211"/>
      <c r="U52" s="211"/>
      <c r="AF52" s="11"/>
      <c r="AG52" s="11"/>
      <c r="AH52" s="11"/>
      <c r="AI52" s="11"/>
      <c r="AJ52" s="11"/>
      <c r="AK52" s="11"/>
      <c r="AL52" s="11"/>
    </row>
    <row r="53" spans="1:38" x14ac:dyDescent="0.25">
      <c r="A53" s="38">
        <f>+Données!A53</f>
        <v>5486</v>
      </c>
      <c r="B53" s="229" t="str">
        <f>+Données!B53</f>
        <v>L'Isle</v>
      </c>
      <c r="C53" s="220">
        <f>+Ecrêtage!C53</f>
        <v>34756.215466666676</v>
      </c>
      <c r="D53" s="218"/>
      <c r="E53" s="220">
        <f>Données!AF53+Données!AG53+Données!AH53</f>
        <v>625141</v>
      </c>
      <c r="F53" s="218">
        <f t="shared" si="3"/>
        <v>278049.72373333341</v>
      </c>
      <c r="G53" s="8">
        <f t="shared" si="4"/>
        <v>347091.27626666659</v>
      </c>
      <c r="H53" s="289">
        <f t="shared" si="5"/>
        <v>-260318.45719999995</v>
      </c>
      <c r="J53" s="8">
        <f>Données!AN53</f>
        <v>162179</v>
      </c>
      <c r="K53" s="198">
        <f t="shared" si="6"/>
        <v>34756.215466666676</v>
      </c>
      <c r="L53" s="12">
        <f t="shared" si="7"/>
        <v>127422.78453333332</v>
      </c>
      <c r="M53" s="289">
        <f t="shared" si="8"/>
        <v>-95567.088399999993</v>
      </c>
      <c r="O53" s="42">
        <f t="shared" si="9"/>
        <v>-355885.54559999995</v>
      </c>
      <c r="P53" s="247"/>
      <c r="Q53" s="211"/>
      <c r="R53" s="211"/>
      <c r="S53" s="211"/>
      <c r="T53" s="211"/>
      <c r="U53" s="211"/>
      <c r="AF53" s="11"/>
      <c r="AG53" s="11"/>
      <c r="AH53" s="11"/>
      <c r="AI53" s="11"/>
      <c r="AJ53" s="11"/>
      <c r="AK53" s="11"/>
      <c r="AL53" s="11"/>
    </row>
    <row r="54" spans="1:38" x14ac:dyDescent="0.25">
      <c r="A54" s="38">
        <f>+Données!A54</f>
        <v>5487</v>
      </c>
      <c r="B54" s="229" t="str">
        <f>+Données!B54</f>
        <v>Lussery-Villars</v>
      </c>
      <c r="C54" s="220">
        <f>+Ecrêtage!C54</f>
        <v>12042.619866666666</v>
      </c>
      <c r="D54" s="218"/>
      <c r="E54" s="220">
        <f>Données!AF54+Données!AG54+Données!AH54</f>
        <v>102461</v>
      </c>
      <c r="F54" s="218">
        <f t="shared" si="3"/>
        <v>96340.958933333328</v>
      </c>
      <c r="G54" s="8">
        <f t="shared" si="4"/>
        <v>6120.0410666666721</v>
      </c>
      <c r="H54" s="289">
        <f t="shared" si="5"/>
        <v>-4590.0308000000041</v>
      </c>
      <c r="J54" s="8">
        <f>Données!AN54</f>
        <v>11376</v>
      </c>
      <c r="K54" s="198">
        <f t="shared" si="6"/>
        <v>12042.619866666666</v>
      </c>
      <c r="L54" s="12">
        <f t="shared" si="7"/>
        <v>0</v>
      </c>
      <c r="M54" s="289">
        <f t="shared" si="8"/>
        <v>0</v>
      </c>
      <c r="O54" s="42">
        <f t="shared" si="9"/>
        <v>-4590.0308000000041</v>
      </c>
      <c r="P54" s="247"/>
      <c r="Q54" s="211"/>
      <c r="R54" s="211"/>
      <c r="S54" s="211"/>
      <c r="T54" s="211"/>
      <c r="U54" s="211"/>
      <c r="AF54" s="11"/>
      <c r="AG54" s="11"/>
      <c r="AH54" s="11"/>
      <c r="AI54" s="11"/>
      <c r="AJ54" s="11"/>
      <c r="AK54" s="11"/>
      <c r="AL54" s="11"/>
    </row>
    <row r="55" spans="1:38" x14ac:dyDescent="0.25">
      <c r="A55" s="38">
        <f>+Données!A55</f>
        <v>5488</v>
      </c>
      <c r="B55" s="229" t="str">
        <f>+Données!B55</f>
        <v>Mauraz</v>
      </c>
      <c r="C55" s="220">
        <f>+Ecrêtage!C55</f>
        <v>2131.6062337662343</v>
      </c>
      <c r="D55" s="218"/>
      <c r="E55" s="220">
        <f>Données!AF55+Données!AG55+Données!AH55</f>
        <v>3900</v>
      </c>
      <c r="F55" s="218">
        <f t="shared" si="3"/>
        <v>17052.849870129874</v>
      </c>
      <c r="G55" s="8">
        <f t="shared" si="4"/>
        <v>0</v>
      </c>
      <c r="H55" s="289">
        <f t="shared" si="5"/>
        <v>0</v>
      </c>
      <c r="J55" s="8">
        <f>Données!AN55</f>
        <v>0</v>
      </c>
      <c r="K55" s="198">
        <f t="shared" si="6"/>
        <v>2131.6062337662343</v>
      </c>
      <c r="L55" s="12">
        <f t="shared" si="7"/>
        <v>0</v>
      </c>
      <c r="M55" s="289">
        <f t="shared" si="8"/>
        <v>0</v>
      </c>
      <c r="O55" s="42">
        <f t="shared" si="9"/>
        <v>0</v>
      </c>
      <c r="P55" s="247"/>
      <c r="Q55" s="211"/>
      <c r="R55" s="211"/>
      <c r="S55" s="211"/>
      <c r="T55" s="211"/>
      <c r="U55" s="211"/>
      <c r="AF55" s="11"/>
      <c r="AG55" s="11"/>
      <c r="AH55" s="11"/>
      <c r="AI55" s="11"/>
      <c r="AJ55" s="11"/>
      <c r="AK55" s="11"/>
      <c r="AL55" s="11"/>
    </row>
    <row r="56" spans="1:38" x14ac:dyDescent="0.25">
      <c r="A56" s="38">
        <f>+Données!A56</f>
        <v>5489</v>
      </c>
      <c r="B56" s="229" t="str">
        <f>+Données!B56</f>
        <v>Mex</v>
      </c>
      <c r="C56" s="220">
        <f>+Ecrêtage!C56</f>
        <v>60740.368067226897</v>
      </c>
      <c r="D56" s="218"/>
      <c r="E56" s="220">
        <f>Données!AF56+Données!AG56+Données!AH56</f>
        <v>301193</v>
      </c>
      <c r="F56" s="218">
        <f t="shared" si="3"/>
        <v>485922.94453781517</v>
      </c>
      <c r="G56" s="8">
        <f t="shared" si="4"/>
        <v>0</v>
      </c>
      <c r="H56" s="289">
        <f t="shared" si="5"/>
        <v>0</v>
      </c>
      <c r="J56" s="8">
        <f>Données!AN56</f>
        <v>26284</v>
      </c>
      <c r="K56" s="198">
        <f t="shared" si="6"/>
        <v>60740.368067226897</v>
      </c>
      <c r="L56" s="12">
        <f t="shared" si="7"/>
        <v>0</v>
      </c>
      <c r="M56" s="289">
        <f t="shared" si="8"/>
        <v>0</v>
      </c>
      <c r="O56" s="42">
        <f t="shared" si="9"/>
        <v>0</v>
      </c>
      <c r="P56" s="247"/>
      <c r="Q56" s="211"/>
      <c r="R56" s="211"/>
      <c r="S56" s="211"/>
      <c r="T56" s="211"/>
      <c r="U56" s="211"/>
      <c r="AF56" s="11"/>
      <c r="AG56" s="11"/>
      <c r="AH56" s="11"/>
      <c r="AI56" s="11"/>
      <c r="AJ56" s="11"/>
      <c r="AK56" s="11"/>
      <c r="AL56" s="11"/>
    </row>
    <row r="57" spans="1:38" x14ac:dyDescent="0.25">
      <c r="A57" s="38">
        <f>+Données!A57</f>
        <v>5490</v>
      </c>
      <c r="B57" s="229" t="str">
        <f>+Données!B57</f>
        <v>Moiry</v>
      </c>
      <c r="C57" s="220">
        <f>+Ecrêtage!C57</f>
        <v>8460.9523376623383</v>
      </c>
      <c r="D57" s="218"/>
      <c r="E57" s="220">
        <f>Données!AF57+Données!AG57+Données!AH57</f>
        <v>117624</v>
      </c>
      <c r="F57" s="218">
        <f t="shared" si="3"/>
        <v>67687.618701298707</v>
      </c>
      <c r="G57" s="8">
        <f t="shared" si="4"/>
        <v>49936.381298701293</v>
      </c>
      <c r="H57" s="289">
        <f t="shared" si="5"/>
        <v>-37452.285974025974</v>
      </c>
      <c r="J57" s="8">
        <f>Données!AN57</f>
        <v>-3999</v>
      </c>
      <c r="K57" s="198">
        <f t="shared" si="6"/>
        <v>8460.9523376623383</v>
      </c>
      <c r="L57" s="12">
        <f t="shared" si="7"/>
        <v>0</v>
      </c>
      <c r="M57" s="289">
        <f t="shared" si="8"/>
        <v>0</v>
      </c>
      <c r="O57" s="42">
        <f t="shared" si="9"/>
        <v>-37452.285974025974</v>
      </c>
      <c r="P57" s="247"/>
      <c r="Q57" s="211"/>
      <c r="R57" s="211"/>
      <c r="S57" s="211"/>
      <c r="T57" s="211"/>
      <c r="U57" s="211"/>
      <c r="AF57" s="11"/>
      <c r="AG57" s="11"/>
      <c r="AH57" s="11"/>
      <c r="AI57" s="11"/>
      <c r="AJ57" s="11"/>
      <c r="AK57" s="11"/>
      <c r="AL57" s="11"/>
    </row>
    <row r="58" spans="1:38" x14ac:dyDescent="0.25">
      <c r="A58" s="38">
        <f>+Données!A58</f>
        <v>5491</v>
      </c>
      <c r="B58" s="229" t="str">
        <f>+Données!B58</f>
        <v>Mont-la-Ville</v>
      </c>
      <c r="C58" s="220">
        <f>+Ecrêtage!C58</f>
        <v>13842.217236842105</v>
      </c>
      <c r="D58" s="218"/>
      <c r="E58" s="220">
        <f>Données!AF58+Données!AG58+Données!AH58</f>
        <v>1027054</v>
      </c>
      <c r="F58" s="218">
        <f t="shared" si="3"/>
        <v>110737.73789473684</v>
      </c>
      <c r="G58" s="8">
        <f t="shared" si="4"/>
        <v>916316.26210526319</v>
      </c>
      <c r="H58" s="289">
        <f t="shared" si="5"/>
        <v>-687237.19657894736</v>
      </c>
      <c r="J58" s="8">
        <f>Données!AN58</f>
        <v>-81577</v>
      </c>
      <c r="K58" s="198">
        <f t="shared" si="6"/>
        <v>13842.217236842105</v>
      </c>
      <c r="L58" s="12">
        <f t="shared" si="7"/>
        <v>0</v>
      </c>
      <c r="M58" s="289">
        <f t="shared" si="8"/>
        <v>0</v>
      </c>
      <c r="O58" s="42">
        <f t="shared" si="9"/>
        <v>-687237.19657894736</v>
      </c>
      <c r="P58" s="247"/>
      <c r="Q58" s="211"/>
      <c r="R58" s="211"/>
      <c r="S58" s="211"/>
      <c r="T58" s="211"/>
      <c r="U58" s="211"/>
      <c r="AF58" s="11"/>
      <c r="AG58" s="11"/>
      <c r="AH58" s="11"/>
      <c r="AI58" s="11"/>
      <c r="AJ58" s="11"/>
      <c r="AK58" s="11"/>
      <c r="AL58" s="11"/>
    </row>
    <row r="59" spans="1:38" x14ac:dyDescent="0.25">
      <c r="A59" s="38">
        <f>+Données!A59</f>
        <v>5492</v>
      </c>
      <c r="B59" s="229" t="str">
        <f>+Données!B59</f>
        <v>Montricher</v>
      </c>
      <c r="C59" s="220">
        <f>+Ecrêtage!C59</f>
        <v>149907.58062499994</v>
      </c>
      <c r="D59" s="218"/>
      <c r="E59" s="220">
        <f>Données!AF59+Données!AG59+Données!AH59</f>
        <v>404925</v>
      </c>
      <c r="F59" s="218">
        <f t="shared" si="3"/>
        <v>1199260.6449999996</v>
      </c>
      <c r="G59" s="8">
        <f t="shared" si="4"/>
        <v>0</v>
      </c>
      <c r="H59" s="289">
        <f t="shared" si="5"/>
        <v>0</v>
      </c>
      <c r="J59" s="8">
        <f>Données!AN59</f>
        <v>205119</v>
      </c>
      <c r="K59" s="198">
        <f t="shared" si="6"/>
        <v>149907.58062499994</v>
      </c>
      <c r="L59" s="12">
        <f t="shared" si="7"/>
        <v>55211.419375000056</v>
      </c>
      <c r="M59" s="289">
        <f t="shared" si="8"/>
        <v>-41408.564531250042</v>
      </c>
      <c r="O59" s="42">
        <f t="shared" si="9"/>
        <v>-41408.564531250042</v>
      </c>
      <c r="P59" s="247"/>
      <c r="Q59" s="211"/>
      <c r="R59" s="211"/>
      <c r="S59" s="211"/>
      <c r="T59" s="211"/>
      <c r="U59" s="211"/>
      <c r="AF59" s="11"/>
      <c r="AG59" s="11"/>
      <c r="AH59" s="11"/>
      <c r="AI59" s="11"/>
      <c r="AJ59" s="11"/>
      <c r="AK59" s="11"/>
      <c r="AL59" s="11"/>
    </row>
    <row r="60" spans="1:38" x14ac:dyDescent="0.25">
      <c r="A60" s="38">
        <f>+Données!A60</f>
        <v>5493</v>
      </c>
      <c r="B60" s="229" t="str">
        <f>+Données!B60</f>
        <v>Orny</v>
      </c>
      <c r="C60" s="220">
        <f>+Ecrêtage!C60</f>
        <v>14635.830579557431</v>
      </c>
      <c r="D60" s="218"/>
      <c r="E60" s="220">
        <f>Données!AF60+Données!AG60+Données!AH60</f>
        <v>212877</v>
      </c>
      <c r="F60" s="218">
        <f t="shared" si="3"/>
        <v>117086.64463645944</v>
      </c>
      <c r="G60" s="8">
        <f t="shared" si="4"/>
        <v>95790.355363540555</v>
      </c>
      <c r="H60" s="289">
        <f t="shared" si="5"/>
        <v>-71842.766522655409</v>
      </c>
      <c r="J60" s="8">
        <f>Données!AN60</f>
        <v>-4794</v>
      </c>
      <c r="K60" s="198">
        <f t="shared" si="6"/>
        <v>14635.830579557431</v>
      </c>
      <c r="L60" s="12">
        <f t="shared" si="7"/>
        <v>0</v>
      </c>
      <c r="M60" s="289">
        <f t="shared" si="8"/>
        <v>0</v>
      </c>
      <c r="O60" s="42">
        <f t="shared" si="9"/>
        <v>-71842.766522655409</v>
      </c>
      <c r="P60" s="247"/>
      <c r="Q60" s="211"/>
      <c r="R60" s="211"/>
      <c r="S60" s="211"/>
      <c r="T60" s="211"/>
      <c r="U60" s="211"/>
      <c r="AF60" s="11"/>
      <c r="AG60" s="11"/>
      <c r="AH60" s="11"/>
      <c r="AI60" s="11"/>
      <c r="AJ60" s="11"/>
      <c r="AK60" s="11"/>
      <c r="AL60" s="11"/>
    </row>
    <row r="61" spans="1:38" x14ac:dyDescent="0.25">
      <c r="A61" s="38">
        <f>+Données!A61</f>
        <v>5495</v>
      </c>
      <c r="B61" s="229" t="str">
        <f>+Données!B61</f>
        <v>Penthalaz</v>
      </c>
      <c r="C61" s="220">
        <f>+Ecrêtage!C61</f>
        <v>103056.57202702702</v>
      </c>
      <c r="D61" s="218"/>
      <c r="E61" s="220">
        <f>Données!AF61+Données!AG61+Données!AH61</f>
        <v>1627965</v>
      </c>
      <c r="F61" s="218">
        <f t="shared" si="3"/>
        <v>824452.5762162162</v>
      </c>
      <c r="G61" s="8">
        <f t="shared" si="4"/>
        <v>803512.4237837838</v>
      </c>
      <c r="H61" s="289">
        <f t="shared" si="5"/>
        <v>-602634.31783783785</v>
      </c>
      <c r="J61" s="8">
        <f>Données!AN61</f>
        <v>70918</v>
      </c>
      <c r="K61" s="198">
        <f t="shared" si="6"/>
        <v>103056.57202702702</v>
      </c>
      <c r="L61" s="12">
        <f t="shared" si="7"/>
        <v>0</v>
      </c>
      <c r="M61" s="289">
        <f t="shared" si="8"/>
        <v>0</v>
      </c>
      <c r="O61" s="42">
        <f t="shared" si="9"/>
        <v>-602634.31783783785</v>
      </c>
      <c r="P61" s="247"/>
      <c r="Q61" s="211"/>
      <c r="R61" s="211"/>
      <c r="S61" s="211"/>
      <c r="T61" s="211"/>
      <c r="U61" s="211"/>
      <c r="AF61" s="11"/>
      <c r="AG61" s="11"/>
      <c r="AH61" s="11"/>
      <c r="AI61" s="11"/>
      <c r="AJ61" s="11"/>
      <c r="AK61" s="11"/>
      <c r="AL61" s="11"/>
    </row>
    <row r="62" spans="1:38" x14ac:dyDescent="0.25">
      <c r="A62" s="38">
        <f>+Données!A62</f>
        <v>5496</v>
      </c>
      <c r="B62" s="229" t="str">
        <f>+Données!B62</f>
        <v>Penthaz</v>
      </c>
      <c r="C62" s="220">
        <f>+Ecrêtage!C62</f>
        <v>61651.518705035967</v>
      </c>
      <c r="D62" s="218"/>
      <c r="E62" s="220">
        <f>Données!AF62+Données!AG62+Données!AH62</f>
        <v>707520</v>
      </c>
      <c r="F62" s="218">
        <f t="shared" si="3"/>
        <v>493212.14964028774</v>
      </c>
      <c r="G62" s="8">
        <f t="shared" si="4"/>
        <v>214307.85035971226</v>
      </c>
      <c r="H62" s="289">
        <f t="shared" si="5"/>
        <v>-160730.8877697842</v>
      </c>
      <c r="J62" s="8">
        <f>Données!AN62</f>
        <v>15456</v>
      </c>
      <c r="K62" s="198">
        <f t="shared" si="6"/>
        <v>61651.518705035967</v>
      </c>
      <c r="L62" s="12">
        <f t="shared" si="7"/>
        <v>0</v>
      </c>
      <c r="M62" s="289">
        <f t="shared" si="8"/>
        <v>0</v>
      </c>
      <c r="O62" s="42">
        <f t="shared" si="9"/>
        <v>-160730.8877697842</v>
      </c>
      <c r="P62" s="247"/>
      <c r="Q62" s="211"/>
      <c r="R62" s="211"/>
      <c r="S62" s="211"/>
      <c r="T62" s="211"/>
      <c r="U62" s="211"/>
      <c r="AF62" s="11"/>
      <c r="AG62" s="11"/>
      <c r="AH62" s="11"/>
      <c r="AI62" s="11"/>
      <c r="AJ62" s="11"/>
      <c r="AK62" s="11"/>
      <c r="AL62" s="11"/>
    </row>
    <row r="63" spans="1:38" x14ac:dyDescent="0.25">
      <c r="A63" s="38">
        <f>+Données!A63</f>
        <v>5497</v>
      </c>
      <c r="B63" s="229" t="str">
        <f>+Données!B63</f>
        <v>Pompaples</v>
      </c>
      <c r="C63" s="220">
        <f>+Ecrêtage!C63</f>
        <v>22949.830606060608</v>
      </c>
      <c r="D63" s="218"/>
      <c r="E63" s="220">
        <f>Données!AF63+Données!AG63+Données!AH63</f>
        <v>358656</v>
      </c>
      <c r="F63" s="218">
        <f t="shared" si="3"/>
        <v>183598.64484848487</v>
      </c>
      <c r="G63" s="8">
        <f t="shared" si="4"/>
        <v>175057.35515151513</v>
      </c>
      <c r="H63" s="289">
        <f t="shared" si="5"/>
        <v>-131293.01636363636</v>
      </c>
      <c r="J63" s="8">
        <f>Données!AN63</f>
        <v>10604</v>
      </c>
      <c r="K63" s="198">
        <f t="shared" si="6"/>
        <v>22949.830606060608</v>
      </c>
      <c r="L63" s="12">
        <f t="shared" si="7"/>
        <v>0</v>
      </c>
      <c r="M63" s="289">
        <f t="shared" si="8"/>
        <v>0</v>
      </c>
      <c r="O63" s="42">
        <f t="shared" si="9"/>
        <v>-131293.01636363636</v>
      </c>
      <c r="P63" s="247"/>
      <c r="Q63" s="211"/>
      <c r="R63" s="211"/>
      <c r="S63" s="211"/>
      <c r="T63" s="211"/>
      <c r="U63" s="211"/>
      <c r="AF63" s="11"/>
      <c r="AG63" s="11"/>
      <c r="AH63" s="11"/>
      <c r="AI63" s="11"/>
      <c r="AJ63" s="11"/>
      <c r="AK63" s="11"/>
      <c r="AL63" s="11"/>
    </row>
    <row r="64" spans="1:38" x14ac:dyDescent="0.25">
      <c r="A64" s="38">
        <f>+Données!A64</f>
        <v>5498</v>
      </c>
      <c r="B64" s="229" t="str">
        <f>+Données!B64</f>
        <v>La Sarraz</v>
      </c>
      <c r="C64" s="220">
        <f>+Ecrêtage!C64</f>
        <v>73743.655606060609</v>
      </c>
      <c r="D64" s="218"/>
      <c r="E64" s="220">
        <f>Données!AF64+Données!AG64+Données!AH64</f>
        <v>1249216</v>
      </c>
      <c r="F64" s="218">
        <f t="shared" si="3"/>
        <v>589949.24484848487</v>
      </c>
      <c r="G64" s="8">
        <f t="shared" si="4"/>
        <v>659266.75515151513</v>
      </c>
      <c r="H64" s="289">
        <f t="shared" si="5"/>
        <v>-494450.06636363635</v>
      </c>
      <c r="J64" s="8">
        <f>Données!AN64</f>
        <v>33543</v>
      </c>
      <c r="K64" s="198">
        <f t="shared" si="6"/>
        <v>73743.655606060609</v>
      </c>
      <c r="L64" s="12">
        <f t="shared" si="7"/>
        <v>0</v>
      </c>
      <c r="M64" s="289">
        <f t="shared" si="8"/>
        <v>0</v>
      </c>
      <c r="O64" s="42">
        <f t="shared" si="9"/>
        <v>-494450.06636363635</v>
      </c>
      <c r="P64" s="247"/>
      <c r="Q64" s="211"/>
      <c r="R64" s="211"/>
      <c r="S64" s="211"/>
      <c r="T64" s="211"/>
      <c r="U64" s="211"/>
      <c r="AF64" s="11"/>
      <c r="AG64" s="11"/>
      <c r="AH64" s="11"/>
      <c r="AI64" s="11"/>
      <c r="AJ64" s="11"/>
      <c r="AK64" s="11"/>
      <c r="AL64" s="11"/>
    </row>
    <row r="65" spans="1:38" x14ac:dyDescent="0.25">
      <c r="A65" s="38">
        <f>+Données!A65</f>
        <v>5499</v>
      </c>
      <c r="B65" s="229" t="str">
        <f>+Données!B65</f>
        <v>Senarclens</v>
      </c>
      <c r="C65" s="220">
        <f>+Ecrêtage!C65</f>
        <v>20491.103065693427</v>
      </c>
      <c r="D65" s="218"/>
      <c r="E65" s="220">
        <f>Données!AF65+Données!AG65+Données!AH65</f>
        <v>207771</v>
      </c>
      <c r="F65" s="218">
        <f t="shared" si="3"/>
        <v>163928.82452554742</v>
      </c>
      <c r="G65" s="8">
        <f t="shared" si="4"/>
        <v>43842.175474452582</v>
      </c>
      <c r="H65" s="289">
        <f t="shared" si="5"/>
        <v>-32881.631605839437</v>
      </c>
      <c r="J65" s="8">
        <f>Données!AN65</f>
        <v>16874</v>
      </c>
      <c r="K65" s="198">
        <f t="shared" si="6"/>
        <v>20491.103065693427</v>
      </c>
      <c r="L65" s="12">
        <f t="shared" si="7"/>
        <v>0</v>
      </c>
      <c r="M65" s="289">
        <f t="shared" si="8"/>
        <v>0</v>
      </c>
      <c r="O65" s="42">
        <f t="shared" si="9"/>
        <v>-32881.631605839437</v>
      </c>
      <c r="P65" s="247"/>
      <c r="Q65" s="211"/>
      <c r="R65" s="211"/>
      <c r="S65" s="211"/>
      <c r="T65" s="211"/>
      <c r="U65" s="211"/>
      <c r="AF65" s="11"/>
      <c r="AG65" s="11"/>
      <c r="AH65" s="11"/>
      <c r="AI65" s="11"/>
      <c r="AJ65" s="11"/>
      <c r="AK65" s="11"/>
      <c r="AL65" s="11"/>
    </row>
    <row r="66" spans="1:38" x14ac:dyDescent="0.25">
      <c r="A66" s="38">
        <f>+Données!A66</f>
        <v>5501</v>
      </c>
      <c r="B66" s="229" t="str">
        <f>+Données!B66</f>
        <v>Sullens</v>
      </c>
      <c r="C66" s="220">
        <f>+Ecrêtage!C66</f>
        <v>53840.673124999994</v>
      </c>
      <c r="D66" s="218"/>
      <c r="E66" s="220">
        <f>Données!AF66+Données!AG66+Données!AH66</f>
        <v>356945</v>
      </c>
      <c r="F66" s="218">
        <f t="shared" si="3"/>
        <v>430725.38499999995</v>
      </c>
      <c r="G66" s="8">
        <f t="shared" si="4"/>
        <v>0</v>
      </c>
      <c r="H66" s="289">
        <f t="shared" si="5"/>
        <v>0</v>
      </c>
      <c r="J66" s="8">
        <f>Données!AN66</f>
        <v>51529</v>
      </c>
      <c r="K66" s="198">
        <f t="shared" si="6"/>
        <v>53840.673124999994</v>
      </c>
      <c r="L66" s="12">
        <f t="shared" si="7"/>
        <v>0</v>
      </c>
      <c r="M66" s="289">
        <f t="shared" si="8"/>
        <v>0</v>
      </c>
      <c r="O66" s="42">
        <f t="shared" si="9"/>
        <v>0</v>
      </c>
      <c r="P66" s="247"/>
      <c r="Q66" s="211"/>
      <c r="R66" s="211"/>
      <c r="S66" s="211"/>
      <c r="T66" s="211"/>
      <c r="U66" s="211"/>
      <c r="AF66" s="11"/>
      <c r="AG66" s="11"/>
      <c r="AH66" s="11"/>
      <c r="AI66" s="11"/>
      <c r="AJ66" s="11"/>
      <c r="AK66" s="11"/>
      <c r="AL66" s="11"/>
    </row>
    <row r="67" spans="1:38" x14ac:dyDescent="0.25">
      <c r="A67" s="38">
        <f>+Données!A67</f>
        <v>5503</v>
      </c>
      <c r="B67" s="229" t="str">
        <f>+Données!B67</f>
        <v>Vufflens-la-Ville</v>
      </c>
      <c r="C67" s="220">
        <f>+Ecrêtage!C67</f>
        <v>75222.663980099518</v>
      </c>
      <c r="D67" s="218"/>
      <c r="E67" s="220">
        <f>Données!AF67+Données!AG67+Données!AH67</f>
        <v>457983</v>
      </c>
      <c r="F67" s="218">
        <f t="shared" si="3"/>
        <v>601781.31184079614</v>
      </c>
      <c r="G67" s="8">
        <f t="shared" si="4"/>
        <v>0</v>
      </c>
      <c r="H67" s="289">
        <f t="shared" si="5"/>
        <v>0</v>
      </c>
      <c r="J67" s="8">
        <f>Données!AN67</f>
        <v>45663</v>
      </c>
      <c r="K67" s="198">
        <f t="shared" si="6"/>
        <v>75222.663980099518</v>
      </c>
      <c r="L67" s="12">
        <f t="shared" si="7"/>
        <v>0</v>
      </c>
      <c r="M67" s="289">
        <f t="shared" si="8"/>
        <v>0</v>
      </c>
      <c r="O67" s="42">
        <f t="shared" si="9"/>
        <v>0</v>
      </c>
      <c r="P67" s="247"/>
      <c r="Q67" s="211"/>
      <c r="R67" s="211"/>
      <c r="S67" s="211"/>
      <c r="T67" s="211"/>
      <c r="U67" s="211"/>
      <c r="AF67" s="11"/>
      <c r="AG67" s="11"/>
      <c r="AH67" s="11"/>
      <c r="AI67" s="11"/>
      <c r="AJ67" s="11"/>
      <c r="AK67" s="11"/>
      <c r="AL67" s="11"/>
    </row>
    <row r="68" spans="1:38" x14ac:dyDescent="0.25">
      <c r="A68" s="38">
        <f>+Données!A68</f>
        <v>5511</v>
      </c>
      <c r="B68" s="229" t="str">
        <f>+Données!B68</f>
        <v>Assens</v>
      </c>
      <c r="C68" s="220">
        <f>+Ecrêtage!C68</f>
        <v>72835.778857142868</v>
      </c>
      <c r="D68" s="218"/>
      <c r="E68" s="220">
        <f>Données!AF68+Données!AG68+Données!AH68</f>
        <v>916731</v>
      </c>
      <c r="F68" s="218">
        <f t="shared" si="3"/>
        <v>582686.23085714295</v>
      </c>
      <c r="G68" s="8">
        <f t="shared" si="4"/>
        <v>334044.76914285705</v>
      </c>
      <c r="H68" s="289">
        <f t="shared" si="5"/>
        <v>-250533.57685714279</v>
      </c>
      <c r="J68" s="8">
        <f>Données!AN68</f>
        <v>-24545</v>
      </c>
      <c r="K68" s="198">
        <f t="shared" si="6"/>
        <v>72835.778857142868</v>
      </c>
      <c r="L68" s="12">
        <f t="shared" si="7"/>
        <v>0</v>
      </c>
      <c r="M68" s="289">
        <f t="shared" si="8"/>
        <v>0</v>
      </c>
      <c r="O68" s="42">
        <f t="shared" si="9"/>
        <v>-250533.57685714279</v>
      </c>
      <c r="P68" s="247"/>
      <c r="Q68" s="211"/>
      <c r="R68" s="211"/>
      <c r="S68" s="211"/>
      <c r="T68" s="211"/>
      <c r="U68" s="211"/>
      <c r="AF68" s="11"/>
      <c r="AG68" s="11"/>
      <c r="AH68" s="11"/>
      <c r="AI68" s="11"/>
      <c r="AJ68" s="11"/>
      <c r="AK68" s="11"/>
      <c r="AL68" s="11"/>
    </row>
    <row r="69" spans="1:38" x14ac:dyDescent="0.25">
      <c r="A69" s="38">
        <f>+Données!A69</f>
        <v>5512</v>
      </c>
      <c r="B69" s="229" t="str">
        <f>+Données!B69</f>
        <v>Bercher</v>
      </c>
      <c r="C69" s="220">
        <f>+Ecrêtage!C69</f>
        <v>41198.7282278481</v>
      </c>
      <c r="D69" s="218"/>
      <c r="E69" s="220">
        <f>Données!AF69+Données!AG69+Données!AH69</f>
        <v>654369</v>
      </c>
      <c r="F69" s="218">
        <f t="shared" si="3"/>
        <v>329589.8258227848</v>
      </c>
      <c r="G69" s="8">
        <f t="shared" si="4"/>
        <v>324779.1741772152</v>
      </c>
      <c r="H69" s="289">
        <f t="shared" si="5"/>
        <v>-243584.3806329114</v>
      </c>
      <c r="J69" s="8">
        <f>Données!AN69</f>
        <v>16074</v>
      </c>
      <c r="K69" s="198">
        <f t="shared" si="6"/>
        <v>41198.7282278481</v>
      </c>
      <c r="L69" s="12">
        <f t="shared" si="7"/>
        <v>0</v>
      </c>
      <c r="M69" s="289">
        <f t="shared" si="8"/>
        <v>0</v>
      </c>
      <c r="O69" s="42">
        <f t="shared" si="9"/>
        <v>-243584.3806329114</v>
      </c>
      <c r="P69" s="247"/>
      <c r="Q69" s="211"/>
      <c r="R69" s="211"/>
      <c r="S69" s="211"/>
      <c r="T69" s="211"/>
      <c r="U69" s="211"/>
      <c r="AF69" s="11"/>
      <c r="AG69" s="11"/>
      <c r="AH69" s="11"/>
      <c r="AI69" s="11"/>
      <c r="AJ69" s="11"/>
      <c r="AK69" s="11"/>
      <c r="AL69" s="11"/>
    </row>
    <row r="70" spans="1:38" x14ac:dyDescent="0.25">
      <c r="A70" s="38">
        <f>+Données!A70</f>
        <v>5514</v>
      </c>
      <c r="B70" s="229" t="str">
        <f>+Données!B70</f>
        <v>Bottens</v>
      </c>
      <c r="C70" s="220">
        <f>+Ecrêtage!C70</f>
        <v>45712.235586206894</v>
      </c>
      <c r="D70" s="218"/>
      <c r="E70" s="220">
        <f>Données!AF70+Données!AG70+Données!AH70</f>
        <v>404162</v>
      </c>
      <c r="F70" s="218">
        <f t="shared" si="3"/>
        <v>365697.88468965515</v>
      </c>
      <c r="G70" s="8">
        <f t="shared" si="4"/>
        <v>38464.115310344845</v>
      </c>
      <c r="H70" s="289">
        <f t="shared" si="5"/>
        <v>-28848.086482758634</v>
      </c>
      <c r="J70" s="8">
        <f>Données!AN70</f>
        <v>63754</v>
      </c>
      <c r="K70" s="198">
        <f t="shared" si="6"/>
        <v>45712.235586206894</v>
      </c>
      <c r="L70" s="12">
        <f t="shared" si="7"/>
        <v>18041.764413793106</v>
      </c>
      <c r="M70" s="289">
        <f t="shared" si="8"/>
        <v>-13531.323310344829</v>
      </c>
      <c r="O70" s="42">
        <f t="shared" si="9"/>
        <v>-42379.409793103463</v>
      </c>
      <c r="P70" s="247"/>
      <c r="Q70" s="211"/>
      <c r="R70" s="211"/>
      <c r="S70" s="211"/>
      <c r="T70" s="211"/>
      <c r="U70" s="211"/>
      <c r="AF70" s="11"/>
      <c r="AG70" s="11"/>
      <c r="AH70" s="11"/>
      <c r="AI70" s="11"/>
      <c r="AJ70" s="11"/>
      <c r="AK70" s="11"/>
      <c r="AL70" s="11"/>
    </row>
    <row r="71" spans="1:38" x14ac:dyDescent="0.25">
      <c r="A71" s="38">
        <f>+Données!A71</f>
        <v>5515</v>
      </c>
      <c r="B71" s="229" t="str">
        <f>+Données!B71</f>
        <v>Bretigny-sur-Morrens</v>
      </c>
      <c r="C71" s="220">
        <f>+Ecrêtage!C71</f>
        <v>29285.295897435899</v>
      </c>
      <c r="D71" s="218"/>
      <c r="E71" s="220">
        <f>Données!AF71+Données!AG71+Données!AH71</f>
        <v>292727</v>
      </c>
      <c r="F71" s="218">
        <f t="shared" ref="F71:F134" si="10">+C71*$G$5</f>
        <v>234282.36717948719</v>
      </c>
      <c r="G71" s="8">
        <f t="shared" ref="G71:G134" si="11">IF(E71&gt;F71,E71-F71,0)</f>
        <v>58444.632820512808</v>
      </c>
      <c r="H71" s="289">
        <f t="shared" ref="H71:H134" si="12">-G71*H$5</f>
        <v>-43833.474615384606</v>
      </c>
      <c r="J71" s="8">
        <f>Données!AN71</f>
        <v>9480</v>
      </c>
      <c r="K71" s="198">
        <f t="shared" ref="K71:K134" si="13">C71*L$5</f>
        <v>29285.295897435899</v>
      </c>
      <c r="L71" s="12">
        <f t="shared" ref="L71:L134" si="14">IF(J71&gt;K71,J71-K71,0)</f>
        <v>0</v>
      </c>
      <c r="M71" s="289">
        <f t="shared" ref="M71:M134" si="15">-L71*M$5</f>
        <v>0</v>
      </c>
      <c r="O71" s="42">
        <f t="shared" ref="O71:O134" si="16">M71+H71</f>
        <v>-43833.474615384606</v>
      </c>
      <c r="P71" s="247"/>
      <c r="Q71" s="211"/>
      <c r="R71" s="211"/>
      <c r="S71" s="211"/>
      <c r="T71" s="211"/>
      <c r="U71" s="211"/>
      <c r="AF71" s="11"/>
      <c r="AG71" s="11"/>
      <c r="AH71" s="11"/>
      <c r="AI71" s="11"/>
      <c r="AJ71" s="11"/>
      <c r="AK71" s="11"/>
      <c r="AL71" s="11"/>
    </row>
    <row r="72" spans="1:38" x14ac:dyDescent="0.25">
      <c r="A72" s="38">
        <f>+Données!A72</f>
        <v>5516</v>
      </c>
      <c r="B72" s="229" t="str">
        <f>+Données!B72</f>
        <v>Cugy</v>
      </c>
      <c r="C72" s="220">
        <f>+Ecrêtage!C72</f>
        <v>110290.24758771928</v>
      </c>
      <c r="D72" s="218"/>
      <c r="E72" s="220">
        <f>Données!AF72+Données!AG72+Données!AH72</f>
        <v>1136169</v>
      </c>
      <c r="F72" s="218">
        <f t="shared" si="10"/>
        <v>882321.98070175422</v>
      </c>
      <c r="G72" s="8">
        <f t="shared" si="11"/>
        <v>253847.01929824578</v>
      </c>
      <c r="H72" s="289">
        <f t="shared" si="12"/>
        <v>-190385.26447368434</v>
      </c>
      <c r="J72" s="8">
        <f>Données!AN72</f>
        <v>15284</v>
      </c>
      <c r="K72" s="198">
        <f t="shared" si="13"/>
        <v>110290.24758771928</v>
      </c>
      <c r="L72" s="12">
        <f t="shared" si="14"/>
        <v>0</v>
      </c>
      <c r="M72" s="289">
        <f t="shared" si="15"/>
        <v>0</v>
      </c>
      <c r="O72" s="42">
        <f t="shared" si="16"/>
        <v>-190385.26447368434</v>
      </c>
      <c r="P72" s="247"/>
      <c r="Q72" s="211"/>
      <c r="R72" s="211"/>
      <c r="S72" s="211"/>
      <c r="T72" s="211"/>
      <c r="U72" s="211"/>
      <c r="AF72" s="11"/>
      <c r="AG72" s="11"/>
      <c r="AH72" s="11"/>
      <c r="AI72" s="11"/>
      <c r="AJ72" s="11"/>
      <c r="AK72" s="11"/>
      <c r="AL72" s="11"/>
    </row>
    <row r="73" spans="1:38" x14ac:dyDescent="0.25">
      <c r="A73" s="38">
        <f>+Données!A73</f>
        <v>5518</v>
      </c>
      <c r="B73" s="229" t="str">
        <f>+Données!B73</f>
        <v>Echallens</v>
      </c>
      <c r="C73" s="220">
        <f>+Ecrêtage!C73</f>
        <v>193282.28662068967</v>
      </c>
      <c r="D73" s="218"/>
      <c r="E73" s="220">
        <f>Données!AF73+Données!AG73+Données!AH73</f>
        <v>3468283</v>
      </c>
      <c r="F73" s="218">
        <f t="shared" si="10"/>
        <v>1546258.2929655174</v>
      </c>
      <c r="G73" s="8">
        <f t="shared" si="11"/>
        <v>1922024.7070344826</v>
      </c>
      <c r="H73" s="289">
        <f t="shared" si="12"/>
        <v>-1441518.530275862</v>
      </c>
      <c r="J73" s="8">
        <f>Données!AN73</f>
        <v>91227</v>
      </c>
      <c r="K73" s="198">
        <f t="shared" si="13"/>
        <v>193282.28662068967</v>
      </c>
      <c r="L73" s="12">
        <f t="shared" si="14"/>
        <v>0</v>
      </c>
      <c r="M73" s="289">
        <f t="shared" si="15"/>
        <v>0</v>
      </c>
      <c r="O73" s="42">
        <f t="shared" si="16"/>
        <v>-1441518.530275862</v>
      </c>
      <c r="P73" s="247"/>
      <c r="Q73" s="211"/>
      <c r="R73" s="211"/>
      <c r="S73" s="211"/>
      <c r="T73" s="211"/>
      <c r="U73" s="211"/>
      <c r="AF73" s="11"/>
      <c r="AG73" s="11"/>
      <c r="AH73" s="11"/>
      <c r="AI73" s="11"/>
      <c r="AJ73" s="11"/>
      <c r="AK73" s="11"/>
      <c r="AL73" s="11"/>
    </row>
    <row r="74" spans="1:38" x14ac:dyDescent="0.25">
      <c r="A74" s="38">
        <f>+Données!A74</f>
        <v>5520</v>
      </c>
      <c r="B74" s="229" t="str">
        <f>+Données!B74</f>
        <v>Essertines-sur-Yverdon</v>
      </c>
      <c r="C74" s="220">
        <f>+Ecrêtage!C74</f>
        <v>31422.035945945943</v>
      </c>
      <c r="D74" s="218"/>
      <c r="E74" s="220">
        <f>Données!AF74+Données!AG74+Données!AH74</f>
        <v>723100</v>
      </c>
      <c r="F74" s="218">
        <f t="shared" si="10"/>
        <v>251376.28756756755</v>
      </c>
      <c r="G74" s="8">
        <f t="shared" si="11"/>
        <v>471723.71243243245</v>
      </c>
      <c r="H74" s="289">
        <f t="shared" si="12"/>
        <v>-353792.78432432434</v>
      </c>
      <c r="J74" s="8">
        <f>Données!AN74</f>
        <v>85517</v>
      </c>
      <c r="K74" s="198">
        <f t="shared" si="13"/>
        <v>31422.035945945943</v>
      </c>
      <c r="L74" s="12">
        <f t="shared" si="14"/>
        <v>54094.964054054057</v>
      </c>
      <c r="M74" s="289">
        <f t="shared" si="15"/>
        <v>-40571.223040540543</v>
      </c>
      <c r="O74" s="42">
        <f t="shared" si="16"/>
        <v>-394364.00736486487</v>
      </c>
      <c r="P74" s="247"/>
      <c r="Q74" s="211"/>
      <c r="R74" s="211"/>
      <c r="S74" s="211"/>
      <c r="T74" s="211"/>
      <c r="U74" s="211"/>
      <c r="AF74" s="11"/>
      <c r="AG74" s="11"/>
      <c r="AH74" s="11"/>
      <c r="AI74" s="11"/>
      <c r="AJ74" s="11"/>
      <c r="AK74" s="11"/>
      <c r="AL74" s="11"/>
    </row>
    <row r="75" spans="1:38" x14ac:dyDescent="0.25">
      <c r="A75" s="38">
        <f>+Données!A75</f>
        <v>5521</v>
      </c>
      <c r="B75" s="229" t="str">
        <f>+Données!B75</f>
        <v>Etagnières</v>
      </c>
      <c r="C75" s="220">
        <f>+Ecrêtage!C75</f>
        <v>47189.665890410972</v>
      </c>
      <c r="D75" s="218"/>
      <c r="E75" s="220">
        <f>Données!AF75+Données!AG75+Données!AH75</f>
        <v>464791</v>
      </c>
      <c r="F75" s="218">
        <f t="shared" si="10"/>
        <v>377517.32712328777</v>
      </c>
      <c r="G75" s="8">
        <f t="shared" si="11"/>
        <v>87273.672876712226</v>
      </c>
      <c r="H75" s="289">
        <f t="shared" si="12"/>
        <v>-65455.254657534169</v>
      </c>
      <c r="J75" s="8">
        <f>Données!AN75</f>
        <v>-1717</v>
      </c>
      <c r="K75" s="198">
        <f t="shared" si="13"/>
        <v>47189.665890410972</v>
      </c>
      <c r="L75" s="12">
        <f t="shared" si="14"/>
        <v>0</v>
      </c>
      <c r="M75" s="289">
        <f t="shared" si="15"/>
        <v>0</v>
      </c>
      <c r="O75" s="42">
        <f t="shared" si="16"/>
        <v>-65455.254657534169</v>
      </c>
      <c r="P75" s="247"/>
      <c r="Q75" s="211"/>
      <c r="R75" s="211"/>
      <c r="S75" s="211"/>
      <c r="T75" s="211"/>
      <c r="U75" s="211"/>
      <c r="AF75" s="11"/>
      <c r="AG75" s="11"/>
      <c r="AH75" s="11"/>
      <c r="AI75" s="11"/>
      <c r="AJ75" s="11"/>
      <c r="AK75" s="11"/>
      <c r="AL75" s="11"/>
    </row>
    <row r="76" spans="1:38" x14ac:dyDescent="0.25">
      <c r="A76" s="38">
        <f>+Données!A76</f>
        <v>5522</v>
      </c>
      <c r="B76" s="229" t="str">
        <f>+Données!B76</f>
        <v>Fey</v>
      </c>
      <c r="C76" s="220">
        <f>+Ecrêtage!C76</f>
        <v>24172.463733333334</v>
      </c>
      <c r="D76" s="218"/>
      <c r="E76" s="220">
        <f>Données!AF76+Données!AG76+Données!AH76</f>
        <v>365045</v>
      </c>
      <c r="F76" s="218">
        <f t="shared" si="10"/>
        <v>193379.70986666667</v>
      </c>
      <c r="G76" s="8">
        <f t="shared" si="11"/>
        <v>171665.29013333333</v>
      </c>
      <c r="H76" s="289">
        <f t="shared" si="12"/>
        <v>-128748.9676</v>
      </c>
      <c r="J76" s="8">
        <f>Données!AN76</f>
        <v>22928</v>
      </c>
      <c r="K76" s="198">
        <f t="shared" si="13"/>
        <v>24172.463733333334</v>
      </c>
      <c r="L76" s="12">
        <f t="shared" si="14"/>
        <v>0</v>
      </c>
      <c r="M76" s="289">
        <f t="shared" si="15"/>
        <v>0</v>
      </c>
      <c r="O76" s="42">
        <f t="shared" si="16"/>
        <v>-128748.9676</v>
      </c>
      <c r="P76" s="247"/>
      <c r="Q76" s="211"/>
      <c r="R76" s="211"/>
      <c r="S76" s="211"/>
      <c r="T76" s="211"/>
      <c r="U76" s="211"/>
      <c r="AF76" s="11"/>
      <c r="AG76" s="11"/>
      <c r="AH76" s="11"/>
      <c r="AI76" s="11"/>
      <c r="AJ76" s="11"/>
      <c r="AK76" s="11"/>
      <c r="AL76" s="11"/>
    </row>
    <row r="77" spans="1:38" x14ac:dyDescent="0.25">
      <c r="A77" s="38">
        <f>+Données!A77</f>
        <v>5523</v>
      </c>
      <c r="B77" s="229" t="str">
        <f>+Données!B77</f>
        <v>Froideville</v>
      </c>
      <c r="C77" s="220">
        <f>+Ecrêtage!C77</f>
        <v>92224.237222222204</v>
      </c>
      <c r="D77" s="218"/>
      <c r="E77" s="220">
        <f>Données!AF77+Données!AG77+Données!AH77</f>
        <v>874087</v>
      </c>
      <c r="F77" s="218">
        <f t="shared" si="10"/>
        <v>737793.89777777763</v>
      </c>
      <c r="G77" s="8">
        <f t="shared" si="11"/>
        <v>136293.10222222237</v>
      </c>
      <c r="H77" s="289">
        <f t="shared" si="12"/>
        <v>-102219.82666666678</v>
      </c>
      <c r="J77" s="8">
        <f>Données!AN77</f>
        <v>-53661</v>
      </c>
      <c r="K77" s="198">
        <f t="shared" si="13"/>
        <v>92224.237222222204</v>
      </c>
      <c r="L77" s="12">
        <f t="shared" si="14"/>
        <v>0</v>
      </c>
      <c r="M77" s="289">
        <f t="shared" si="15"/>
        <v>0</v>
      </c>
      <c r="O77" s="42">
        <f t="shared" si="16"/>
        <v>-102219.82666666678</v>
      </c>
      <c r="P77" s="247"/>
      <c r="Q77" s="211"/>
      <c r="R77" s="211"/>
      <c r="S77" s="211"/>
      <c r="T77" s="211"/>
      <c r="U77" s="211"/>
      <c r="AF77" s="11"/>
      <c r="AG77" s="11"/>
      <c r="AH77" s="11"/>
      <c r="AI77" s="11"/>
      <c r="AJ77" s="11"/>
      <c r="AK77" s="11"/>
      <c r="AL77" s="11"/>
    </row>
    <row r="78" spans="1:38" x14ac:dyDescent="0.25">
      <c r="A78" s="38">
        <f>+Données!A78</f>
        <v>5527</v>
      </c>
      <c r="B78" s="229" t="str">
        <f>+Données!B78</f>
        <v>Morrens</v>
      </c>
      <c r="C78" s="220">
        <f>+Ecrêtage!C78</f>
        <v>40722.505675675682</v>
      </c>
      <c r="D78" s="218"/>
      <c r="E78" s="220">
        <f>Données!AF78+Données!AG78+Données!AH78</f>
        <v>336192</v>
      </c>
      <c r="F78" s="218">
        <f t="shared" si="10"/>
        <v>325780.04540540546</v>
      </c>
      <c r="G78" s="8">
        <f t="shared" si="11"/>
        <v>10411.954594594543</v>
      </c>
      <c r="H78" s="289">
        <f t="shared" si="12"/>
        <v>-7808.9659459459072</v>
      </c>
      <c r="J78" s="8">
        <f>Données!AN78</f>
        <v>26098</v>
      </c>
      <c r="K78" s="198">
        <f t="shared" si="13"/>
        <v>40722.505675675682</v>
      </c>
      <c r="L78" s="12">
        <f t="shared" si="14"/>
        <v>0</v>
      </c>
      <c r="M78" s="289">
        <f t="shared" si="15"/>
        <v>0</v>
      </c>
      <c r="O78" s="42">
        <f t="shared" si="16"/>
        <v>-7808.9659459459072</v>
      </c>
      <c r="P78" s="247"/>
      <c r="Q78" s="211"/>
      <c r="R78" s="211"/>
      <c r="S78" s="211"/>
      <c r="T78" s="211"/>
      <c r="U78" s="211"/>
      <c r="AF78" s="11"/>
      <c r="AG78" s="11"/>
      <c r="AH78" s="11"/>
      <c r="AI78" s="11"/>
      <c r="AJ78" s="11"/>
      <c r="AK78" s="11"/>
      <c r="AL78" s="11"/>
    </row>
    <row r="79" spans="1:38" x14ac:dyDescent="0.25">
      <c r="A79" s="38">
        <f>+Données!A79</f>
        <v>5529</v>
      </c>
      <c r="B79" s="229" t="str">
        <f>+Données!B79</f>
        <v>Oulens-sous-Echallens</v>
      </c>
      <c r="C79" s="220">
        <f>+Ecrêtage!C79</f>
        <v>22677.013380281693</v>
      </c>
      <c r="D79" s="218"/>
      <c r="E79" s="220">
        <f>Données!AF79+Données!AG79+Données!AH79</f>
        <v>304934</v>
      </c>
      <c r="F79" s="218">
        <f t="shared" si="10"/>
        <v>181416.10704225354</v>
      </c>
      <c r="G79" s="8">
        <f t="shared" si="11"/>
        <v>123517.89295774646</v>
      </c>
      <c r="H79" s="289">
        <f t="shared" si="12"/>
        <v>-92638.419718309844</v>
      </c>
      <c r="J79" s="8">
        <f>Données!AN79</f>
        <v>-16588</v>
      </c>
      <c r="K79" s="198">
        <f t="shared" si="13"/>
        <v>22677.013380281693</v>
      </c>
      <c r="L79" s="12">
        <f t="shared" si="14"/>
        <v>0</v>
      </c>
      <c r="M79" s="289">
        <f t="shared" si="15"/>
        <v>0</v>
      </c>
      <c r="O79" s="42">
        <f t="shared" si="16"/>
        <v>-92638.419718309844</v>
      </c>
      <c r="P79" s="247"/>
      <c r="Q79" s="211"/>
      <c r="R79" s="211"/>
      <c r="S79" s="211"/>
      <c r="T79" s="211"/>
      <c r="U79" s="211"/>
      <c r="AF79" s="11"/>
      <c r="AG79" s="11"/>
      <c r="AH79" s="11"/>
      <c r="AI79" s="11"/>
      <c r="AJ79" s="11"/>
      <c r="AK79" s="11"/>
      <c r="AL79" s="11"/>
    </row>
    <row r="80" spans="1:38" x14ac:dyDescent="0.25">
      <c r="A80" s="38">
        <f>+Données!A80</f>
        <v>5530</v>
      </c>
      <c r="B80" s="229" t="str">
        <f>+Données!B80</f>
        <v>Pailly</v>
      </c>
      <c r="C80" s="220">
        <f>+Ecrêtage!C80</f>
        <v>20359.246820175435</v>
      </c>
      <c r="D80" s="218"/>
      <c r="E80" s="220">
        <f>Données!AF80+Données!AG80+Données!AH80</f>
        <v>256387</v>
      </c>
      <c r="F80" s="218">
        <f t="shared" si="10"/>
        <v>162873.97456140348</v>
      </c>
      <c r="G80" s="8">
        <f t="shared" si="11"/>
        <v>93513.025438596524</v>
      </c>
      <c r="H80" s="289">
        <f t="shared" si="12"/>
        <v>-70134.7690789474</v>
      </c>
      <c r="J80" s="8">
        <f>Données!AN80</f>
        <v>34262</v>
      </c>
      <c r="K80" s="198">
        <f t="shared" si="13"/>
        <v>20359.246820175435</v>
      </c>
      <c r="L80" s="12">
        <f t="shared" si="14"/>
        <v>13902.753179824565</v>
      </c>
      <c r="M80" s="289">
        <f t="shared" si="15"/>
        <v>-10427.064884868425</v>
      </c>
      <c r="O80" s="42">
        <f t="shared" si="16"/>
        <v>-80561.833963815821</v>
      </c>
      <c r="P80" s="247"/>
      <c r="Q80" s="211"/>
      <c r="R80" s="211"/>
      <c r="S80" s="211"/>
      <c r="T80" s="211"/>
      <c r="U80" s="211"/>
      <c r="AF80" s="11"/>
      <c r="AG80" s="11"/>
      <c r="AH80" s="11"/>
      <c r="AI80" s="11"/>
      <c r="AJ80" s="11"/>
      <c r="AK80" s="11"/>
      <c r="AL80" s="11"/>
    </row>
    <row r="81" spans="1:38" x14ac:dyDescent="0.25">
      <c r="A81" s="38">
        <f>+Données!A81</f>
        <v>5531</v>
      </c>
      <c r="B81" s="229" t="str">
        <f>+Données!B81</f>
        <v>Penthéréaz</v>
      </c>
      <c r="C81" s="220">
        <f>+Ecrêtage!C81</f>
        <v>17299.306216216217</v>
      </c>
      <c r="D81" s="218"/>
      <c r="E81" s="220">
        <f>Données!AF81+Données!AG81+Données!AH81</f>
        <v>193480</v>
      </c>
      <c r="F81" s="218">
        <f t="shared" si="10"/>
        <v>138394.44972972973</v>
      </c>
      <c r="G81" s="8">
        <f t="shared" si="11"/>
        <v>55085.550270270265</v>
      </c>
      <c r="H81" s="289">
        <f t="shared" si="12"/>
        <v>-41314.162702702699</v>
      </c>
      <c r="J81" s="8">
        <f>Données!AN81</f>
        <v>27045</v>
      </c>
      <c r="K81" s="198">
        <f t="shared" si="13"/>
        <v>17299.306216216217</v>
      </c>
      <c r="L81" s="12">
        <f t="shared" si="14"/>
        <v>9745.6937837837831</v>
      </c>
      <c r="M81" s="289">
        <f t="shared" si="15"/>
        <v>-7309.2703378378374</v>
      </c>
      <c r="O81" s="42">
        <f t="shared" si="16"/>
        <v>-48623.433040540534</v>
      </c>
      <c r="P81" s="247"/>
      <c r="Q81" s="211"/>
      <c r="R81" s="211"/>
      <c r="S81" s="211"/>
      <c r="T81" s="211"/>
      <c r="U81" s="211"/>
      <c r="AF81" s="11"/>
      <c r="AG81" s="11"/>
      <c r="AH81" s="11"/>
      <c r="AI81" s="11"/>
      <c r="AJ81" s="11"/>
      <c r="AK81" s="11"/>
      <c r="AL81" s="11"/>
    </row>
    <row r="82" spans="1:38" x14ac:dyDescent="0.25">
      <c r="A82" s="38">
        <f>+Données!A82</f>
        <v>5533</v>
      </c>
      <c r="B82" s="229" t="str">
        <f>+Données!B82</f>
        <v>Poliez-Pittet</v>
      </c>
      <c r="C82" s="220">
        <f>+Ecrêtage!C82</f>
        <v>28012.381095890411</v>
      </c>
      <c r="D82" s="218"/>
      <c r="E82" s="220">
        <f>Données!AF82+Données!AG82+Données!AH82</f>
        <v>311652</v>
      </c>
      <c r="F82" s="218">
        <f t="shared" si="10"/>
        <v>224099.04876712328</v>
      </c>
      <c r="G82" s="8">
        <f t="shared" si="11"/>
        <v>87552.951232876716</v>
      </c>
      <c r="H82" s="289">
        <f t="shared" si="12"/>
        <v>-65664.71342465753</v>
      </c>
      <c r="J82" s="8">
        <f>Données!AN82</f>
        <v>41318</v>
      </c>
      <c r="K82" s="198">
        <f t="shared" si="13"/>
        <v>28012.381095890411</v>
      </c>
      <c r="L82" s="12">
        <f t="shared" si="14"/>
        <v>13305.618904109589</v>
      </c>
      <c r="M82" s="289">
        <f t="shared" si="15"/>
        <v>-9979.2141780821912</v>
      </c>
      <c r="O82" s="42">
        <f t="shared" si="16"/>
        <v>-75643.927602739714</v>
      </c>
      <c r="P82" s="247"/>
      <c r="Q82" s="211"/>
      <c r="R82" s="211"/>
      <c r="S82" s="211"/>
      <c r="T82" s="211"/>
      <c r="U82" s="211"/>
      <c r="AF82" s="11"/>
      <c r="AG82" s="11"/>
      <c r="AH82" s="11"/>
      <c r="AI82" s="11"/>
      <c r="AJ82" s="11"/>
      <c r="AK82" s="11"/>
      <c r="AL82" s="11"/>
    </row>
    <row r="83" spans="1:38" x14ac:dyDescent="0.25">
      <c r="A83" s="38">
        <f>+Données!A83</f>
        <v>5534</v>
      </c>
      <c r="B83" s="229" t="str">
        <f>+Données!B83</f>
        <v>Rueyres</v>
      </c>
      <c r="C83" s="220">
        <f>+Ecrêtage!C83</f>
        <v>15042.055228310503</v>
      </c>
      <c r="D83" s="218"/>
      <c r="E83" s="220">
        <f>Données!AF83+Données!AG83+Données!AH83</f>
        <v>89859</v>
      </c>
      <c r="F83" s="218">
        <f t="shared" si="10"/>
        <v>120336.44182648402</v>
      </c>
      <c r="G83" s="8">
        <f t="shared" si="11"/>
        <v>0</v>
      </c>
      <c r="H83" s="289">
        <f t="shared" si="12"/>
        <v>0</v>
      </c>
      <c r="J83" s="8">
        <f>Données!AN83</f>
        <v>10514</v>
      </c>
      <c r="K83" s="198">
        <f t="shared" si="13"/>
        <v>15042.055228310503</v>
      </c>
      <c r="L83" s="12">
        <f t="shared" si="14"/>
        <v>0</v>
      </c>
      <c r="M83" s="289">
        <f t="shared" si="15"/>
        <v>0</v>
      </c>
      <c r="O83" s="42">
        <f t="shared" si="16"/>
        <v>0</v>
      </c>
      <c r="P83" s="247"/>
      <c r="Q83" s="211"/>
      <c r="R83" s="211"/>
      <c r="S83" s="211"/>
      <c r="T83" s="211"/>
      <c r="U83" s="211"/>
      <c r="AF83" s="11"/>
      <c r="AG83" s="11"/>
      <c r="AH83" s="11"/>
      <c r="AI83" s="11"/>
      <c r="AJ83" s="11"/>
      <c r="AK83" s="11"/>
      <c r="AL83" s="11"/>
    </row>
    <row r="84" spans="1:38" x14ac:dyDescent="0.25">
      <c r="A84" s="38">
        <f>+Données!A84</f>
        <v>5535</v>
      </c>
      <c r="B84" s="229" t="str">
        <f>+Données!B84</f>
        <v>Saint-Barthélemy</v>
      </c>
      <c r="C84" s="220">
        <f>+Ecrêtage!C84</f>
        <v>25492.610399999998</v>
      </c>
      <c r="D84" s="218"/>
      <c r="E84" s="220">
        <f>Données!AF84+Données!AG84+Données!AH84</f>
        <v>167510</v>
      </c>
      <c r="F84" s="218">
        <f t="shared" si="10"/>
        <v>203940.88319999998</v>
      </c>
      <c r="G84" s="8">
        <f t="shared" si="11"/>
        <v>0</v>
      </c>
      <c r="H84" s="289">
        <f t="shared" si="12"/>
        <v>0</v>
      </c>
      <c r="J84" s="8">
        <f>Données!AN84</f>
        <v>-12559</v>
      </c>
      <c r="K84" s="198">
        <f t="shared" si="13"/>
        <v>25492.610399999998</v>
      </c>
      <c r="L84" s="12">
        <f t="shared" si="14"/>
        <v>0</v>
      </c>
      <c r="M84" s="289">
        <f t="shared" si="15"/>
        <v>0</v>
      </c>
      <c r="O84" s="42">
        <f t="shared" si="16"/>
        <v>0</v>
      </c>
      <c r="P84" s="247"/>
      <c r="Q84" s="211"/>
      <c r="R84" s="211"/>
      <c r="S84" s="211"/>
      <c r="T84" s="211"/>
      <c r="U84" s="211"/>
      <c r="AF84" s="11"/>
      <c r="AG84" s="11"/>
      <c r="AH84" s="11"/>
      <c r="AI84" s="11"/>
      <c r="AJ84" s="11"/>
      <c r="AK84" s="11"/>
      <c r="AL84" s="11"/>
    </row>
    <row r="85" spans="1:38" x14ac:dyDescent="0.25">
      <c r="A85" s="38">
        <f>+Données!A85</f>
        <v>5537</v>
      </c>
      <c r="B85" s="229" t="str">
        <f>+Données!B85</f>
        <v>Villars-le-Terroir</v>
      </c>
      <c r="C85" s="220">
        <f>+Ecrêtage!C85</f>
        <v>39162.728026315795</v>
      </c>
      <c r="D85" s="218"/>
      <c r="E85" s="220">
        <f>Données!AF85+Données!AG85+Données!AH85</f>
        <v>416992</v>
      </c>
      <c r="F85" s="218">
        <f t="shared" si="10"/>
        <v>313301.82421052636</v>
      </c>
      <c r="G85" s="8">
        <f t="shared" si="11"/>
        <v>103690.17578947364</v>
      </c>
      <c r="H85" s="289">
        <f t="shared" si="12"/>
        <v>-77767.631842105227</v>
      </c>
      <c r="J85" s="8">
        <f>Données!AN85</f>
        <v>20517</v>
      </c>
      <c r="K85" s="198">
        <f t="shared" si="13"/>
        <v>39162.728026315795</v>
      </c>
      <c r="L85" s="12">
        <f t="shared" si="14"/>
        <v>0</v>
      </c>
      <c r="M85" s="289">
        <f t="shared" si="15"/>
        <v>0</v>
      </c>
      <c r="O85" s="42">
        <f t="shared" si="16"/>
        <v>-77767.631842105227</v>
      </c>
      <c r="P85" s="247"/>
      <c r="Q85" s="211"/>
      <c r="R85" s="211"/>
      <c r="S85" s="211"/>
      <c r="T85" s="211"/>
      <c r="U85" s="211"/>
      <c r="AF85" s="11"/>
      <c r="AG85" s="11"/>
      <c r="AH85" s="11"/>
      <c r="AI85" s="11"/>
      <c r="AJ85" s="11"/>
      <c r="AK85" s="11"/>
      <c r="AL85" s="11"/>
    </row>
    <row r="86" spans="1:38" x14ac:dyDescent="0.25">
      <c r="A86" s="38">
        <f>+Données!A86</f>
        <v>5539</v>
      </c>
      <c r="B86" s="229" t="str">
        <f>+Données!B86</f>
        <v>Vuarrens</v>
      </c>
      <c r="C86" s="220">
        <f>+Ecrêtage!C86</f>
        <v>34442.458945578233</v>
      </c>
      <c r="D86" s="218"/>
      <c r="E86" s="220">
        <f>Données!AF86+Données!AG86+Données!AH86</f>
        <v>281354</v>
      </c>
      <c r="F86" s="218">
        <f t="shared" si="10"/>
        <v>275539.67156462587</v>
      </c>
      <c r="G86" s="8">
        <f t="shared" si="11"/>
        <v>5814.3284353741328</v>
      </c>
      <c r="H86" s="289">
        <f t="shared" si="12"/>
        <v>-4360.7463265305996</v>
      </c>
      <c r="J86" s="8">
        <f>Données!AN86</f>
        <v>49692</v>
      </c>
      <c r="K86" s="198">
        <f t="shared" si="13"/>
        <v>34442.458945578233</v>
      </c>
      <c r="L86" s="12">
        <f t="shared" si="14"/>
        <v>15249.541054421767</v>
      </c>
      <c r="M86" s="289">
        <f t="shared" si="15"/>
        <v>-11437.155790816325</v>
      </c>
      <c r="O86" s="42">
        <f t="shared" si="16"/>
        <v>-15797.902117346925</v>
      </c>
      <c r="P86" s="247"/>
      <c r="Q86" s="211"/>
      <c r="R86" s="211"/>
      <c r="S86" s="211"/>
      <c r="T86" s="211"/>
      <c r="U86" s="211"/>
      <c r="AF86" s="11"/>
      <c r="AG86" s="11"/>
      <c r="AH86" s="11"/>
      <c r="AI86" s="11"/>
      <c r="AJ86" s="11"/>
      <c r="AK86" s="11"/>
      <c r="AL86" s="11"/>
    </row>
    <row r="87" spans="1:38" x14ac:dyDescent="0.25">
      <c r="A87" s="38">
        <f>+Données!A87</f>
        <v>5540</v>
      </c>
      <c r="B87" s="229" t="str">
        <f>+Données!B87</f>
        <v>Montilliez</v>
      </c>
      <c r="C87" s="220">
        <f>+Ecrêtage!C87</f>
        <v>67464.467689655183</v>
      </c>
      <c r="D87" s="218"/>
      <c r="E87" s="220">
        <f>Données!AF87+Données!AG87+Données!AH87</f>
        <v>661935</v>
      </c>
      <c r="F87" s="218">
        <f t="shared" si="10"/>
        <v>539715.74151724146</v>
      </c>
      <c r="G87" s="8">
        <f t="shared" si="11"/>
        <v>122219.25848275854</v>
      </c>
      <c r="H87" s="289">
        <f t="shared" si="12"/>
        <v>-91664.443862068903</v>
      </c>
      <c r="J87" s="8">
        <f>Données!AN87</f>
        <v>77720</v>
      </c>
      <c r="K87" s="198">
        <f t="shared" si="13"/>
        <v>67464.467689655183</v>
      </c>
      <c r="L87" s="12">
        <f t="shared" si="14"/>
        <v>10255.532310344817</v>
      </c>
      <c r="M87" s="289">
        <f t="shared" si="15"/>
        <v>-7691.6492327586129</v>
      </c>
      <c r="O87" s="42">
        <f t="shared" si="16"/>
        <v>-99356.09309482752</v>
      </c>
      <c r="P87" s="247"/>
      <c r="Q87" s="211"/>
      <c r="R87" s="211"/>
      <c r="S87" s="211"/>
      <c r="T87" s="211"/>
      <c r="U87" s="211"/>
      <c r="AF87" s="11"/>
      <c r="AG87" s="11"/>
      <c r="AH87" s="11"/>
      <c r="AI87" s="11"/>
      <c r="AJ87" s="11"/>
      <c r="AK87" s="11"/>
      <c r="AL87" s="11"/>
    </row>
    <row r="88" spans="1:38" x14ac:dyDescent="0.25">
      <c r="A88" s="38">
        <f>+Données!A88</f>
        <v>5541</v>
      </c>
      <c r="B88" s="229" t="str">
        <f>+Données!B88</f>
        <v>Goumoëns</v>
      </c>
      <c r="C88" s="220">
        <f>+Ecrêtage!C88</f>
        <v>41726.211258278148</v>
      </c>
      <c r="D88" s="218"/>
      <c r="E88" s="220">
        <f>Données!AF88+Données!AG88+Données!AH88</f>
        <v>348507</v>
      </c>
      <c r="F88" s="218">
        <f t="shared" si="10"/>
        <v>333809.69006622519</v>
      </c>
      <c r="G88" s="8">
        <f t="shared" si="11"/>
        <v>14697.309933774814</v>
      </c>
      <c r="H88" s="289">
        <f t="shared" si="12"/>
        <v>-11022.98245033111</v>
      </c>
      <c r="J88" s="8">
        <f>Données!AN88</f>
        <v>-149724</v>
      </c>
      <c r="K88" s="198">
        <f t="shared" si="13"/>
        <v>41726.211258278148</v>
      </c>
      <c r="L88" s="12">
        <f t="shared" si="14"/>
        <v>0</v>
      </c>
      <c r="M88" s="289">
        <f t="shared" si="15"/>
        <v>0</v>
      </c>
      <c r="O88" s="42">
        <f t="shared" si="16"/>
        <v>-11022.98245033111</v>
      </c>
      <c r="P88" s="247"/>
      <c r="Q88" s="211"/>
      <c r="R88" s="211"/>
      <c r="S88" s="211"/>
      <c r="T88" s="211"/>
      <c r="U88" s="211"/>
      <c r="AF88" s="11"/>
      <c r="AG88" s="11"/>
      <c r="AH88" s="11"/>
      <c r="AI88" s="11"/>
      <c r="AJ88" s="11"/>
      <c r="AK88" s="11"/>
      <c r="AL88" s="11"/>
    </row>
    <row r="89" spans="1:38" x14ac:dyDescent="0.25">
      <c r="A89" s="38">
        <f>+Données!A89</f>
        <v>5551</v>
      </c>
      <c r="B89" s="229" t="str">
        <f>+Données!B89</f>
        <v>Bonvillars</v>
      </c>
      <c r="C89" s="220">
        <f>+Ecrêtage!C89</f>
        <v>18575.023035714283</v>
      </c>
      <c r="D89" s="218"/>
      <c r="E89" s="220">
        <f>Données!AF89+Données!AG89+Données!AH89</f>
        <v>283111</v>
      </c>
      <c r="F89" s="218">
        <f t="shared" si="10"/>
        <v>148600.18428571426</v>
      </c>
      <c r="G89" s="8">
        <f t="shared" si="11"/>
        <v>134510.81571428574</v>
      </c>
      <c r="H89" s="289">
        <f t="shared" si="12"/>
        <v>-100883.11178571431</v>
      </c>
      <c r="J89" s="8">
        <f>Données!AN89</f>
        <v>39433</v>
      </c>
      <c r="K89" s="198">
        <f t="shared" si="13"/>
        <v>18575.023035714283</v>
      </c>
      <c r="L89" s="12">
        <f t="shared" si="14"/>
        <v>20857.976964285717</v>
      </c>
      <c r="M89" s="289">
        <f t="shared" si="15"/>
        <v>-15643.482723214289</v>
      </c>
      <c r="O89" s="42">
        <f t="shared" si="16"/>
        <v>-116526.5945089286</v>
      </c>
      <c r="P89" s="247"/>
      <c r="Q89" s="211"/>
      <c r="R89" s="211"/>
      <c r="S89" s="211"/>
      <c r="T89" s="211"/>
      <c r="U89" s="211"/>
      <c r="AF89" s="11"/>
      <c r="AG89" s="11"/>
      <c r="AH89" s="11"/>
      <c r="AI89" s="11"/>
      <c r="AJ89" s="11"/>
      <c r="AK89" s="11"/>
      <c r="AL89" s="11"/>
    </row>
    <row r="90" spans="1:38" x14ac:dyDescent="0.25">
      <c r="A90" s="38">
        <f>+Données!A90</f>
        <v>5552</v>
      </c>
      <c r="B90" s="229" t="str">
        <f>+Données!B90</f>
        <v>Bullet</v>
      </c>
      <c r="C90" s="220">
        <f>+Ecrêtage!C90</f>
        <v>19038.952167832165</v>
      </c>
      <c r="D90" s="218"/>
      <c r="E90" s="220">
        <f>Données!AF90+Données!AG90+Données!AH90</f>
        <v>517990</v>
      </c>
      <c r="F90" s="218">
        <f t="shared" si="10"/>
        <v>152311.61734265732</v>
      </c>
      <c r="G90" s="8">
        <f t="shared" si="11"/>
        <v>365678.38265734271</v>
      </c>
      <c r="H90" s="289">
        <f t="shared" si="12"/>
        <v>-274258.78699300706</v>
      </c>
      <c r="J90" s="8">
        <f>Données!AN90</f>
        <v>73208</v>
      </c>
      <c r="K90" s="198">
        <f t="shared" si="13"/>
        <v>19038.952167832165</v>
      </c>
      <c r="L90" s="12">
        <f t="shared" si="14"/>
        <v>54169.047832167838</v>
      </c>
      <c r="M90" s="289">
        <f t="shared" si="15"/>
        <v>-40626.785874125882</v>
      </c>
      <c r="O90" s="42">
        <f t="shared" si="16"/>
        <v>-314885.57286713296</v>
      </c>
      <c r="P90" s="247"/>
      <c r="Q90" s="211"/>
      <c r="R90" s="211"/>
      <c r="S90" s="211"/>
      <c r="T90" s="211"/>
      <c r="U90" s="211"/>
      <c r="AF90" s="11"/>
      <c r="AG90" s="11"/>
      <c r="AH90" s="11"/>
      <c r="AI90" s="11"/>
      <c r="AJ90" s="11"/>
      <c r="AK90" s="11"/>
      <c r="AL90" s="11"/>
    </row>
    <row r="91" spans="1:38" x14ac:dyDescent="0.25">
      <c r="A91" s="38">
        <f>+Données!A91</f>
        <v>5553</v>
      </c>
      <c r="B91" s="229" t="str">
        <f>+Données!B91</f>
        <v>Champagne</v>
      </c>
      <c r="C91" s="220">
        <f>+Ecrêtage!C91</f>
        <v>38263.796923076923</v>
      </c>
      <c r="D91" s="218"/>
      <c r="E91" s="220">
        <f>Données!AF91+Données!AG91+Données!AH91</f>
        <v>691471</v>
      </c>
      <c r="F91" s="218">
        <f t="shared" si="10"/>
        <v>306110.37538461538</v>
      </c>
      <c r="G91" s="8">
        <f t="shared" si="11"/>
        <v>385360.62461538462</v>
      </c>
      <c r="H91" s="289">
        <f t="shared" si="12"/>
        <v>-289020.46846153843</v>
      </c>
      <c r="J91" s="8">
        <f>Données!AN91</f>
        <v>32531</v>
      </c>
      <c r="K91" s="198">
        <f t="shared" si="13"/>
        <v>38263.796923076923</v>
      </c>
      <c r="L91" s="12">
        <f t="shared" si="14"/>
        <v>0</v>
      </c>
      <c r="M91" s="289">
        <f t="shared" si="15"/>
        <v>0</v>
      </c>
      <c r="O91" s="42">
        <f t="shared" si="16"/>
        <v>-289020.46846153843</v>
      </c>
      <c r="P91" s="247"/>
      <c r="Q91" s="211"/>
      <c r="R91" s="211"/>
      <c r="S91" s="211"/>
      <c r="T91" s="211"/>
      <c r="U91" s="211"/>
      <c r="AF91" s="11"/>
      <c r="AG91" s="11"/>
      <c r="AH91" s="11"/>
      <c r="AI91" s="11"/>
      <c r="AJ91" s="11"/>
      <c r="AK91" s="11"/>
      <c r="AL91" s="11"/>
    </row>
    <row r="92" spans="1:38" x14ac:dyDescent="0.25">
      <c r="A92" s="38">
        <f>+Données!A92</f>
        <v>5554</v>
      </c>
      <c r="B92" s="229" t="str">
        <f>+Données!B92</f>
        <v>Concise</v>
      </c>
      <c r="C92" s="220">
        <f>+Ecrêtage!C92</f>
        <v>33907.166000000005</v>
      </c>
      <c r="D92" s="218"/>
      <c r="E92" s="220">
        <f>Données!AF92+Données!AG92+Données!AH92</f>
        <v>541644</v>
      </c>
      <c r="F92" s="218">
        <f t="shared" si="10"/>
        <v>271257.32800000004</v>
      </c>
      <c r="G92" s="8">
        <f t="shared" si="11"/>
        <v>270386.67199999996</v>
      </c>
      <c r="H92" s="289">
        <f t="shared" si="12"/>
        <v>-202790.00399999996</v>
      </c>
      <c r="J92" s="8">
        <f>Données!AN92</f>
        <v>25581</v>
      </c>
      <c r="K92" s="198">
        <f t="shared" si="13"/>
        <v>33907.166000000005</v>
      </c>
      <c r="L92" s="12">
        <f t="shared" si="14"/>
        <v>0</v>
      </c>
      <c r="M92" s="289">
        <f t="shared" si="15"/>
        <v>0</v>
      </c>
      <c r="O92" s="42">
        <f t="shared" si="16"/>
        <v>-202790.00399999996</v>
      </c>
      <c r="P92" s="247"/>
      <c r="Q92" s="211"/>
      <c r="R92" s="211"/>
      <c r="S92" s="211"/>
      <c r="T92" s="211"/>
      <c r="U92" s="211"/>
      <c r="AF92" s="11"/>
      <c r="AG92" s="11"/>
      <c r="AH92" s="11"/>
      <c r="AI92" s="11"/>
      <c r="AJ92" s="11"/>
      <c r="AK92" s="11"/>
      <c r="AL92" s="11"/>
    </row>
    <row r="93" spans="1:38" x14ac:dyDescent="0.25">
      <c r="A93" s="38">
        <f>+Données!A93</f>
        <v>5555</v>
      </c>
      <c r="B93" s="229" t="str">
        <f>+Données!B93</f>
        <v>Corcelles-près-Concise</v>
      </c>
      <c r="C93" s="220">
        <f>+Ecrêtage!C93</f>
        <v>13425.201594202899</v>
      </c>
      <c r="D93" s="218"/>
      <c r="E93" s="220">
        <f>Données!AF93+Données!AG93+Données!AH93</f>
        <v>324863</v>
      </c>
      <c r="F93" s="218">
        <f t="shared" si="10"/>
        <v>107401.61275362319</v>
      </c>
      <c r="G93" s="8">
        <f t="shared" si="11"/>
        <v>217461.38724637681</v>
      </c>
      <c r="H93" s="289">
        <f t="shared" si="12"/>
        <v>-163096.0404347826</v>
      </c>
      <c r="J93" s="8">
        <f>Données!AN93</f>
        <v>23809</v>
      </c>
      <c r="K93" s="198">
        <f t="shared" si="13"/>
        <v>13425.201594202899</v>
      </c>
      <c r="L93" s="12">
        <f t="shared" si="14"/>
        <v>10383.798405797101</v>
      </c>
      <c r="M93" s="289">
        <f t="shared" si="15"/>
        <v>-7787.8488043478255</v>
      </c>
      <c r="O93" s="42">
        <f t="shared" si="16"/>
        <v>-170883.88923913043</v>
      </c>
      <c r="P93" s="247"/>
      <c r="Q93" s="211"/>
      <c r="R93" s="211"/>
      <c r="S93" s="211"/>
      <c r="T93" s="211"/>
      <c r="U93" s="211"/>
      <c r="AF93" s="11"/>
      <c r="AG93" s="11"/>
      <c r="AH93" s="11"/>
      <c r="AI93" s="11"/>
      <c r="AJ93" s="11"/>
      <c r="AK93" s="11"/>
      <c r="AL93" s="11"/>
    </row>
    <row r="94" spans="1:38" x14ac:dyDescent="0.25">
      <c r="A94" s="38">
        <f>+Données!A94</f>
        <v>5556</v>
      </c>
      <c r="B94" s="229" t="str">
        <f>+Données!B94</f>
        <v>Fiez</v>
      </c>
      <c r="C94" s="220">
        <f>+Ecrêtage!C94</f>
        <v>13304.241787439612</v>
      </c>
      <c r="D94" s="218"/>
      <c r="E94" s="220">
        <f>Données!AF94+Données!AG94+Données!AH94</f>
        <v>203383</v>
      </c>
      <c r="F94" s="218">
        <f t="shared" si="10"/>
        <v>106433.9342995169</v>
      </c>
      <c r="G94" s="8">
        <f t="shared" si="11"/>
        <v>96949.065700483101</v>
      </c>
      <c r="H94" s="289">
        <f t="shared" si="12"/>
        <v>-72711.799275362326</v>
      </c>
      <c r="J94" s="8">
        <f>Données!AN94</f>
        <v>33064</v>
      </c>
      <c r="K94" s="198">
        <f t="shared" si="13"/>
        <v>13304.241787439612</v>
      </c>
      <c r="L94" s="12">
        <f t="shared" si="14"/>
        <v>19759.758212560388</v>
      </c>
      <c r="M94" s="289">
        <f t="shared" si="15"/>
        <v>-14819.818659420291</v>
      </c>
      <c r="O94" s="42">
        <f t="shared" si="16"/>
        <v>-87531.617934782611</v>
      </c>
      <c r="P94" s="247"/>
      <c r="Q94" s="211"/>
      <c r="R94" s="211"/>
      <c r="S94" s="211"/>
      <c r="T94" s="211"/>
      <c r="U94" s="211"/>
      <c r="AF94" s="11"/>
      <c r="AG94" s="11"/>
      <c r="AH94" s="11"/>
      <c r="AI94" s="11"/>
      <c r="AJ94" s="11"/>
      <c r="AK94" s="11"/>
      <c r="AL94" s="11"/>
    </row>
    <row r="95" spans="1:38" x14ac:dyDescent="0.25">
      <c r="A95" s="38">
        <f>+Données!A95</f>
        <v>5557</v>
      </c>
      <c r="B95" s="229" t="str">
        <f>+Données!B95</f>
        <v>Fontaines-sur-Grandson</v>
      </c>
      <c r="C95" s="220">
        <f>+Ecrêtage!C95</f>
        <v>5098.7534782608691</v>
      </c>
      <c r="D95" s="218"/>
      <c r="E95" s="220">
        <f>Données!AF95+Données!AG95+Données!AH95</f>
        <v>68376</v>
      </c>
      <c r="F95" s="218">
        <f t="shared" si="10"/>
        <v>40790.027826086953</v>
      </c>
      <c r="G95" s="8">
        <f t="shared" si="11"/>
        <v>27585.972173913047</v>
      </c>
      <c r="H95" s="289">
        <f t="shared" si="12"/>
        <v>-20689.479130434785</v>
      </c>
      <c r="J95" s="8">
        <f>Données!AN95</f>
        <v>41823</v>
      </c>
      <c r="K95" s="198">
        <f t="shared" si="13"/>
        <v>5098.7534782608691</v>
      </c>
      <c r="L95" s="12">
        <f t="shared" si="14"/>
        <v>36724.246521739129</v>
      </c>
      <c r="M95" s="289">
        <f t="shared" si="15"/>
        <v>-27543.184891304347</v>
      </c>
      <c r="O95" s="42">
        <f t="shared" si="16"/>
        <v>-48232.664021739132</v>
      </c>
      <c r="P95" s="247"/>
      <c r="Q95" s="211"/>
      <c r="R95" s="211"/>
      <c r="S95" s="211"/>
      <c r="T95" s="211"/>
      <c r="U95" s="211"/>
      <c r="AF95" s="11"/>
      <c r="AG95" s="11"/>
      <c r="AH95" s="11"/>
      <c r="AI95" s="11"/>
      <c r="AJ95" s="11"/>
      <c r="AK95" s="11"/>
      <c r="AL95" s="11"/>
    </row>
    <row r="96" spans="1:38" x14ac:dyDescent="0.25">
      <c r="A96" s="38">
        <f>+Données!A96</f>
        <v>5559</v>
      </c>
      <c r="B96" s="229" t="str">
        <f>+Données!B96</f>
        <v>Giez</v>
      </c>
      <c r="C96" s="220">
        <f>+Ecrêtage!C96</f>
        <v>21011.030606060605</v>
      </c>
      <c r="D96" s="218"/>
      <c r="E96" s="220">
        <f>Données!AF96+Données!AG96+Données!AH96</f>
        <v>193055</v>
      </c>
      <c r="F96" s="218">
        <f t="shared" si="10"/>
        <v>168088.24484848484</v>
      </c>
      <c r="G96" s="8">
        <f t="shared" si="11"/>
        <v>24966.755151515157</v>
      </c>
      <c r="H96" s="289">
        <f t="shared" si="12"/>
        <v>-18725.066363636368</v>
      </c>
      <c r="J96" s="8">
        <f>Données!AN96</f>
        <v>13610</v>
      </c>
      <c r="K96" s="198">
        <f t="shared" si="13"/>
        <v>21011.030606060605</v>
      </c>
      <c r="L96" s="12">
        <f t="shared" si="14"/>
        <v>0</v>
      </c>
      <c r="M96" s="289">
        <f t="shared" si="15"/>
        <v>0</v>
      </c>
      <c r="O96" s="42">
        <f t="shared" si="16"/>
        <v>-18725.066363636368</v>
      </c>
      <c r="P96" s="247"/>
      <c r="Q96" s="211"/>
      <c r="R96" s="211"/>
      <c r="S96" s="211"/>
      <c r="T96" s="211"/>
      <c r="U96" s="211"/>
      <c r="AF96" s="11"/>
      <c r="AG96" s="11"/>
      <c r="AH96" s="11"/>
      <c r="AI96" s="11"/>
      <c r="AJ96" s="11"/>
      <c r="AK96" s="11"/>
      <c r="AL96" s="11"/>
    </row>
    <row r="97" spans="1:38" x14ac:dyDescent="0.25">
      <c r="A97" s="38">
        <f>+Données!A97</f>
        <v>5560</v>
      </c>
      <c r="B97" s="229" t="str">
        <f>+Données!B97</f>
        <v>Grandevent</v>
      </c>
      <c r="C97" s="220">
        <f>+Ecrêtage!C97</f>
        <v>8996.1449295774655</v>
      </c>
      <c r="D97" s="218"/>
      <c r="E97" s="220">
        <f>Données!AF97+Données!AG97+Données!AH97</f>
        <v>65895</v>
      </c>
      <c r="F97" s="218">
        <f t="shared" si="10"/>
        <v>71969.159436619724</v>
      </c>
      <c r="G97" s="8">
        <f t="shared" si="11"/>
        <v>0</v>
      </c>
      <c r="H97" s="289">
        <f t="shared" si="12"/>
        <v>0</v>
      </c>
      <c r="J97" s="8">
        <f>Données!AN97</f>
        <v>18126</v>
      </c>
      <c r="K97" s="198">
        <f t="shared" si="13"/>
        <v>8996.1449295774655</v>
      </c>
      <c r="L97" s="12">
        <f t="shared" si="14"/>
        <v>9129.8550704225345</v>
      </c>
      <c r="M97" s="289">
        <f t="shared" si="15"/>
        <v>-6847.3913028169009</v>
      </c>
      <c r="O97" s="42">
        <f t="shared" si="16"/>
        <v>-6847.3913028169009</v>
      </c>
      <c r="P97" s="247"/>
      <c r="Q97" s="211"/>
      <c r="R97" s="211"/>
      <c r="S97" s="211"/>
      <c r="T97" s="211"/>
      <c r="U97" s="211"/>
      <c r="AF97" s="11"/>
      <c r="AG97" s="11"/>
      <c r="AH97" s="11"/>
      <c r="AI97" s="11"/>
      <c r="AJ97" s="11"/>
      <c r="AK97" s="11"/>
      <c r="AL97" s="11"/>
    </row>
    <row r="98" spans="1:38" x14ac:dyDescent="0.25">
      <c r="A98" s="38">
        <f>+Données!A98</f>
        <v>5561</v>
      </c>
      <c r="B98" s="229" t="str">
        <f>+Données!B98</f>
        <v>Grandson</v>
      </c>
      <c r="C98" s="220">
        <f>+Ecrêtage!C98</f>
        <v>132376.08594202899</v>
      </c>
      <c r="D98" s="218"/>
      <c r="E98" s="220">
        <f>Données!AF98+Données!AG98+Données!AH98</f>
        <v>2333561</v>
      </c>
      <c r="F98" s="218">
        <f t="shared" si="10"/>
        <v>1059008.6875362319</v>
      </c>
      <c r="G98" s="8">
        <f t="shared" si="11"/>
        <v>1274552.3124637681</v>
      </c>
      <c r="H98" s="289">
        <f t="shared" si="12"/>
        <v>-955914.2343478261</v>
      </c>
      <c r="J98" s="8">
        <f>Données!AN98</f>
        <v>53077</v>
      </c>
      <c r="K98" s="198">
        <f t="shared" si="13"/>
        <v>132376.08594202899</v>
      </c>
      <c r="L98" s="12">
        <f t="shared" si="14"/>
        <v>0</v>
      </c>
      <c r="M98" s="289">
        <f t="shared" si="15"/>
        <v>0</v>
      </c>
      <c r="O98" s="42">
        <f t="shared" si="16"/>
        <v>-955914.2343478261</v>
      </c>
      <c r="P98" s="247"/>
      <c r="Q98" s="211"/>
      <c r="R98" s="211"/>
      <c r="S98" s="211"/>
      <c r="T98" s="211"/>
      <c r="U98" s="211"/>
      <c r="AF98" s="11"/>
      <c r="AG98" s="11"/>
      <c r="AH98" s="11"/>
      <c r="AI98" s="11"/>
      <c r="AJ98" s="11"/>
      <c r="AK98" s="11"/>
      <c r="AL98" s="11"/>
    </row>
    <row r="99" spans="1:38" x14ac:dyDescent="0.25">
      <c r="A99" s="38">
        <f>+Données!A99</f>
        <v>5562</v>
      </c>
      <c r="B99" s="229" t="str">
        <f>+Données!B99</f>
        <v>Mauborget</v>
      </c>
      <c r="C99" s="220">
        <f>+Ecrêtage!C99</f>
        <v>4559.8505476190467</v>
      </c>
      <c r="D99" s="218"/>
      <c r="E99" s="220">
        <f>Données!AF99+Données!AG99+Données!AH99</f>
        <v>41470</v>
      </c>
      <c r="F99" s="218">
        <f t="shared" si="10"/>
        <v>36478.804380952373</v>
      </c>
      <c r="G99" s="8">
        <f t="shared" si="11"/>
        <v>4991.1956190476267</v>
      </c>
      <c r="H99" s="289">
        <f t="shared" si="12"/>
        <v>-3743.39671428572</v>
      </c>
      <c r="J99" s="8">
        <f>Données!AN99</f>
        <v>13707</v>
      </c>
      <c r="K99" s="198">
        <f t="shared" si="13"/>
        <v>4559.8505476190467</v>
      </c>
      <c r="L99" s="12">
        <f t="shared" si="14"/>
        <v>9147.1494523809524</v>
      </c>
      <c r="M99" s="289">
        <f t="shared" si="15"/>
        <v>-6860.3620892857143</v>
      </c>
      <c r="O99" s="42">
        <f t="shared" si="16"/>
        <v>-10603.758803571434</v>
      </c>
      <c r="P99" s="247"/>
      <c r="Q99" s="211"/>
      <c r="R99" s="211"/>
      <c r="S99" s="211"/>
      <c r="T99" s="211"/>
      <c r="U99" s="211"/>
      <c r="AF99" s="11"/>
      <c r="AG99" s="11"/>
      <c r="AH99" s="11"/>
      <c r="AI99" s="11"/>
      <c r="AJ99" s="11"/>
      <c r="AK99" s="11"/>
      <c r="AL99" s="11"/>
    </row>
    <row r="100" spans="1:38" x14ac:dyDescent="0.25">
      <c r="A100" s="38">
        <f>+Données!A100</f>
        <v>5563</v>
      </c>
      <c r="B100" s="229" t="str">
        <f>+Données!B100</f>
        <v>Mutrux</v>
      </c>
      <c r="C100" s="220">
        <f>+Ecrêtage!C100</f>
        <v>2282.08925</v>
      </c>
      <c r="D100" s="218"/>
      <c r="E100" s="220">
        <f>Données!AF100+Données!AG100+Données!AH100</f>
        <v>62403</v>
      </c>
      <c r="F100" s="218">
        <f t="shared" si="10"/>
        <v>18256.714</v>
      </c>
      <c r="G100" s="8">
        <f t="shared" si="11"/>
        <v>44146.286</v>
      </c>
      <c r="H100" s="289">
        <f t="shared" si="12"/>
        <v>-33109.714500000002</v>
      </c>
      <c r="J100" s="8">
        <f>Données!AN100</f>
        <v>18443</v>
      </c>
      <c r="K100" s="198">
        <f t="shared" si="13"/>
        <v>2282.08925</v>
      </c>
      <c r="L100" s="12">
        <f t="shared" si="14"/>
        <v>16160.910749999999</v>
      </c>
      <c r="M100" s="289">
        <f t="shared" si="15"/>
        <v>-12120.6830625</v>
      </c>
      <c r="O100" s="42">
        <f t="shared" si="16"/>
        <v>-45230.397562500002</v>
      </c>
      <c r="P100" s="247"/>
      <c r="Q100" s="211"/>
      <c r="R100" s="211"/>
      <c r="S100" s="211"/>
      <c r="T100" s="211"/>
      <c r="U100" s="211"/>
      <c r="AF100" s="11"/>
      <c r="AG100" s="11"/>
      <c r="AH100" s="11"/>
      <c r="AI100" s="11"/>
      <c r="AJ100" s="11"/>
      <c r="AK100" s="11"/>
      <c r="AL100" s="11"/>
    </row>
    <row r="101" spans="1:38" x14ac:dyDescent="0.25">
      <c r="A101" s="38">
        <f>+Données!A101</f>
        <v>5564</v>
      </c>
      <c r="B101" s="229" t="str">
        <f>+Données!B101</f>
        <v>Novalles</v>
      </c>
      <c r="C101" s="220">
        <f>+Ecrêtage!C101</f>
        <v>2548.8725328947371</v>
      </c>
      <c r="D101" s="218"/>
      <c r="E101" s="220">
        <f>Données!AF101+Données!AG101+Données!AH101</f>
        <v>44997</v>
      </c>
      <c r="F101" s="218">
        <f t="shared" si="10"/>
        <v>20390.980263157897</v>
      </c>
      <c r="G101" s="8">
        <f t="shared" si="11"/>
        <v>24606.019736842103</v>
      </c>
      <c r="H101" s="289">
        <f t="shared" si="12"/>
        <v>-18454.514802631576</v>
      </c>
      <c r="J101" s="8">
        <f>Données!AN101</f>
        <v>24231</v>
      </c>
      <c r="K101" s="198">
        <f t="shared" si="13"/>
        <v>2548.8725328947371</v>
      </c>
      <c r="L101" s="12">
        <f t="shared" si="14"/>
        <v>21682.127467105263</v>
      </c>
      <c r="M101" s="289">
        <f t="shared" si="15"/>
        <v>-16261.595600328947</v>
      </c>
      <c r="O101" s="42">
        <f t="shared" si="16"/>
        <v>-34716.110402960519</v>
      </c>
      <c r="P101" s="247"/>
      <c r="Q101" s="211"/>
      <c r="R101" s="211"/>
      <c r="S101" s="211"/>
      <c r="T101" s="211"/>
      <c r="U101" s="211"/>
      <c r="AF101" s="11"/>
      <c r="AG101" s="11"/>
      <c r="AH101" s="11"/>
      <c r="AI101" s="11"/>
      <c r="AJ101" s="11"/>
      <c r="AK101" s="11"/>
      <c r="AL101" s="11"/>
    </row>
    <row r="102" spans="1:38" x14ac:dyDescent="0.25">
      <c r="A102" s="38">
        <f>+Données!A102</f>
        <v>5565</v>
      </c>
      <c r="B102" s="229" t="str">
        <f>+Données!B102</f>
        <v>Onnens</v>
      </c>
      <c r="C102" s="220">
        <f>+Ecrêtage!C102</f>
        <v>11658.700944881888</v>
      </c>
      <c r="D102" s="218"/>
      <c r="E102" s="220">
        <f>Données!AF102+Données!AG102+Données!AH102</f>
        <v>250724</v>
      </c>
      <c r="F102" s="218">
        <f t="shared" si="10"/>
        <v>93269.607559055105</v>
      </c>
      <c r="G102" s="8">
        <f t="shared" si="11"/>
        <v>157454.39244094491</v>
      </c>
      <c r="H102" s="289">
        <f t="shared" si="12"/>
        <v>-118090.79433070868</v>
      </c>
      <c r="J102" s="8">
        <f>Données!AN102</f>
        <v>37853</v>
      </c>
      <c r="K102" s="198">
        <f t="shared" si="13"/>
        <v>11658.700944881888</v>
      </c>
      <c r="L102" s="12">
        <f t="shared" si="14"/>
        <v>26194.299055118114</v>
      </c>
      <c r="M102" s="289">
        <f t="shared" si="15"/>
        <v>-19645.724291338585</v>
      </c>
      <c r="O102" s="42">
        <f t="shared" si="16"/>
        <v>-137736.51862204727</v>
      </c>
      <c r="P102" s="247"/>
      <c r="Q102" s="211"/>
      <c r="R102" s="211"/>
      <c r="S102" s="211"/>
      <c r="T102" s="211"/>
      <c r="U102" s="211"/>
      <c r="AF102" s="11"/>
      <c r="AG102" s="11"/>
      <c r="AH102" s="11"/>
      <c r="AI102" s="11"/>
      <c r="AJ102" s="11"/>
      <c r="AK102" s="11"/>
      <c r="AL102" s="11"/>
    </row>
    <row r="103" spans="1:38" x14ac:dyDescent="0.25">
      <c r="A103" s="38">
        <f>+Données!A103</f>
        <v>5566</v>
      </c>
      <c r="B103" s="229" t="str">
        <f>+Données!B103</f>
        <v>Provence</v>
      </c>
      <c r="C103" s="220">
        <f>+Ecrêtage!C103</f>
        <v>8528.9197942386818</v>
      </c>
      <c r="D103" s="218"/>
      <c r="E103" s="220">
        <f>Données!AF103+Données!AG103+Données!AH103</f>
        <v>504685</v>
      </c>
      <c r="F103" s="218">
        <f t="shared" si="10"/>
        <v>68231.358353909454</v>
      </c>
      <c r="G103" s="8">
        <f t="shared" si="11"/>
        <v>436453.64164609055</v>
      </c>
      <c r="H103" s="289">
        <f t="shared" si="12"/>
        <v>-327340.23123456794</v>
      </c>
      <c r="J103" s="8">
        <f>Données!AN103</f>
        <v>11505</v>
      </c>
      <c r="K103" s="198">
        <f t="shared" si="13"/>
        <v>8528.9197942386818</v>
      </c>
      <c r="L103" s="12">
        <f t="shared" si="14"/>
        <v>2976.0802057613182</v>
      </c>
      <c r="M103" s="289">
        <f t="shared" si="15"/>
        <v>-2232.0601543209887</v>
      </c>
      <c r="O103" s="42">
        <f t="shared" si="16"/>
        <v>-329572.2913888889</v>
      </c>
      <c r="P103" s="247"/>
      <c r="Q103" s="211"/>
      <c r="R103" s="211"/>
      <c r="S103" s="211"/>
      <c r="T103" s="211"/>
      <c r="U103" s="211"/>
      <c r="AF103" s="11"/>
      <c r="AG103" s="11"/>
      <c r="AH103" s="11"/>
      <c r="AI103" s="11"/>
      <c r="AJ103" s="11"/>
      <c r="AK103" s="11"/>
      <c r="AL103" s="11"/>
    </row>
    <row r="104" spans="1:38" x14ac:dyDescent="0.25">
      <c r="A104" s="38">
        <f>+Données!A104</f>
        <v>5568</v>
      </c>
      <c r="B104" s="229" t="str">
        <f>+Données!B104</f>
        <v>Sainte-Croix</v>
      </c>
      <c r="C104" s="220">
        <f>+Ecrêtage!C104</f>
        <v>106004.96942857141</v>
      </c>
      <c r="D104" s="218"/>
      <c r="E104" s="220">
        <f>Données!AF104+Données!AG104+Données!AH104</f>
        <v>3058659</v>
      </c>
      <c r="F104" s="218">
        <f t="shared" si="10"/>
        <v>848039.75542857125</v>
      </c>
      <c r="G104" s="8">
        <f t="shared" si="11"/>
        <v>2210619.2445714287</v>
      </c>
      <c r="H104" s="289">
        <f t="shared" si="12"/>
        <v>-1657964.4334285716</v>
      </c>
      <c r="J104" s="8">
        <f>Données!AN104</f>
        <v>373808</v>
      </c>
      <c r="K104" s="198">
        <f t="shared" si="13"/>
        <v>106004.96942857141</v>
      </c>
      <c r="L104" s="12">
        <f t="shared" si="14"/>
        <v>267803.03057142859</v>
      </c>
      <c r="M104" s="289">
        <f t="shared" si="15"/>
        <v>-200852.27292857144</v>
      </c>
      <c r="O104" s="42">
        <f t="shared" si="16"/>
        <v>-1858816.7063571429</v>
      </c>
      <c r="P104" s="247"/>
      <c r="Q104" s="211"/>
      <c r="R104" s="211"/>
      <c r="S104" s="211"/>
      <c r="T104" s="211"/>
      <c r="U104" s="211"/>
      <c r="AF104" s="11"/>
      <c r="AG104" s="11"/>
      <c r="AH104" s="11"/>
      <c r="AI104" s="11"/>
      <c r="AJ104" s="11"/>
      <c r="AK104" s="11"/>
      <c r="AL104" s="11"/>
    </row>
    <row r="105" spans="1:38" x14ac:dyDescent="0.25">
      <c r="A105" s="38">
        <f>+Données!A105</f>
        <v>5571</v>
      </c>
      <c r="B105" s="229" t="str">
        <f>+Données!B105</f>
        <v>Tévenon</v>
      </c>
      <c r="C105" s="220">
        <f>+Ecrêtage!C105</f>
        <v>25907.008578088578</v>
      </c>
      <c r="D105" s="218"/>
      <c r="E105" s="220">
        <f>Données!AF105+Données!AG105+Données!AH105</f>
        <v>439310</v>
      </c>
      <c r="F105" s="218">
        <f t="shared" si="10"/>
        <v>207256.06862470863</v>
      </c>
      <c r="G105" s="8">
        <f t="shared" si="11"/>
        <v>232053.93137529137</v>
      </c>
      <c r="H105" s="289">
        <f t="shared" si="12"/>
        <v>-174040.44853146852</v>
      </c>
      <c r="J105" s="8">
        <f>Données!AN105</f>
        <v>32540</v>
      </c>
      <c r="K105" s="198">
        <f t="shared" si="13"/>
        <v>25907.008578088578</v>
      </c>
      <c r="L105" s="12">
        <f t="shared" si="14"/>
        <v>6632.9914219114216</v>
      </c>
      <c r="M105" s="289">
        <f t="shared" si="15"/>
        <v>-4974.7435664335662</v>
      </c>
      <c r="O105" s="42">
        <f t="shared" si="16"/>
        <v>-179015.19209790209</v>
      </c>
      <c r="P105" s="247"/>
      <c r="Q105" s="211"/>
      <c r="R105" s="211"/>
      <c r="S105" s="211"/>
      <c r="T105" s="211"/>
      <c r="U105" s="211"/>
      <c r="AF105" s="11"/>
      <c r="AG105" s="11"/>
      <c r="AH105" s="11"/>
      <c r="AI105" s="11"/>
      <c r="AJ105" s="11"/>
      <c r="AK105" s="11"/>
      <c r="AL105" s="11"/>
    </row>
    <row r="106" spans="1:38" x14ac:dyDescent="0.25">
      <c r="A106" s="38">
        <f>+Données!A106</f>
        <v>5581</v>
      </c>
      <c r="B106" s="229" t="str">
        <f>+Données!B106</f>
        <v>Belmont-sur-Lausanne</v>
      </c>
      <c r="C106" s="220">
        <f>+Ecrêtage!C106</f>
        <v>233670.95416666666</v>
      </c>
      <c r="D106" s="218"/>
      <c r="E106" s="220">
        <f>Données!AF106+Données!AG106+Données!AH106</f>
        <v>3304112</v>
      </c>
      <c r="F106" s="218">
        <f t="shared" si="10"/>
        <v>1869367.6333333333</v>
      </c>
      <c r="G106" s="8">
        <f t="shared" si="11"/>
        <v>1434744.3666666667</v>
      </c>
      <c r="H106" s="289">
        <f t="shared" si="12"/>
        <v>-1076058.2749999999</v>
      </c>
      <c r="J106" s="8">
        <f>Données!AN106</f>
        <v>-33282</v>
      </c>
      <c r="K106" s="198">
        <f t="shared" si="13"/>
        <v>233670.95416666666</v>
      </c>
      <c r="L106" s="12">
        <f t="shared" si="14"/>
        <v>0</v>
      </c>
      <c r="M106" s="289">
        <f t="shared" si="15"/>
        <v>0</v>
      </c>
      <c r="O106" s="42">
        <f t="shared" si="16"/>
        <v>-1076058.2749999999</v>
      </c>
      <c r="P106" s="247"/>
      <c r="Q106" s="211"/>
      <c r="R106" s="211"/>
      <c r="S106" s="211"/>
      <c r="T106" s="211"/>
      <c r="U106" s="211"/>
      <c r="AF106" s="11"/>
      <c r="AG106" s="11"/>
      <c r="AH106" s="11"/>
      <c r="AI106" s="11"/>
      <c r="AJ106" s="11"/>
      <c r="AK106" s="11"/>
      <c r="AL106" s="11"/>
    </row>
    <row r="107" spans="1:38" x14ac:dyDescent="0.25">
      <c r="A107" s="38">
        <f>+Données!A107</f>
        <v>5582</v>
      </c>
      <c r="B107" s="229" t="str">
        <f>+Données!B107</f>
        <v>Cheseaux-sur-Lausanne</v>
      </c>
      <c r="C107" s="220">
        <f>+Ecrêtage!C107</f>
        <v>170428.79082191776</v>
      </c>
      <c r="D107" s="218"/>
      <c r="E107" s="220">
        <f>Données!AF107+Données!AG107+Données!AH107</f>
        <v>2001435</v>
      </c>
      <c r="F107" s="218">
        <f t="shared" si="10"/>
        <v>1363430.3265753421</v>
      </c>
      <c r="G107" s="8">
        <f t="shared" si="11"/>
        <v>638004.6734246579</v>
      </c>
      <c r="H107" s="289">
        <f t="shared" si="12"/>
        <v>-478503.50506849342</v>
      </c>
      <c r="J107" s="8">
        <f>Données!AN107</f>
        <v>72855</v>
      </c>
      <c r="K107" s="198">
        <f t="shared" si="13"/>
        <v>170428.79082191776</v>
      </c>
      <c r="L107" s="12">
        <f t="shared" si="14"/>
        <v>0</v>
      </c>
      <c r="M107" s="289">
        <f t="shared" si="15"/>
        <v>0</v>
      </c>
      <c r="O107" s="42">
        <f t="shared" si="16"/>
        <v>-478503.50506849342</v>
      </c>
      <c r="P107" s="247"/>
      <c r="Q107" s="211"/>
      <c r="R107" s="211"/>
      <c r="S107" s="211"/>
      <c r="T107" s="211"/>
      <c r="U107" s="211"/>
      <c r="AF107" s="11"/>
      <c r="AG107" s="11"/>
      <c r="AH107" s="11"/>
      <c r="AI107" s="11"/>
      <c r="AJ107" s="11"/>
      <c r="AK107" s="11"/>
      <c r="AL107" s="11"/>
    </row>
    <row r="108" spans="1:38" x14ac:dyDescent="0.25">
      <c r="A108" s="38">
        <f>+Données!A108</f>
        <v>5583</v>
      </c>
      <c r="B108" s="229" t="str">
        <f>+Données!B108</f>
        <v>Crissier</v>
      </c>
      <c r="C108" s="220">
        <f>+Ecrêtage!C108</f>
        <v>340496.54456692917</v>
      </c>
      <c r="D108" s="218"/>
      <c r="E108" s="220">
        <f>Données!AF108+Données!AG108+Données!AH108</f>
        <v>7426942</v>
      </c>
      <c r="F108" s="218">
        <f t="shared" si="10"/>
        <v>2723972.3565354333</v>
      </c>
      <c r="G108" s="8">
        <f t="shared" si="11"/>
        <v>4702969.6434645671</v>
      </c>
      <c r="H108" s="289">
        <f t="shared" si="12"/>
        <v>-3527227.2325984254</v>
      </c>
      <c r="J108" s="8">
        <f>Données!AN108</f>
        <v>115720</v>
      </c>
      <c r="K108" s="198">
        <f t="shared" si="13"/>
        <v>340496.54456692917</v>
      </c>
      <c r="L108" s="12">
        <f t="shared" si="14"/>
        <v>0</v>
      </c>
      <c r="M108" s="289">
        <f t="shared" si="15"/>
        <v>0</v>
      </c>
      <c r="O108" s="42">
        <f t="shared" si="16"/>
        <v>-3527227.2325984254</v>
      </c>
      <c r="P108" s="247"/>
      <c r="Q108" s="211"/>
      <c r="R108" s="211"/>
      <c r="S108" s="211"/>
      <c r="T108" s="211"/>
      <c r="U108" s="211"/>
      <c r="AF108" s="11"/>
      <c r="AG108" s="11"/>
      <c r="AH108" s="11"/>
      <c r="AI108" s="11"/>
      <c r="AJ108" s="11"/>
      <c r="AK108" s="11"/>
      <c r="AL108" s="11"/>
    </row>
    <row r="109" spans="1:38" x14ac:dyDescent="0.25">
      <c r="A109" s="38">
        <f>+Données!A109</f>
        <v>5584</v>
      </c>
      <c r="B109" s="229" t="str">
        <f>+Données!B109</f>
        <v>Epalinges</v>
      </c>
      <c r="C109" s="220">
        <f>+Ecrêtage!C109</f>
        <v>489766.22341085278</v>
      </c>
      <c r="D109" s="218"/>
      <c r="E109" s="220">
        <f>Données!AF109+Données!AG109+Données!AH109</f>
        <v>9770546</v>
      </c>
      <c r="F109" s="218">
        <f t="shared" si="10"/>
        <v>3918129.7872868222</v>
      </c>
      <c r="G109" s="8">
        <f t="shared" si="11"/>
        <v>5852416.2127131782</v>
      </c>
      <c r="H109" s="289">
        <f t="shared" si="12"/>
        <v>-4389312.1595348837</v>
      </c>
      <c r="J109" s="8">
        <f>Données!AN109</f>
        <v>285789</v>
      </c>
      <c r="K109" s="198">
        <f t="shared" si="13"/>
        <v>489766.22341085278</v>
      </c>
      <c r="L109" s="12">
        <f t="shared" si="14"/>
        <v>0</v>
      </c>
      <c r="M109" s="289">
        <f t="shared" si="15"/>
        <v>0</v>
      </c>
      <c r="O109" s="42">
        <f t="shared" si="16"/>
        <v>-4389312.1595348837</v>
      </c>
      <c r="P109" s="247"/>
      <c r="Q109" s="211"/>
      <c r="R109" s="211"/>
      <c r="S109" s="211"/>
      <c r="T109" s="211"/>
      <c r="U109" s="211"/>
      <c r="AF109" s="11"/>
      <c r="AG109" s="11"/>
      <c r="AH109" s="11"/>
      <c r="AI109" s="11"/>
      <c r="AJ109" s="11"/>
      <c r="AK109" s="11"/>
      <c r="AL109" s="11"/>
    </row>
    <row r="110" spans="1:38" x14ac:dyDescent="0.25">
      <c r="A110" s="38">
        <f>+Données!A110</f>
        <v>5585</v>
      </c>
      <c r="B110" s="229" t="str">
        <f>+Données!B110</f>
        <v>Jouxtens-Mézery</v>
      </c>
      <c r="C110" s="220">
        <f>+Ecrêtage!C110</f>
        <v>252946.52254237281</v>
      </c>
      <c r="D110" s="218"/>
      <c r="E110" s="220">
        <f>Données!AF110+Données!AG110+Données!AH110</f>
        <v>0</v>
      </c>
      <c r="F110" s="218">
        <f t="shared" si="10"/>
        <v>2023572.1803389825</v>
      </c>
      <c r="G110" s="8">
        <f t="shared" si="11"/>
        <v>0</v>
      </c>
      <c r="H110" s="289">
        <f t="shared" si="12"/>
        <v>0</v>
      </c>
      <c r="J110" s="8">
        <f>Données!AN110</f>
        <v>0</v>
      </c>
      <c r="K110" s="198">
        <f t="shared" si="13"/>
        <v>252946.52254237281</v>
      </c>
      <c r="L110" s="12">
        <f t="shared" si="14"/>
        <v>0</v>
      </c>
      <c r="M110" s="289">
        <f t="shared" si="15"/>
        <v>0</v>
      </c>
      <c r="O110" s="42">
        <f t="shared" si="16"/>
        <v>0</v>
      </c>
      <c r="P110" s="247"/>
      <c r="Q110" s="211"/>
      <c r="R110" s="211"/>
      <c r="S110" s="211"/>
      <c r="T110" s="211"/>
      <c r="U110" s="211"/>
      <c r="AF110" s="11"/>
      <c r="AG110" s="11"/>
      <c r="AH110" s="11"/>
      <c r="AI110" s="11"/>
      <c r="AJ110" s="11"/>
      <c r="AK110" s="11"/>
      <c r="AL110" s="11"/>
    </row>
    <row r="111" spans="1:38" x14ac:dyDescent="0.25">
      <c r="A111" s="38">
        <f>+Données!A111</f>
        <v>5586</v>
      </c>
      <c r="B111" s="229" t="str">
        <f>+Données!B111</f>
        <v>Lausanne</v>
      </c>
      <c r="C111" s="220">
        <f>+Ecrêtage!C111</f>
        <v>6671978.8432696378</v>
      </c>
      <c r="D111" s="218"/>
      <c r="E111" s="220">
        <f>Données!AF111+Données!AG111+Données!AH111</f>
        <v>118305142</v>
      </c>
      <c r="F111" s="218">
        <f t="shared" si="10"/>
        <v>53375830.746157102</v>
      </c>
      <c r="G111" s="8">
        <f t="shared" si="11"/>
        <v>64929311.253842898</v>
      </c>
      <c r="H111" s="289">
        <f t="shared" si="12"/>
        <v>-48696983.440382175</v>
      </c>
      <c r="J111" s="8">
        <f>Données!AN111</f>
        <v>1951177</v>
      </c>
      <c r="K111" s="198">
        <f t="shared" si="13"/>
        <v>6671978.8432696378</v>
      </c>
      <c r="L111" s="12">
        <f t="shared" si="14"/>
        <v>0</v>
      </c>
      <c r="M111" s="289">
        <f t="shared" si="15"/>
        <v>0</v>
      </c>
      <c r="O111" s="42">
        <f t="shared" si="16"/>
        <v>-48696983.440382175</v>
      </c>
      <c r="P111" s="247"/>
      <c r="Q111" s="211"/>
      <c r="R111" s="211"/>
      <c r="S111" s="211"/>
      <c r="T111" s="211"/>
      <c r="U111" s="211"/>
      <c r="AF111" s="11"/>
      <c r="AG111" s="11"/>
      <c r="AH111" s="11"/>
      <c r="AI111" s="11"/>
      <c r="AJ111" s="11"/>
      <c r="AK111" s="11"/>
      <c r="AL111" s="11"/>
    </row>
    <row r="112" spans="1:38" x14ac:dyDescent="0.25">
      <c r="A112" s="38">
        <f>+Données!A112</f>
        <v>5587</v>
      </c>
      <c r="B112" s="229" t="str">
        <f>+Données!B112</f>
        <v>Le Mont-sur-Lausanne</v>
      </c>
      <c r="C112" s="220">
        <f>+Ecrêtage!C112</f>
        <v>484050.33068027202</v>
      </c>
      <c r="D112" s="218"/>
      <c r="E112" s="220">
        <f>Données!AF112+Données!AG112+Données!AH112</f>
        <v>7066857</v>
      </c>
      <c r="F112" s="218">
        <f t="shared" si="10"/>
        <v>3872402.6454421761</v>
      </c>
      <c r="G112" s="8">
        <f t="shared" si="11"/>
        <v>3194454.3545578239</v>
      </c>
      <c r="H112" s="289">
        <f t="shared" si="12"/>
        <v>-2395840.765918368</v>
      </c>
      <c r="J112" s="8">
        <f>Données!AN112</f>
        <v>103681</v>
      </c>
      <c r="K112" s="198">
        <f t="shared" si="13"/>
        <v>484050.33068027202</v>
      </c>
      <c r="L112" s="12">
        <f t="shared" si="14"/>
        <v>0</v>
      </c>
      <c r="M112" s="289">
        <f t="shared" si="15"/>
        <v>0</v>
      </c>
      <c r="O112" s="42">
        <f t="shared" si="16"/>
        <v>-2395840.765918368</v>
      </c>
      <c r="P112" s="247"/>
      <c r="Q112" s="211"/>
      <c r="R112" s="211"/>
      <c r="S112" s="211"/>
      <c r="T112" s="211"/>
      <c r="U112" s="211"/>
      <c r="AF112" s="11"/>
      <c r="AG112" s="11"/>
      <c r="AH112" s="11"/>
      <c r="AI112" s="11"/>
      <c r="AJ112" s="11"/>
      <c r="AK112" s="11"/>
      <c r="AL112" s="11"/>
    </row>
    <row r="113" spans="1:38" x14ac:dyDescent="0.25">
      <c r="A113" s="38">
        <f>+Données!A113</f>
        <v>5588</v>
      </c>
      <c r="B113" s="229" t="str">
        <f>+Données!B113</f>
        <v>Paudex</v>
      </c>
      <c r="C113" s="220">
        <f>+Ecrêtage!C113</f>
        <v>137556.51114930178</v>
      </c>
      <c r="D113" s="218"/>
      <c r="E113" s="220">
        <f>Données!AF113+Données!AG113+Données!AH113</f>
        <v>972359</v>
      </c>
      <c r="F113" s="218">
        <f t="shared" si="10"/>
        <v>1100452.0891944142</v>
      </c>
      <c r="G113" s="8">
        <f t="shared" si="11"/>
        <v>0</v>
      </c>
      <c r="H113" s="289">
        <f t="shared" si="12"/>
        <v>0</v>
      </c>
      <c r="J113" s="8">
        <f>Données!AN113</f>
        <v>0</v>
      </c>
      <c r="K113" s="198">
        <f t="shared" si="13"/>
        <v>137556.51114930178</v>
      </c>
      <c r="L113" s="12">
        <f t="shared" si="14"/>
        <v>0</v>
      </c>
      <c r="M113" s="289">
        <f t="shared" si="15"/>
        <v>0</v>
      </c>
      <c r="O113" s="42">
        <f t="shared" si="16"/>
        <v>0</v>
      </c>
      <c r="P113" s="247"/>
      <c r="Q113" s="211"/>
      <c r="R113" s="211"/>
      <c r="S113" s="211"/>
      <c r="T113" s="211"/>
      <c r="U113" s="211"/>
      <c r="AF113" s="11"/>
      <c r="AG113" s="11"/>
      <c r="AH113" s="11"/>
      <c r="AI113" s="11"/>
      <c r="AJ113" s="11"/>
      <c r="AK113" s="11"/>
      <c r="AL113" s="11"/>
    </row>
    <row r="114" spans="1:38" x14ac:dyDescent="0.25">
      <c r="A114" s="38">
        <f>+Données!A114</f>
        <v>5589</v>
      </c>
      <c r="B114" s="229" t="str">
        <f>+Données!B114</f>
        <v>Prilly</v>
      </c>
      <c r="C114" s="220">
        <f>+Ecrêtage!C114</f>
        <v>404219.10002122016</v>
      </c>
      <c r="D114" s="218"/>
      <c r="E114" s="220">
        <f>Données!AF114+Données!AG114+Données!AH114</f>
        <v>7767178</v>
      </c>
      <c r="F114" s="218">
        <f t="shared" si="10"/>
        <v>3233752.8001697613</v>
      </c>
      <c r="G114" s="8">
        <f t="shared" si="11"/>
        <v>4533425.1998302387</v>
      </c>
      <c r="H114" s="289">
        <f t="shared" si="12"/>
        <v>-3400068.8998726793</v>
      </c>
      <c r="J114" s="8">
        <f>Données!AN114</f>
        <v>22903</v>
      </c>
      <c r="K114" s="198">
        <f t="shared" si="13"/>
        <v>404219.10002122016</v>
      </c>
      <c r="L114" s="12">
        <f t="shared" si="14"/>
        <v>0</v>
      </c>
      <c r="M114" s="289">
        <f t="shared" si="15"/>
        <v>0</v>
      </c>
      <c r="O114" s="42">
        <f t="shared" si="16"/>
        <v>-3400068.8998726793</v>
      </c>
      <c r="P114" s="247"/>
      <c r="Q114" s="211"/>
      <c r="R114" s="211"/>
      <c r="S114" s="211"/>
      <c r="T114" s="211"/>
      <c r="U114" s="211"/>
      <c r="AF114" s="11"/>
      <c r="AG114" s="11"/>
      <c r="AH114" s="11"/>
      <c r="AI114" s="11"/>
      <c r="AJ114" s="11"/>
      <c r="AK114" s="11"/>
      <c r="AL114" s="11"/>
    </row>
    <row r="115" spans="1:38" x14ac:dyDescent="0.25">
      <c r="A115" s="38">
        <f>+Données!A115</f>
        <v>5590</v>
      </c>
      <c r="B115" s="229" t="str">
        <f>+Données!B115</f>
        <v>Pully</v>
      </c>
      <c r="C115" s="220">
        <f>+Ecrêtage!C115</f>
        <v>1396472.1616393442</v>
      </c>
      <c r="D115" s="218"/>
      <c r="E115" s="220">
        <f>Données!AF115+Données!AG115+Données!AH115</f>
        <v>17125610</v>
      </c>
      <c r="F115" s="218">
        <f t="shared" si="10"/>
        <v>11171777.293114753</v>
      </c>
      <c r="G115" s="8">
        <f t="shared" si="11"/>
        <v>5953832.7068852466</v>
      </c>
      <c r="H115" s="289">
        <f t="shared" si="12"/>
        <v>-4465374.5301639345</v>
      </c>
      <c r="J115" s="8">
        <f>Données!AN115</f>
        <v>494383</v>
      </c>
      <c r="K115" s="198">
        <f t="shared" si="13"/>
        <v>1396472.1616393442</v>
      </c>
      <c r="L115" s="12">
        <f t="shared" si="14"/>
        <v>0</v>
      </c>
      <c r="M115" s="289">
        <f t="shared" si="15"/>
        <v>0</v>
      </c>
      <c r="O115" s="42">
        <f t="shared" si="16"/>
        <v>-4465374.5301639345</v>
      </c>
      <c r="P115" s="247"/>
      <c r="Q115" s="211"/>
      <c r="R115" s="211"/>
      <c r="S115" s="211"/>
      <c r="T115" s="211"/>
      <c r="U115" s="211"/>
      <c r="AF115" s="11"/>
      <c r="AG115" s="11"/>
      <c r="AH115" s="11"/>
      <c r="AI115" s="11"/>
      <c r="AJ115" s="11"/>
      <c r="AK115" s="11"/>
      <c r="AL115" s="11"/>
    </row>
    <row r="116" spans="1:38" x14ac:dyDescent="0.25">
      <c r="A116" s="38">
        <f>+Données!A116</f>
        <v>5591</v>
      </c>
      <c r="B116" s="229" t="str">
        <f>+Données!B116</f>
        <v>Renens</v>
      </c>
      <c r="C116" s="220">
        <f>+Ecrêtage!C116</f>
        <v>592907.73419294995</v>
      </c>
      <c r="D116" s="218"/>
      <c r="E116" s="220">
        <f>Données!AF116+Données!AG116+Données!AH116</f>
        <v>14712299</v>
      </c>
      <c r="F116" s="218">
        <f t="shared" si="10"/>
        <v>4743261.8735435996</v>
      </c>
      <c r="G116" s="8">
        <f t="shared" si="11"/>
        <v>9969037.1264564004</v>
      </c>
      <c r="H116" s="289">
        <f t="shared" si="12"/>
        <v>-7476777.8448422998</v>
      </c>
      <c r="J116" s="8">
        <f>Données!AN116</f>
        <v>24173</v>
      </c>
      <c r="K116" s="198">
        <f t="shared" si="13"/>
        <v>592907.73419294995</v>
      </c>
      <c r="L116" s="12">
        <f t="shared" si="14"/>
        <v>0</v>
      </c>
      <c r="M116" s="289">
        <f t="shared" si="15"/>
        <v>0</v>
      </c>
      <c r="O116" s="42">
        <f t="shared" si="16"/>
        <v>-7476777.8448422998</v>
      </c>
      <c r="P116" s="247"/>
      <c r="Q116" s="211"/>
      <c r="R116" s="211"/>
      <c r="S116" s="211"/>
      <c r="T116" s="211"/>
      <c r="U116" s="211"/>
      <c r="AF116" s="11"/>
      <c r="AG116" s="11"/>
      <c r="AH116" s="11"/>
      <c r="AI116" s="11"/>
      <c r="AJ116" s="11"/>
      <c r="AK116" s="11"/>
      <c r="AL116" s="11"/>
    </row>
    <row r="117" spans="1:38" x14ac:dyDescent="0.25">
      <c r="A117" s="38">
        <f>+Données!A117</f>
        <v>5592</v>
      </c>
      <c r="B117" s="229" t="str">
        <f>+Données!B117</f>
        <v>Romanel-sur-Lausanne</v>
      </c>
      <c r="C117" s="220">
        <f>+Ecrêtage!C117</f>
        <v>113604.64354609928</v>
      </c>
      <c r="D117" s="218"/>
      <c r="E117" s="220">
        <f>Données!AF117+Données!AG117+Données!AH117</f>
        <v>1345689</v>
      </c>
      <c r="F117" s="218">
        <f t="shared" si="10"/>
        <v>908837.14836879424</v>
      </c>
      <c r="G117" s="8">
        <f t="shared" si="11"/>
        <v>436851.85163120576</v>
      </c>
      <c r="H117" s="289">
        <f t="shared" si="12"/>
        <v>-327638.88872340432</v>
      </c>
      <c r="J117" s="8">
        <f>Données!AN117</f>
        <v>9480</v>
      </c>
      <c r="K117" s="198">
        <f t="shared" si="13"/>
        <v>113604.64354609928</v>
      </c>
      <c r="L117" s="12">
        <f t="shared" si="14"/>
        <v>0</v>
      </c>
      <c r="M117" s="289">
        <f t="shared" si="15"/>
        <v>0</v>
      </c>
      <c r="O117" s="42">
        <f t="shared" si="16"/>
        <v>-327638.88872340432</v>
      </c>
      <c r="P117" s="247"/>
      <c r="Q117" s="211"/>
      <c r="R117" s="211"/>
      <c r="S117" s="211"/>
      <c r="T117" s="211"/>
      <c r="U117" s="211"/>
      <c r="AF117" s="11"/>
      <c r="AG117" s="11"/>
      <c r="AH117" s="11"/>
      <c r="AI117" s="11"/>
      <c r="AJ117" s="11"/>
      <c r="AK117" s="11"/>
      <c r="AL117" s="11"/>
    </row>
    <row r="118" spans="1:38" x14ac:dyDescent="0.25">
      <c r="A118" s="38">
        <f>+Données!A118</f>
        <v>5601</v>
      </c>
      <c r="B118" s="229" t="str">
        <f>+Données!B118</f>
        <v>Chexbres</v>
      </c>
      <c r="C118" s="220">
        <f>+Ecrêtage!C118</f>
        <v>106015.29511111112</v>
      </c>
      <c r="D118" s="218"/>
      <c r="E118" s="220">
        <f>Données!AF118+Données!AG118+Données!AH118</f>
        <v>1319038</v>
      </c>
      <c r="F118" s="218">
        <f t="shared" si="10"/>
        <v>848122.36088888894</v>
      </c>
      <c r="G118" s="8">
        <f t="shared" si="11"/>
        <v>470915.63911111106</v>
      </c>
      <c r="H118" s="289">
        <f t="shared" si="12"/>
        <v>-353186.72933333332</v>
      </c>
      <c r="J118" s="8">
        <f>Données!AN118</f>
        <v>37282</v>
      </c>
      <c r="K118" s="198">
        <f t="shared" si="13"/>
        <v>106015.29511111112</v>
      </c>
      <c r="L118" s="12">
        <f t="shared" si="14"/>
        <v>0</v>
      </c>
      <c r="M118" s="289">
        <f t="shared" si="15"/>
        <v>0</v>
      </c>
      <c r="O118" s="42">
        <f t="shared" si="16"/>
        <v>-353186.72933333332</v>
      </c>
      <c r="P118" s="247"/>
      <c r="Q118" s="211"/>
      <c r="R118" s="211"/>
      <c r="S118" s="211"/>
      <c r="T118" s="211"/>
      <c r="U118" s="211"/>
      <c r="AF118" s="11"/>
      <c r="AG118" s="11"/>
      <c r="AH118" s="11"/>
      <c r="AI118" s="11"/>
      <c r="AJ118" s="11"/>
      <c r="AK118" s="11"/>
      <c r="AL118" s="11"/>
    </row>
    <row r="119" spans="1:38" x14ac:dyDescent="0.25">
      <c r="A119" s="38">
        <f>+Données!A119</f>
        <v>5604</v>
      </c>
      <c r="B119" s="229" t="str">
        <f>+Données!B119</f>
        <v>Forel (Lavaux)</v>
      </c>
      <c r="C119" s="220">
        <f>+Ecrêtage!C119</f>
        <v>70961.315942029003</v>
      </c>
      <c r="D119" s="218"/>
      <c r="E119" s="220">
        <f>Données!AF119+Données!AG119+Données!AH119</f>
        <v>1094786</v>
      </c>
      <c r="F119" s="218">
        <f t="shared" si="10"/>
        <v>567690.52753623202</v>
      </c>
      <c r="G119" s="8">
        <f t="shared" si="11"/>
        <v>527095.47246376798</v>
      </c>
      <c r="H119" s="289">
        <f t="shared" si="12"/>
        <v>-395321.60434782598</v>
      </c>
      <c r="J119" s="8">
        <f>Données!AN119</f>
        <v>105497</v>
      </c>
      <c r="K119" s="198">
        <f t="shared" si="13"/>
        <v>70961.315942029003</v>
      </c>
      <c r="L119" s="12">
        <f t="shared" si="14"/>
        <v>34535.684057970997</v>
      </c>
      <c r="M119" s="289">
        <f t="shared" si="15"/>
        <v>-25901.763043478248</v>
      </c>
      <c r="O119" s="42">
        <f t="shared" si="16"/>
        <v>-421223.36739130423</v>
      </c>
      <c r="P119" s="247"/>
      <c r="Q119" s="211"/>
      <c r="R119" s="211"/>
      <c r="S119" s="211"/>
      <c r="T119" s="211"/>
      <c r="U119" s="211"/>
      <c r="AF119" s="11"/>
      <c r="AG119" s="11"/>
      <c r="AH119" s="11"/>
      <c r="AI119" s="11"/>
      <c r="AJ119" s="11"/>
      <c r="AK119" s="11"/>
      <c r="AL119" s="11"/>
    </row>
    <row r="120" spans="1:38" x14ac:dyDescent="0.25">
      <c r="A120" s="38">
        <f>+Données!A120</f>
        <v>5606</v>
      </c>
      <c r="B120" s="229" t="str">
        <f>+Données!B120</f>
        <v>Lutry</v>
      </c>
      <c r="C120" s="220">
        <f>+Ecrêtage!C120</f>
        <v>1212171.2253174603</v>
      </c>
      <c r="D120" s="218"/>
      <c r="E120" s="220">
        <f>Données!AF120+Données!AG120+Données!AH120</f>
        <v>10744441</v>
      </c>
      <c r="F120" s="218">
        <f t="shared" si="10"/>
        <v>9697369.802539682</v>
      </c>
      <c r="G120" s="8">
        <f t="shared" si="11"/>
        <v>1047071.197460318</v>
      </c>
      <c r="H120" s="289">
        <f t="shared" si="12"/>
        <v>-785303.39809523849</v>
      </c>
      <c r="J120" s="8">
        <f>Données!AN120</f>
        <v>193116</v>
      </c>
      <c r="K120" s="198">
        <f t="shared" si="13"/>
        <v>1212171.2253174603</v>
      </c>
      <c r="L120" s="12">
        <f t="shared" si="14"/>
        <v>0</v>
      </c>
      <c r="M120" s="289">
        <f t="shared" si="15"/>
        <v>0</v>
      </c>
      <c r="O120" s="42">
        <f t="shared" si="16"/>
        <v>-785303.39809523849</v>
      </c>
      <c r="P120" s="247"/>
      <c r="Q120" s="211"/>
      <c r="R120" s="211"/>
      <c r="S120" s="211"/>
      <c r="T120" s="211"/>
      <c r="U120" s="211"/>
      <c r="AF120" s="11"/>
      <c r="AG120" s="11"/>
      <c r="AH120" s="11"/>
      <c r="AI120" s="11"/>
      <c r="AJ120" s="11"/>
      <c r="AK120" s="11"/>
      <c r="AL120" s="11"/>
    </row>
    <row r="121" spans="1:38" x14ac:dyDescent="0.25">
      <c r="A121" s="38">
        <f>+Données!A121</f>
        <v>5607</v>
      </c>
      <c r="B121" s="229" t="str">
        <f>+Données!B121</f>
        <v>Puidoux</v>
      </c>
      <c r="C121" s="220">
        <f>+Ecrêtage!C121</f>
        <v>117496.04099650904</v>
      </c>
      <c r="D121" s="218"/>
      <c r="E121" s="220">
        <f>Données!AF121+Données!AG121+Données!AH121</f>
        <v>2358109</v>
      </c>
      <c r="F121" s="218">
        <f t="shared" si="10"/>
        <v>939968.32797207229</v>
      </c>
      <c r="G121" s="8">
        <f t="shared" si="11"/>
        <v>1418140.6720279278</v>
      </c>
      <c r="H121" s="289">
        <f t="shared" si="12"/>
        <v>-1063605.5040209459</v>
      </c>
      <c r="J121" s="8">
        <f>Données!AN121</f>
        <v>39224</v>
      </c>
      <c r="K121" s="198">
        <f t="shared" si="13"/>
        <v>117496.04099650904</v>
      </c>
      <c r="L121" s="12">
        <f t="shared" si="14"/>
        <v>0</v>
      </c>
      <c r="M121" s="289">
        <f t="shared" si="15"/>
        <v>0</v>
      </c>
      <c r="O121" s="42">
        <f t="shared" si="16"/>
        <v>-1063605.5040209459</v>
      </c>
      <c r="P121" s="247"/>
      <c r="Q121" s="211"/>
      <c r="R121" s="211"/>
      <c r="S121" s="211"/>
      <c r="T121" s="211"/>
      <c r="U121" s="211"/>
      <c r="AF121" s="11"/>
      <c r="AG121" s="11"/>
      <c r="AH121" s="11"/>
      <c r="AI121" s="11"/>
      <c r="AJ121" s="11"/>
      <c r="AK121" s="11"/>
      <c r="AL121" s="11"/>
    </row>
    <row r="122" spans="1:38" x14ac:dyDescent="0.25">
      <c r="A122" s="38">
        <f>+Données!A122</f>
        <v>5609</v>
      </c>
      <c r="B122" s="229" t="str">
        <f>+Données!B122</f>
        <v>Rivaz</v>
      </c>
      <c r="C122" s="220">
        <f>+Ecrêtage!C122</f>
        <v>14930.201612903227</v>
      </c>
      <c r="D122" s="218"/>
      <c r="E122" s="220">
        <f>Données!AF122+Données!AG122+Données!AH122</f>
        <v>214443</v>
      </c>
      <c r="F122" s="218">
        <f t="shared" si="10"/>
        <v>119441.61290322582</v>
      </c>
      <c r="G122" s="8">
        <f t="shared" si="11"/>
        <v>95001.387096774182</v>
      </c>
      <c r="H122" s="289">
        <f t="shared" si="12"/>
        <v>-71251.040322580637</v>
      </c>
      <c r="J122" s="8">
        <f>Données!AN122</f>
        <v>19824</v>
      </c>
      <c r="K122" s="198">
        <f t="shared" si="13"/>
        <v>14930.201612903227</v>
      </c>
      <c r="L122" s="12">
        <f t="shared" si="14"/>
        <v>4893.7983870967728</v>
      </c>
      <c r="M122" s="289">
        <f t="shared" si="15"/>
        <v>-3670.3487903225796</v>
      </c>
      <c r="O122" s="42">
        <f t="shared" si="16"/>
        <v>-74921.389112903213</v>
      </c>
      <c r="P122" s="247"/>
      <c r="Q122" s="211"/>
      <c r="R122" s="211"/>
      <c r="S122" s="211"/>
      <c r="T122" s="211"/>
      <c r="U122" s="211"/>
      <c r="AF122" s="11"/>
      <c r="AG122" s="11"/>
      <c r="AH122" s="11"/>
      <c r="AI122" s="11"/>
      <c r="AJ122" s="11"/>
      <c r="AK122" s="11"/>
      <c r="AL122" s="11"/>
    </row>
    <row r="123" spans="1:38" x14ac:dyDescent="0.25">
      <c r="A123" s="38">
        <f>+Données!A123</f>
        <v>5610</v>
      </c>
      <c r="B123" s="229" t="str">
        <f>+Données!B123</f>
        <v>St-Saphorin (Lavaux)</v>
      </c>
      <c r="C123" s="220">
        <f>+Ecrêtage!C123</f>
        <v>21326.679629629627</v>
      </c>
      <c r="D123" s="218"/>
      <c r="E123" s="220">
        <f>Données!AF123+Données!AG123+Données!AH123</f>
        <v>179971</v>
      </c>
      <c r="F123" s="218">
        <f t="shared" si="10"/>
        <v>170613.43703703702</v>
      </c>
      <c r="G123" s="8">
        <f t="shared" si="11"/>
        <v>9357.5629629629839</v>
      </c>
      <c r="H123" s="289">
        <f t="shared" si="12"/>
        <v>-7018.1722222222379</v>
      </c>
      <c r="J123" s="8">
        <f>Données!AN123</f>
        <v>9545</v>
      </c>
      <c r="K123" s="198">
        <f t="shared" si="13"/>
        <v>21326.679629629627</v>
      </c>
      <c r="L123" s="12">
        <f t="shared" si="14"/>
        <v>0</v>
      </c>
      <c r="M123" s="289">
        <f t="shared" si="15"/>
        <v>0</v>
      </c>
      <c r="O123" s="42">
        <f t="shared" si="16"/>
        <v>-7018.1722222222379</v>
      </c>
      <c r="P123" s="247"/>
      <c r="Q123" s="211"/>
      <c r="R123" s="211"/>
      <c r="S123" s="211"/>
      <c r="T123" s="211"/>
      <c r="U123" s="211"/>
      <c r="AF123" s="11"/>
      <c r="AG123" s="11"/>
      <c r="AH123" s="11"/>
      <c r="AI123" s="11"/>
      <c r="AJ123" s="11"/>
      <c r="AK123" s="11"/>
      <c r="AL123" s="11"/>
    </row>
    <row r="124" spans="1:38" x14ac:dyDescent="0.25">
      <c r="A124" s="38">
        <f>+Données!A124</f>
        <v>5611</v>
      </c>
      <c r="B124" s="229" t="str">
        <f>+Données!B124</f>
        <v>Savigny</v>
      </c>
      <c r="C124" s="220">
        <f>+Ecrêtage!C124</f>
        <v>139629.67036231884</v>
      </c>
      <c r="D124" s="218"/>
      <c r="E124" s="220">
        <f>Données!AF124+Données!AG124+Données!AH124</f>
        <v>2126275</v>
      </c>
      <c r="F124" s="218">
        <f t="shared" si="10"/>
        <v>1117037.3628985507</v>
      </c>
      <c r="G124" s="8">
        <f t="shared" si="11"/>
        <v>1009237.6371014493</v>
      </c>
      <c r="H124" s="289">
        <f t="shared" si="12"/>
        <v>-756928.22782608704</v>
      </c>
      <c r="J124" s="8">
        <f>Données!AN124</f>
        <v>97596</v>
      </c>
      <c r="K124" s="198">
        <f t="shared" si="13"/>
        <v>139629.67036231884</v>
      </c>
      <c r="L124" s="12">
        <f t="shared" si="14"/>
        <v>0</v>
      </c>
      <c r="M124" s="289">
        <f t="shared" si="15"/>
        <v>0</v>
      </c>
      <c r="O124" s="42">
        <f t="shared" si="16"/>
        <v>-756928.22782608704</v>
      </c>
      <c r="P124" s="247"/>
      <c r="Q124" s="211"/>
      <c r="R124" s="211"/>
      <c r="S124" s="211"/>
      <c r="T124" s="211"/>
      <c r="U124" s="211"/>
      <c r="AF124" s="11"/>
      <c r="AG124" s="11"/>
      <c r="AH124" s="11"/>
      <c r="AI124" s="11"/>
      <c r="AJ124" s="11"/>
      <c r="AK124" s="11"/>
      <c r="AL124" s="11"/>
    </row>
    <row r="125" spans="1:38" x14ac:dyDescent="0.25">
      <c r="A125" s="38">
        <f>+Données!A125</f>
        <v>5613</v>
      </c>
      <c r="B125" s="229" t="str">
        <f>+Données!B125</f>
        <v>Bourg-en-Lavaux</v>
      </c>
      <c r="C125" s="220">
        <f>+Ecrêtage!C125</f>
        <v>367206.35685333336</v>
      </c>
      <c r="D125" s="218"/>
      <c r="E125" s="220">
        <f>Données!AF125+Données!AG125+Données!AH125</f>
        <v>2691141</v>
      </c>
      <c r="F125" s="218">
        <f t="shared" si="10"/>
        <v>2937650.8548266669</v>
      </c>
      <c r="G125" s="8">
        <f t="shared" si="11"/>
        <v>0</v>
      </c>
      <c r="H125" s="289">
        <f t="shared" si="12"/>
        <v>0</v>
      </c>
      <c r="J125" s="8">
        <f>Données!AN125</f>
        <v>184940</v>
      </c>
      <c r="K125" s="198">
        <f t="shared" si="13"/>
        <v>367206.35685333336</v>
      </c>
      <c r="L125" s="12">
        <f t="shared" si="14"/>
        <v>0</v>
      </c>
      <c r="M125" s="289">
        <f t="shared" si="15"/>
        <v>0</v>
      </c>
      <c r="O125" s="42">
        <f t="shared" si="16"/>
        <v>0</v>
      </c>
      <c r="P125" s="247"/>
      <c r="Q125" s="211"/>
      <c r="R125" s="211"/>
      <c r="S125" s="211"/>
      <c r="T125" s="211"/>
      <c r="U125" s="211"/>
      <c r="AF125" s="11"/>
      <c r="AG125" s="11"/>
      <c r="AH125" s="11"/>
      <c r="AI125" s="11"/>
      <c r="AJ125" s="11"/>
      <c r="AK125" s="11"/>
      <c r="AL125" s="11"/>
    </row>
    <row r="126" spans="1:38" x14ac:dyDescent="0.25">
      <c r="A126" s="38">
        <f>+Données!A126</f>
        <v>5621</v>
      </c>
      <c r="B126" s="229" t="str">
        <f>+Données!B126</f>
        <v>Aclens</v>
      </c>
      <c r="C126" s="220">
        <f>+Ecrêtage!C126</f>
        <v>39203.094076246336</v>
      </c>
      <c r="D126" s="218"/>
      <c r="E126" s="220">
        <f>Données!AF126+Données!AG126+Données!AH126</f>
        <v>265674</v>
      </c>
      <c r="F126" s="218">
        <f t="shared" si="10"/>
        <v>313624.75260997069</v>
      </c>
      <c r="G126" s="8">
        <f t="shared" si="11"/>
        <v>0</v>
      </c>
      <c r="H126" s="289">
        <f t="shared" si="12"/>
        <v>0</v>
      </c>
      <c r="J126" s="8">
        <f>Données!AN126</f>
        <v>9890</v>
      </c>
      <c r="K126" s="198">
        <f t="shared" si="13"/>
        <v>39203.094076246336</v>
      </c>
      <c r="L126" s="12">
        <f t="shared" si="14"/>
        <v>0</v>
      </c>
      <c r="M126" s="289">
        <f t="shared" si="15"/>
        <v>0</v>
      </c>
      <c r="O126" s="42">
        <f t="shared" si="16"/>
        <v>0</v>
      </c>
      <c r="P126" s="247"/>
      <c r="Q126" s="211"/>
      <c r="R126" s="211"/>
      <c r="S126" s="211"/>
      <c r="T126" s="211"/>
      <c r="U126" s="211"/>
      <c r="AF126" s="11"/>
      <c r="AG126" s="11"/>
      <c r="AH126" s="11"/>
      <c r="AI126" s="11"/>
      <c r="AJ126" s="11"/>
      <c r="AK126" s="11"/>
      <c r="AL126" s="11"/>
    </row>
    <row r="127" spans="1:38" x14ac:dyDescent="0.25">
      <c r="A127" s="38">
        <f>+Données!A127</f>
        <v>5622</v>
      </c>
      <c r="B127" s="229" t="str">
        <f>+Données!B127</f>
        <v>Bremblens</v>
      </c>
      <c r="C127" s="220">
        <f>+Ecrêtage!C127</f>
        <v>30852.761617647058</v>
      </c>
      <c r="D127" s="218"/>
      <c r="E127" s="220">
        <f>Données!AF127+Données!AG127+Données!AH127</f>
        <v>233125</v>
      </c>
      <c r="F127" s="218">
        <f t="shared" si="10"/>
        <v>246822.09294117647</v>
      </c>
      <c r="G127" s="8">
        <f t="shared" si="11"/>
        <v>0</v>
      </c>
      <c r="H127" s="289">
        <f t="shared" si="12"/>
        <v>0</v>
      </c>
      <c r="J127" s="8">
        <f>Données!AN127</f>
        <v>5100</v>
      </c>
      <c r="K127" s="198">
        <f t="shared" si="13"/>
        <v>30852.761617647058</v>
      </c>
      <c r="L127" s="12">
        <f t="shared" si="14"/>
        <v>0</v>
      </c>
      <c r="M127" s="289">
        <f t="shared" si="15"/>
        <v>0</v>
      </c>
      <c r="O127" s="42">
        <f t="shared" si="16"/>
        <v>0</v>
      </c>
      <c r="P127" s="247"/>
      <c r="Q127" s="211"/>
      <c r="R127" s="211"/>
      <c r="S127" s="211"/>
      <c r="T127" s="211"/>
      <c r="U127" s="211"/>
      <c r="AF127" s="11"/>
      <c r="AG127" s="11"/>
      <c r="AH127" s="11"/>
      <c r="AI127" s="11"/>
      <c r="AJ127" s="11"/>
      <c r="AK127" s="11"/>
      <c r="AL127" s="11"/>
    </row>
    <row r="128" spans="1:38" x14ac:dyDescent="0.25">
      <c r="A128" s="38">
        <f>+Données!A128</f>
        <v>5623</v>
      </c>
      <c r="B128" s="229" t="str">
        <f>+Données!B128</f>
        <v>Buchillon</v>
      </c>
      <c r="C128" s="220">
        <f>+Ecrêtage!C128</f>
        <v>88403.083461538452</v>
      </c>
      <c r="D128" s="218"/>
      <c r="E128" s="220">
        <f>Données!AF128+Données!AG128+Données!AH128</f>
        <v>211649</v>
      </c>
      <c r="F128" s="218">
        <f t="shared" si="10"/>
        <v>707224.66769230762</v>
      </c>
      <c r="G128" s="8">
        <f t="shared" si="11"/>
        <v>0</v>
      </c>
      <c r="H128" s="289">
        <f t="shared" si="12"/>
        <v>0</v>
      </c>
      <c r="J128" s="8">
        <f>Données!AN128</f>
        <v>9842</v>
      </c>
      <c r="K128" s="198">
        <f t="shared" si="13"/>
        <v>88403.083461538452</v>
      </c>
      <c r="L128" s="12">
        <f t="shared" si="14"/>
        <v>0</v>
      </c>
      <c r="M128" s="289">
        <f t="shared" si="15"/>
        <v>0</v>
      </c>
      <c r="O128" s="42">
        <f t="shared" si="16"/>
        <v>0</v>
      </c>
      <c r="P128" s="247"/>
      <c r="Q128" s="211"/>
      <c r="R128" s="211"/>
      <c r="S128" s="211"/>
      <c r="T128" s="211"/>
      <c r="U128" s="211"/>
      <c r="AF128" s="11"/>
      <c r="AG128" s="11"/>
      <c r="AH128" s="11"/>
      <c r="AI128" s="11"/>
      <c r="AJ128" s="11"/>
      <c r="AK128" s="11"/>
      <c r="AL128" s="11"/>
    </row>
    <row r="129" spans="1:38" x14ac:dyDescent="0.25">
      <c r="A129" s="38">
        <f>+Données!A129</f>
        <v>5624</v>
      </c>
      <c r="B129" s="229" t="str">
        <f>+Données!B129</f>
        <v>Bussigny</v>
      </c>
      <c r="C129" s="220">
        <f>+Ecrêtage!C129</f>
        <v>522420.75055999996</v>
      </c>
      <c r="D129" s="218"/>
      <c r="E129" s="220">
        <f>Données!AF129+Données!AG129+Données!AH129</f>
        <v>6674122.1100000003</v>
      </c>
      <c r="F129" s="218">
        <f t="shared" si="10"/>
        <v>4179366.0044799997</v>
      </c>
      <c r="G129" s="8">
        <f t="shared" si="11"/>
        <v>2494756.1055200007</v>
      </c>
      <c r="H129" s="289">
        <f t="shared" si="12"/>
        <v>-1871067.0791400005</v>
      </c>
      <c r="J129" s="8">
        <f>Données!AN129</f>
        <v>215853.51</v>
      </c>
      <c r="K129" s="198">
        <f t="shared" si="13"/>
        <v>522420.75055999996</v>
      </c>
      <c r="L129" s="12">
        <f t="shared" si="14"/>
        <v>0</v>
      </c>
      <c r="M129" s="289">
        <f t="shared" si="15"/>
        <v>0</v>
      </c>
      <c r="O129" s="42">
        <f t="shared" si="16"/>
        <v>-1871067.0791400005</v>
      </c>
      <c r="P129" s="247"/>
      <c r="Q129" s="211"/>
      <c r="R129" s="211"/>
      <c r="S129" s="211"/>
      <c r="T129" s="211"/>
      <c r="U129" s="211"/>
      <c r="AF129" s="11"/>
      <c r="AG129" s="11"/>
      <c r="AH129" s="11"/>
      <c r="AI129" s="11"/>
      <c r="AJ129" s="11"/>
      <c r="AK129" s="11"/>
      <c r="AL129" s="11"/>
    </row>
    <row r="130" spans="1:38" x14ac:dyDescent="0.25">
      <c r="A130" s="38">
        <f>+Données!A130</f>
        <v>5627</v>
      </c>
      <c r="B130" s="229" t="str">
        <f>+Données!B130</f>
        <v>Chavannes-près-Renens</v>
      </c>
      <c r="C130" s="220">
        <f>+Ecrêtage!C130</f>
        <v>188690.75535483871</v>
      </c>
      <c r="D130" s="218"/>
      <c r="E130" s="220">
        <f>Données!AF130+Données!AG130+Données!AH130</f>
        <v>4604896</v>
      </c>
      <c r="F130" s="218">
        <f t="shared" si="10"/>
        <v>1509526.0428387097</v>
      </c>
      <c r="G130" s="8">
        <f t="shared" si="11"/>
        <v>3095369.9571612906</v>
      </c>
      <c r="H130" s="289">
        <f t="shared" si="12"/>
        <v>-2321527.4678709679</v>
      </c>
      <c r="J130" s="8">
        <f>Données!AN130</f>
        <v>11346</v>
      </c>
      <c r="K130" s="198">
        <f t="shared" si="13"/>
        <v>188690.75535483871</v>
      </c>
      <c r="L130" s="12">
        <f t="shared" si="14"/>
        <v>0</v>
      </c>
      <c r="M130" s="289">
        <f t="shared" si="15"/>
        <v>0</v>
      </c>
      <c r="O130" s="42">
        <f t="shared" si="16"/>
        <v>-2321527.4678709679</v>
      </c>
      <c r="P130" s="247"/>
      <c r="Q130" s="211"/>
      <c r="R130" s="211"/>
      <c r="S130" s="211"/>
      <c r="T130" s="211"/>
      <c r="U130" s="211"/>
      <c r="AF130" s="11"/>
      <c r="AG130" s="11"/>
      <c r="AH130" s="11"/>
      <c r="AI130" s="11"/>
      <c r="AJ130" s="11"/>
      <c r="AK130" s="11"/>
      <c r="AL130" s="11"/>
    </row>
    <row r="131" spans="1:38" x14ac:dyDescent="0.25">
      <c r="A131" s="38">
        <f>+Données!A131</f>
        <v>5628</v>
      </c>
      <c r="B131" s="229" t="str">
        <f>+Données!B131</f>
        <v>Chigny</v>
      </c>
      <c r="C131" s="220">
        <f>+Ecrêtage!C131</f>
        <v>27627.379193548386</v>
      </c>
      <c r="D131" s="218"/>
      <c r="E131" s="220">
        <f>Données!AF131+Données!AG131+Données!AH131</f>
        <v>101954</v>
      </c>
      <c r="F131" s="218">
        <f t="shared" si="10"/>
        <v>221019.03354838709</v>
      </c>
      <c r="G131" s="8">
        <f t="shared" si="11"/>
        <v>0</v>
      </c>
      <c r="H131" s="289">
        <f t="shared" si="12"/>
        <v>0</v>
      </c>
      <c r="J131" s="8">
        <f>Données!AN131</f>
        <v>3108</v>
      </c>
      <c r="K131" s="198">
        <f t="shared" si="13"/>
        <v>27627.379193548386</v>
      </c>
      <c r="L131" s="12">
        <f t="shared" si="14"/>
        <v>0</v>
      </c>
      <c r="M131" s="289">
        <f t="shared" si="15"/>
        <v>0</v>
      </c>
      <c r="O131" s="42">
        <f t="shared" si="16"/>
        <v>0</v>
      </c>
      <c r="P131" s="247"/>
      <c r="Q131" s="211"/>
      <c r="R131" s="211"/>
      <c r="S131" s="211"/>
      <c r="T131" s="211"/>
      <c r="U131" s="211"/>
      <c r="AF131" s="11"/>
      <c r="AG131" s="11"/>
      <c r="AH131" s="11"/>
      <c r="AI131" s="11"/>
      <c r="AJ131" s="11"/>
      <c r="AK131" s="11"/>
      <c r="AL131" s="11"/>
    </row>
    <row r="132" spans="1:38" x14ac:dyDescent="0.25">
      <c r="A132" s="38">
        <f>+Données!A132</f>
        <v>5629</v>
      </c>
      <c r="B132" s="229" t="str">
        <f>+Données!B132</f>
        <v>Clarmont</v>
      </c>
      <c r="C132" s="220">
        <f>+Ecrêtage!C132</f>
        <v>9964.7430555555547</v>
      </c>
      <c r="D132" s="218"/>
      <c r="E132" s="220">
        <f>Données!AF132+Données!AG132+Données!AH132</f>
        <v>150683</v>
      </c>
      <c r="F132" s="218">
        <f t="shared" si="10"/>
        <v>79717.944444444438</v>
      </c>
      <c r="G132" s="8">
        <f t="shared" si="11"/>
        <v>70965.055555555562</v>
      </c>
      <c r="H132" s="289">
        <f t="shared" si="12"/>
        <v>-53223.791666666672</v>
      </c>
      <c r="J132" s="8">
        <f>Données!AN132</f>
        <v>443</v>
      </c>
      <c r="K132" s="198">
        <f t="shared" si="13"/>
        <v>9964.7430555555547</v>
      </c>
      <c r="L132" s="12">
        <f t="shared" si="14"/>
        <v>0</v>
      </c>
      <c r="M132" s="289">
        <f t="shared" si="15"/>
        <v>0</v>
      </c>
      <c r="O132" s="42">
        <f t="shared" si="16"/>
        <v>-53223.791666666672</v>
      </c>
      <c r="P132" s="247"/>
      <c r="Q132" s="211"/>
      <c r="R132" s="211"/>
      <c r="S132" s="211"/>
      <c r="T132" s="211"/>
      <c r="U132" s="211"/>
      <c r="AF132" s="11"/>
      <c r="AG132" s="11"/>
      <c r="AH132" s="11"/>
      <c r="AI132" s="11"/>
      <c r="AJ132" s="11"/>
      <c r="AK132" s="11"/>
      <c r="AL132" s="11"/>
    </row>
    <row r="133" spans="1:38" x14ac:dyDescent="0.25">
      <c r="A133" s="38">
        <f>+Données!A133</f>
        <v>5631</v>
      </c>
      <c r="B133" s="229" t="str">
        <f>+Données!B133</f>
        <v>Denens</v>
      </c>
      <c r="C133" s="220">
        <f>+Ecrêtage!C133</f>
        <v>41694.310588235297</v>
      </c>
      <c r="D133" s="218"/>
      <c r="E133" s="220">
        <f>Données!AF133+Données!AG133+Données!AH133</f>
        <v>244464</v>
      </c>
      <c r="F133" s="218">
        <f t="shared" si="10"/>
        <v>333554.48470588238</v>
      </c>
      <c r="G133" s="8">
        <f t="shared" si="11"/>
        <v>0</v>
      </c>
      <c r="H133" s="289">
        <f t="shared" si="12"/>
        <v>0</v>
      </c>
      <c r="J133" s="8">
        <f>Données!AN133</f>
        <v>-790</v>
      </c>
      <c r="K133" s="198">
        <f t="shared" si="13"/>
        <v>41694.310588235297</v>
      </c>
      <c r="L133" s="12">
        <f t="shared" si="14"/>
        <v>0</v>
      </c>
      <c r="M133" s="289">
        <f t="shared" si="15"/>
        <v>0</v>
      </c>
      <c r="O133" s="42">
        <f t="shared" si="16"/>
        <v>0</v>
      </c>
      <c r="P133" s="247"/>
      <c r="Q133" s="211"/>
      <c r="R133" s="211"/>
      <c r="S133" s="211"/>
      <c r="T133" s="211"/>
      <c r="U133" s="211"/>
      <c r="AF133" s="11"/>
      <c r="AG133" s="11"/>
      <c r="AH133" s="11"/>
      <c r="AI133" s="11"/>
      <c r="AJ133" s="11"/>
      <c r="AK133" s="11"/>
      <c r="AL133" s="11"/>
    </row>
    <row r="134" spans="1:38" x14ac:dyDescent="0.25">
      <c r="A134" s="38">
        <f>+Données!A134</f>
        <v>5632</v>
      </c>
      <c r="B134" s="229" t="str">
        <f>+Données!B134</f>
        <v>Denges</v>
      </c>
      <c r="C134" s="220">
        <f>+Ecrêtage!C134</f>
        <v>81642.531612903229</v>
      </c>
      <c r="D134" s="218"/>
      <c r="E134" s="220">
        <f>Données!AF134+Données!AG134+Données!AH134</f>
        <v>884449</v>
      </c>
      <c r="F134" s="218">
        <f t="shared" si="10"/>
        <v>653140.25290322583</v>
      </c>
      <c r="G134" s="8">
        <f t="shared" si="11"/>
        <v>231308.74709677417</v>
      </c>
      <c r="H134" s="289">
        <f t="shared" si="12"/>
        <v>-173481.56032258063</v>
      </c>
      <c r="J134" s="8">
        <f>Données!AN134</f>
        <v>1047</v>
      </c>
      <c r="K134" s="198">
        <f t="shared" si="13"/>
        <v>81642.531612903229</v>
      </c>
      <c r="L134" s="12">
        <f t="shared" si="14"/>
        <v>0</v>
      </c>
      <c r="M134" s="289">
        <f t="shared" si="15"/>
        <v>0</v>
      </c>
      <c r="O134" s="42">
        <f t="shared" si="16"/>
        <v>-173481.56032258063</v>
      </c>
      <c r="P134" s="247"/>
      <c r="Q134" s="211"/>
      <c r="R134" s="211"/>
      <c r="S134" s="211"/>
      <c r="T134" s="211"/>
      <c r="U134" s="211"/>
      <c r="AF134" s="11"/>
      <c r="AG134" s="11"/>
      <c r="AH134" s="11"/>
      <c r="AI134" s="11"/>
      <c r="AJ134" s="11"/>
      <c r="AK134" s="11"/>
      <c r="AL134" s="11"/>
    </row>
    <row r="135" spans="1:38" x14ac:dyDescent="0.25">
      <c r="A135" s="38">
        <f>+Données!A135</f>
        <v>5633</v>
      </c>
      <c r="B135" s="229" t="str">
        <f>+Données!B135</f>
        <v>Echandens</v>
      </c>
      <c r="C135" s="220">
        <f>+Ecrêtage!C135</f>
        <v>149835.3479338843</v>
      </c>
      <c r="D135" s="218"/>
      <c r="E135" s="220">
        <f>Données!AF135+Données!AG135+Données!AH135</f>
        <v>2325316</v>
      </c>
      <c r="F135" s="218">
        <f t="shared" ref="F135:F198" si="17">+C135*$G$5</f>
        <v>1198682.7834710744</v>
      </c>
      <c r="G135" s="8">
        <f t="shared" ref="G135:G198" si="18">IF(E135&gt;F135,E135-F135,0)</f>
        <v>1126633.2165289256</v>
      </c>
      <c r="H135" s="289">
        <f t="shared" ref="H135:H198" si="19">-G135*H$5</f>
        <v>-844974.91239669418</v>
      </c>
      <c r="J135" s="8">
        <f>Données!AN135</f>
        <v>8617</v>
      </c>
      <c r="K135" s="198">
        <f t="shared" ref="K135:K198" si="20">C135*L$5</f>
        <v>149835.3479338843</v>
      </c>
      <c r="L135" s="12">
        <f t="shared" ref="L135:L198" si="21">IF(J135&gt;K135,J135-K135,0)</f>
        <v>0</v>
      </c>
      <c r="M135" s="289">
        <f t="shared" ref="M135:M198" si="22">-L135*M$5</f>
        <v>0</v>
      </c>
      <c r="O135" s="42">
        <f t="shared" ref="O135:O198" si="23">M135+H135</f>
        <v>-844974.91239669418</v>
      </c>
      <c r="P135" s="247"/>
      <c r="Q135" s="211"/>
      <c r="R135" s="211"/>
      <c r="S135" s="211"/>
      <c r="T135" s="211"/>
      <c r="U135" s="211"/>
      <c r="AF135" s="11"/>
      <c r="AG135" s="11"/>
      <c r="AH135" s="11"/>
      <c r="AI135" s="11"/>
      <c r="AJ135" s="11"/>
      <c r="AK135" s="11"/>
      <c r="AL135" s="11"/>
    </row>
    <row r="136" spans="1:38" x14ac:dyDescent="0.25">
      <c r="A136" s="38">
        <f>+Données!A136</f>
        <v>5634</v>
      </c>
      <c r="B136" s="229" t="str">
        <f>+Données!B136</f>
        <v>Echichens</v>
      </c>
      <c r="C136" s="220">
        <f>+Ecrêtage!C136</f>
        <v>183137.63424242428</v>
      </c>
      <c r="D136" s="218"/>
      <c r="E136" s="220">
        <f>Données!AF136+Données!AG136+Données!AH136</f>
        <v>1549972</v>
      </c>
      <c r="F136" s="218">
        <f t="shared" si="17"/>
        <v>1465101.0739393942</v>
      </c>
      <c r="G136" s="8">
        <f t="shared" si="18"/>
        <v>84870.926060605794</v>
      </c>
      <c r="H136" s="289">
        <f t="shared" si="19"/>
        <v>-63653.194545454346</v>
      </c>
      <c r="J136" s="8">
        <f>Données!AN136</f>
        <v>19371</v>
      </c>
      <c r="K136" s="198">
        <f t="shared" si="20"/>
        <v>183137.63424242428</v>
      </c>
      <c r="L136" s="12">
        <f t="shared" si="21"/>
        <v>0</v>
      </c>
      <c r="M136" s="289">
        <f t="shared" si="22"/>
        <v>0</v>
      </c>
      <c r="O136" s="42">
        <f t="shared" si="23"/>
        <v>-63653.194545454346</v>
      </c>
      <c r="P136" s="247"/>
      <c r="Q136" s="211"/>
      <c r="R136" s="211"/>
      <c r="S136" s="211"/>
      <c r="T136" s="211"/>
      <c r="U136" s="211"/>
      <c r="AF136" s="11"/>
      <c r="AG136" s="11"/>
      <c r="AH136" s="11"/>
      <c r="AI136" s="11"/>
      <c r="AJ136" s="11"/>
      <c r="AK136" s="11"/>
      <c r="AL136" s="11"/>
    </row>
    <row r="137" spans="1:38" x14ac:dyDescent="0.25">
      <c r="A137" s="38">
        <f>+Données!A137</f>
        <v>5635</v>
      </c>
      <c r="B137" s="229" t="str">
        <f>+Données!B137</f>
        <v>Ecublens</v>
      </c>
      <c r="C137" s="220">
        <f>+Ecrêtage!C137</f>
        <v>516165.47293333331</v>
      </c>
      <c r="D137" s="218"/>
      <c r="E137" s="220">
        <f>Données!AF137+Données!AG137+Données!AH137</f>
        <v>9085857</v>
      </c>
      <c r="F137" s="218">
        <f t="shared" si="17"/>
        <v>4129323.7834666665</v>
      </c>
      <c r="G137" s="8">
        <f t="shared" si="18"/>
        <v>4956533.2165333331</v>
      </c>
      <c r="H137" s="289">
        <f t="shared" si="19"/>
        <v>-3717399.9123999998</v>
      </c>
      <c r="J137" s="8">
        <f>Données!AN137</f>
        <v>145346</v>
      </c>
      <c r="K137" s="198">
        <f t="shared" si="20"/>
        <v>516165.47293333331</v>
      </c>
      <c r="L137" s="12">
        <f t="shared" si="21"/>
        <v>0</v>
      </c>
      <c r="M137" s="289">
        <f t="shared" si="22"/>
        <v>0</v>
      </c>
      <c r="O137" s="42">
        <f t="shared" si="23"/>
        <v>-3717399.9123999998</v>
      </c>
      <c r="P137" s="247"/>
      <c r="Q137" s="211"/>
      <c r="R137" s="211"/>
      <c r="S137" s="211"/>
      <c r="T137" s="211"/>
      <c r="U137" s="211"/>
      <c r="AF137" s="11"/>
      <c r="AG137" s="11"/>
      <c r="AH137" s="11"/>
      <c r="AI137" s="11"/>
      <c r="AJ137" s="11"/>
      <c r="AK137" s="11"/>
      <c r="AL137" s="11"/>
    </row>
    <row r="138" spans="1:38" x14ac:dyDescent="0.25">
      <c r="A138" s="38">
        <f>+Données!A138</f>
        <v>5636</v>
      </c>
      <c r="B138" s="229" t="str">
        <f>+Données!B138</f>
        <v>Etoy</v>
      </c>
      <c r="C138" s="220">
        <f>+Ecrêtage!C138</f>
        <v>189458.35050000003</v>
      </c>
      <c r="D138" s="218"/>
      <c r="E138" s="220">
        <f>Données!AF138+Données!AG138+Données!AH138</f>
        <v>1156484</v>
      </c>
      <c r="F138" s="218">
        <f t="shared" si="17"/>
        <v>1515666.8040000002</v>
      </c>
      <c r="G138" s="8">
        <f t="shared" si="18"/>
        <v>0</v>
      </c>
      <c r="H138" s="289">
        <f t="shared" si="19"/>
        <v>0</v>
      </c>
      <c r="J138" s="8">
        <f>Données!AN138</f>
        <v>15654</v>
      </c>
      <c r="K138" s="198">
        <f t="shared" si="20"/>
        <v>189458.35050000003</v>
      </c>
      <c r="L138" s="12">
        <f t="shared" si="21"/>
        <v>0</v>
      </c>
      <c r="M138" s="289">
        <f t="shared" si="22"/>
        <v>0</v>
      </c>
      <c r="O138" s="42">
        <f t="shared" si="23"/>
        <v>0</v>
      </c>
      <c r="P138" s="247"/>
      <c r="Q138" s="211"/>
      <c r="R138" s="211"/>
      <c r="S138" s="211"/>
      <c r="T138" s="211"/>
      <c r="U138" s="211"/>
      <c r="AF138" s="11"/>
      <c r="AG138" s="11"/>
      <c r="AH138" s="11"/>
      <c r="AI138" s="11"/>
      <c r="AJ138" s="11"/>
      <c r="AK138" s="11"/>
      <c r="AL138" s="11"/>
    </row>
    <row r="139" spans="1:38" x14ac:dyDescent="0.25">
      <c r="A139" s="38">
        <f>+Données!A139</f>
        <v>5637</v>
      </c>
      <c r="B139" s="229" t="str">
        <f>+Données!B139</f>
        <v>Lavigny</v>
      </c>
      <c r="C139" s="220">
        <f>+Ecrêtage!C139</f>
        <v>36293.809863013703</v>
      </c>
      <c r="D139" s="218"/>
      <c r="E139" s="220">
        <f>Données!AF139+Données!AG139+Données!AH139</f>
        <v>651658</v>
      </c>
      <c r="F139" s="218">
        <f t="shared" si="17"/>
        <v>290350.47890410962</v>
      </c>
      <c r="G139" s="8">
        <f t="shared" si="18"/>
        <v>361307.52109589038</v>
      </c>
      <c r="H139" s="289">
        <f t="shared" si="19"/>
        <v>-270980.6408219178</v>
      </c>
      <c r="J139" s="8">
        <f>Données!AN139</f>
        <v>2299</v>
      </c>
      <c r="K139" s="198">
        <f t="shared" si="20"/>
        <v>36293.809863013703</v>
      </c>
      <c r="L139" s="12">
        <f t="shared" si="21"/>
        <v>0</v>
      </c>
      <c r="M139" s="289">
        <f t="shared" si="22"/>
        <v>0</v>
      </c>
      <c r="O139" s="42">
        <f t="shared" si="23"/>
        <v>-270980.6408219178</v>
      </c>
      <c r="P139" s="247"/>
      <c r="Q139" s="211"/>
      <c r="R139" s="211"/>
      <c r="S139" s="211"/>
      <c r="T139" s="211"/>
      <c r="U139" s="211"/>
      <c r="AF139" s="11"/>
      <c r="AG139" s="11"/>
      <c r="AH139" s="11"/>
      <c r="AI139" s="11"/>
      <c r="AJ139" s="11"/>
      <c r="AK139" s="11"/>
      <c r="AL139" s="11"/>
    </row>
    <row r="140" spans="1:38" x14ac:dyDescent="0.25">
      <c r="A140" s="38">
        <f>+Données!A140</f>
        <v>5638</v>
      </c>
      <c r="B140" s="229" t="str">
        <f>+Données!B140</f>
        <v>Lonay</v>
      </c>
      <c r="C140" s="220">
        <f>+Ecrêtage!C140</f>
        <v>153893.84090909091</v>
      </c>
      <c r="D140" s="218"/>
      <c r="E140" s="220">
        <f>Données!AF140+Données!AG140+Données!AH140</f>
        <v>1886932</v>
      </c>
      <c r="F140" s="218">
        <f t="shared" si="17"/>
        <v>1231150.7272727273</v>
      </c>
      <c r="G140" s="8">
        <f t="shared" si="18"/>
        <v>655781.27272727271</v>
      </c>
      <c r="H140" s="289">
        <f t="shared" si="19"/>
        <v>-491835.95454545453</v>
      </c>
      <c r="J140" s="8">
        <f>Données!AN140</f>
        <v>7800</v>
      </c>
      <c r="K140" s="198">
        <f t="shared" si="20"/>
        <v>153893.84090909091</v>
      </c>
      <c r="L140" s="12">
        <f t="shared" si="21"/>
        <v>0</v>
      </c>
      <c r="M140" s="289">
        <f t="shared" si="22"/>
        <v>0</v>
      </c>
      <c r="O140" s="42">
        <f t="shared" si="23"/>
        <v>-491835.95454545453</v>
      </c>
      <c r="P140" s="247"/>
      <c r="Q140" s="211"/>
      <c r="R140" s="211"/>
      <c r="S140" s="211"/>
      <c r="T140" s="211"/>
      <c r="U140" s="211"/>
      <c r="AF140" s="11"/>
      <c r="AG140" s="11"/>
      <c r="AH140" s="11"/>
      <c r="AI140" s="11"/>
      <c r="AJ140" s="11"/>
      <c r="AK140" s="11"/>
      <c r="AL140" s="11"/>
    </row>
    <row r="141" spans="1:38" x14ac:dyDescent="0.25">
      <c r="A141" s="38">
        <f>+Données!A141</f>
        <v>5639</v>
      </c>
      <c r="B141" s="229" t="str">
        <f>+Données!B141</f>
        <v>Lully</v>
      </c>
      <c r="C141" s="220">
        <f>+Ecrêtage!C141</f>
        <v>52242.173114754092</v>
      </c>
      <c r="D141" s="218"/>
      <c r="E141" s="220">
        <f>Données!AF141+Données!AG141+Données!AH141</f>
        <v>0</v>
      </c>
      <c r="F141" s="218">
        <f t="shared" si="17"/>
        <v>417937.38491803274</v>
      </c>
      <c r="G141" s="8">
        <f t="shared" si="18"/>
        <v>0</v>
      </c>
      <c r="H141" s="289">
        <f t="shared" si="19"/>
        <v>0</v>
      </c>
      <c r="J141" s="8">
        <f>Données!AN141</f>
        <v>0</v>
      </c>
      <c r="K141" s="198">
        <f t="shared" si="20"/>
        <v>52242.173114754092</v>
      </c>
      <c r="L141" s="12">
        <f t="shared" si="21"/>
        <v>0</v>
      </c>
      <c r="M141" s="289">
        <f t="shared" si="22"/>
        <v>0</v>
      </c>
      <c r="O141" s="42">
        <f t="shared" si="23"/>
        <v>0</v>
      </c>
      <c r="P141" s="247"/>
      <c r="Q141" s="211"/>
      <c r="R141" s="211"/>
      <c r="S141" s="211"/>
      <c r="T141" s="211"/>
      <c r="U141" s="211"/>
      <c r="AF141" s="11"/>
      <c r="AG141" s="11"/>
      <c r="AH141" s="11"/>
      <c r="AI141" s="11"/>
      <c r="AJ141" s="11"/>
      <c r="AK141" s="11"/>
      <c r="AL141" s="11"/>
    </row>
    <row r="142" spans="1:38" x14ac:dyDescent="0.25">
      <c r="A142" s="38">
        <f>+Données!A142</f>
        <v>5640</v>
      </c>
      <c r="B142" s="229" t="str">
        <f>+Données!B142</f>
        <v>Lussy-sur-Morges</v>
      </c>
      <c r="C142" s="220">
        <f>+Ecrêtage!C142</f>
        <v>57771.49271317829</v>
      </c>
      <c r="D142" s="218"/>
      <c r="E142" s="220">
        <f>Données!AF142+Données!AG142+Données!AH142</f>
        <v>425397</v>
      </c>
      <c r="F142" s="218">
        <f t="shared" si="17"/>
        <v>462171.94170542632</v>
      </c>
      <c r="G142" s="8">
        <f t="shared" si="18"/>
        <v>0</v>
      </c>
      <c r="H142" s="289">
        <f t="shared" si="19"/>
        <v>0</v>
      </c>
      <c r="J142" s="8">
        <f>Données!AN142</f>
        <v>10791</v>
      </c>
      <c r="K142" s="198">
        <f t="shared" si="20"/>
        <v>57771.49271317829</v>
      </c>
      <c r="L142" s="12">
        <f t="shared" si="21"/>
        <v>0</v>
      </c>
      <c r="M142" s="289">
        <f t="shared" si="22"/>
        <v>0</v>
      </c>
      <c r="O142" s="42">
        <f t="shared" si="23"/>
        <v>0</v>
      </c>
      <c r="P142" s="247"/>
      <c r="Q142" s="211"/>
      <c r="R142" s="211"/>
      <c r="S142" s="211"/>
      <c r="T142" s="211"/>
      <c r="U142" s="211"/>
      <c r="AF142" s="11"/>
      <c r="AG142" s="11"/>
      <c r="AH142" s="11"/>
      <c r="AI142" s="11"/>
      <c r="AJ142" s="11"/>
      <c r="AK142" s="11"/>
      <c r="AL142" s="11"/>
    </row>
    <row r="143" spans="1:38" x14ac:dyDescent="0.25">
      <c r="A143" s="38">
        <f>+Données!A143</f>
        <v>5642</v>
      </c>
      <c r="B143" s="229" t="str">
        <f>+Données!B143</f>
        <v>Morges</v>
      </c>
      <c r="C143" s="220">
        <f>+Ecrêtage!C143</f>
        <v>980547.23447761196</v>
      </c>
      <c r="D143" s="218"/>
      <c r="E143" s="220">
        <f>Données!AF143+Données!AG143+Données!AH143</f>
        <v>9585304</v>
      </c>
      <c r="F143" s="218">
        <f t="shared" si="17"/>
        <v>7844377.8758208957</v>
      </c>
      <c r="G143" s="8">
        <f t="shared" si="18"/>
        <v>1740926.1241791043</v>
      </c>
      <c r="H143" s="289">
        <f t="shared" si="19"/>
        <v>-1305694.5931343283</v>
      </c>
      <c r="J143" s="8">
        <f>Données!AN143</f>
        <v>76388</v>
      </c>
      <c r="K143" s="198">
        <f t="shared" si="20"/>
        <v>980547.23447761196</v>
      </c>
      <c r="L143" s="12">
        <f t="shared" si="21"/>
        <v>0</v>
      </c>
      <c r="M143" s="289">
        <f t="shared" si="22"/>
        <v>0</v>
      </c>
      <c r="O143" s="42">
        <f t="shared" si="23"/>
        <v>-1305694.5931343283</v>
      </c>
      <c r="P143" s="247"/>
      <c r="Q143" s="211"/>
      <c r="R143" s="211"/>
      <c r="S143" s="211"/>
      <c r="T143" s="211"/>
      <c r="U143" s="211"/>
      <c r="AF143" s="11"/>
      <c r="AG143" s="11"/>
      <c r="AH143" s="11"/>
      <c r="AI143" s="11"/>
      <c r="AJ143" s="11"/>
      <c r="AK143" s="11"/>
      <c r="AL143" s="11"/>
    </row>
    <row r="144" spans="1:38" x14ac:dyDescent="0.25">
      <c r="A144" s="38">
        <f>+Données!A144</f>
        <v>5643</v>
      </c>
      <c r="B144" s="229" t="str">
        <f>+Données!B144</f>
        <v>Préverenges</v>
      </c>
      <c r="C144" s="220">
        <f>+Ecrêtage!C144</f>
        <v>252724.38943999997</v>
      </c>
      <c r="D144" s="218"/>
      <c r="E144" s="220">
        <f>Données!AF144+Données!AG144+Données!AH144</f>
        <v>1731250</v>
      </c>
      <c r="F144" s="218">
        <f t="shared" si="17"/>
        <v>2021795.1155199998</v>
      </c>
      <c r="G144" s="8">
        <f t="shared" si="18"/>
        <v>0</v>
      </c>
      <c r="H144" s="289">
        <f t="shared" si="19"/>
        <v>0</v>
      </c>
      <c r="J144" s="8">
        <f>Données!AN144</f>
        <v>159</v>
      </c>
      <c r="K144" s="198">
        <f t="shared" si="20"/>
        <v>252724.38943999997</v>
      </c>
      <c r="L144" s="12">
        <f t="shared" si="21"/>
        <v>0</v>
      </c>
      <c r="M144" s="289">
        <f t="shared" si="22"/>
        <v>0</v>
      </c>
      <c r="O144" s="42">
        <f t="shared" si="23"/>
        <v>0</v>
      </c>
      <c r="P144" s="247"/>
      <c r="Q144" s="211"/>
      <c r="R144" s="211"/>
      <c r="S144" s="211"/>
      <c r="T144" s="211"/>
      <c r="U144" s="211"/>
      <c r="AF144" s="11"/>
      <c r="AG144" s="11"/>
      <c r="AH144" s="11"/>
      <c r="AI144" s="11"/>
      <c r="AJ144" s="11"/>
      <c r="AK144" s="11"/>
      <c r="AL144" s="11"/>
    </row>
    <row r="145" spans="1:38" x14ac:dyDescent="0.25">
      <c r="A145" s="38">
        <f>+Données!A145</f>
        <v>5645</v>
      </c>
      <c r="B145" s="229" t="str">
        <f>+Données!B145</f>
        <v>Romanel-sur-Morges</v>
      </c>
      <c r="C145" s="220">
        <f>+Ecrêtage!C145</f>
        <v>23768.997321428575</v>
      </c>
      <c r="D145" s="218"/>
      <c r="E145" s="220">
        <f>Données!AF145+Données!AG145+Données!AH145</f>
        <v>226475</v>
      </c>
      <c r="F145" s="218">
        <f t="shared" si="17"/>
        <v>190151.9785714286</v>
      </c>
      <c r="G145" s="8">
        <f t="shared" si="18"/>
        <v>36323.021428571403</v>
      </c>
      <c r="H145" s="289">
        <f t="shared" si="19"/>
        <v>-27242.266071428552</v>
      </c>
      <c r="J145" s="8">
        <f>Données!AN145</f>
        <v>394</v>
      </c>
      <c r="K145" s="198">
        <f t="shared" si="20"/>
        <v>23768.997321428575</v>
      </c>
      <c r="L145" s="12">
        <f t="shared" si="21"/>
        <v>0</v>
      </c>
      <c r="M145" s="289">
        <f t="shared" si="22"/>
        <v>0</v>
      </c>
      <c r="O145" s="42">
        <f t="shared" si="23"/>
        <v>-27242.266071428552</v>
      </c>
      <c r="P145" s="247"/>
      <c r="Q145" s="211"/>
      <c r="R145" s="211"/>
      <c r="S145" s="211"/>
      <c r="T145" s="211"/>
      <c r="U145" s="211"/>
      <c r="AF145" s="11"/>
      <c r="AG145" s="11"/>
      <c r="AH145" s="11"/>
      <c r="AI145" s="11"/>
      <c r="AJ145" s="11"/>
      <c r="AK145" s="11"/>
      <c r="AL145" s="11"/>
    </row>
    <row r="146" spans="1:38" x14ac:dyDescent="0.25">
      <c r="A146" s="38">
        <f>+Données!A146</f>
        <v>5646</v>
      </c>
      <c r="B146" s="229" t="str">
        <f>+Données!B146</f>
        <v>Saint-Prex</v>
      </c>
      <c r="C146" s="220">
        <f>+Ecrêtage!C146</f>
        <v>515578.26330508466</v>
      </c>
      <c r="D146" s="218"/>
      <c r="E146" s="220">
        <f>Données!AF146+Données!AG146+Données!AH146</f>
        <v>0</v>
      </c>
      <c r="F146" s="218">
        <f t="shared" si="17"/>
        <v>4124626.1064406773</v>
      </c>
      <c r="G146" s="8">
        <f t="shared" si="18"/>
        <v>0</v>
      </c>
      <c r="H146" s="289">
        <f t="shared" si="19"/>
        <v>0</v>
      </c>
      <c r="J146" s="8">
        <f>Données!AN146</f>
        <v>0</v>
      </c>
      <c r="K146" s="198">
        <f t="shared" si="20"/>
        <v>515578.26330508466</v>
      </c>
      <c r="L146" s="12">
        <f t="shared" si="21"/>
        <v>0</v>
      </c>
      <c r="M146" s="289">
        <f t="shared" si="22"/>
        <v>0</v>
      </c>
      <c r="O146" s="42">
        <f t="shared" si="23"/>
        <v>0</v>
      </c>
      <c r="P146" s="247"/>
      <c r="Q146" s="211"/>
      <c r="R146" s="211"/>
      <c r="S146" s="211"/>
      <c r="T146" s="211"/>
      <c r="U146" s="211"/>
      <c r="AF146" s="11"/>
      <c r="AG146" s="11"/>
      <c r="AH146" s="11"/>
      <c r="AI146" s="11"/>
      <c r="AJ146" s="11"/>
      <c r="AK146" s="11"/>
      <c r="AL146" s="11"/>
    </row>
    <row r="147" spans="1:38" x14ac:dyDescent="0.25">
      <c r="A147" s="38">
        <f>+Données!A147</f>
        <v>5648</v>
      </c>
      <c r="B147" s="229" t="str">
        <f>+Données!B147</f>
        <v>Saint-Sulpice</v>
      </c>
      <c r="C147" s="220">
        <f>+Ecrêtage!C147</f>
        <v>417040.44568181824</v>
      </c>
      <c r="D147" s="218"/>
      <c r="E147" s="220">
        <f>Données!AF147+Données!AG147+Données!AH147</f>
        <v>3338367</v>
      </c>
      <c r="F147" s="218">
        <f t="shared" si="17"/>
        <v>3336323.5654545459</v>
      </c>
      <c r="G147" s="8">
        <f t="shared" si="18"/>
        <v>2043.4345454541035</v>
      </c>
      <c r="H147" s="289">
        <f t="shared" si="19"/>
        <v>-1532.5759090905776</v>
      </c>
      <c r="J147" s="8">
        <f>Données!AN147</f>
        <v>43775</v>
      </c>
      <c r="K147" s="198">
        <f t="shared" si="20"/>
        <v>417040.44568181824</v>
      </c>
      <c r="L147" s="12">
        <f t="shared" si="21"/>
        <v>0</v>
      </c>
      <c r="M147" s="289">
        <f t="shared" si="22"/>
        <v>0</v>
      </c>
      <c r="O147" s="42">
        <f t="shared" si="23"/>
        <v>-1532.5759090905776</v>
      </c>
      <c r="P147" s="247"/>
      <c r="Q147" s="211"/>
      <c r="R147" s="211"/>
      <c r="S147" s="211"/>
      <c r="T147" s="211"/>
      <c r="U147" s="211"/>
      <c r="AF147" s="11"/>
      <c r="AG147" s="11"/>
      <c r="AH147" s="11"/>
      <c r="AI147" s="11"/>
      <c r="AJ147" s="11"/>
      <c r="AK147" s="11"/>
      <c r="AL147" s="11"/>
    </row>
    <row r="148" spans="1:38" x14ac:dyDescent="0.25">
      <c r="A148" s="38">
        <f>+Données!A148</f>
        <v>5649</v>
      </c>
      <c r="B148" s="229" t="str">
        <f>+Données!B148</f>
        <v>Tolochenaz</v>
      </c>
      <c r="C148" s="220">
        <f>+Ecrêtage!C148</f>
        <v>173464.05234375002</v>
      </c>
      <c r="D148" s="218"/>
      <c r="E148" s="220">
        <f>Données!AF148+Données!AG148+Données!AH148</f>
        <v>0</v>
      </c>
      <c r="F148" s="218">
        <f t="shared" si="17"/>
        <v>1387712.4187500002</v>
      </c>
      <c r="G148" s="8">
        <f t="shared" si="18"/>
        <v>0</v>
      </c>
      <c r="H148" s="289">
        <f t="shared" si="19"/>
        <v>0</v>
      </c>
      <c r="J148" s="8">
        <f>Données!AN148</f>
        <v>0</v>
      </c>
      <c r="K148" s="198">
        <f t="shared" si="20"/>
        <v>173464.05234375002</v>
      </c>
      <c r="L148" s="12">
        <f t="shared" si="21"/>
        <v>0</v>
      </c>
      <c r="M148" s="289">
        <f t="shared" si="22"/>
        <v>0</v>
      </c>
      <c r="O148" s="42">
        <f t="shared" si="23"/>
        <v>0</v>
      </c>
      <c r="P148" s="247"/>
      <c r="Q148" s="211"/>
      <c r="R148" s="211"/>
      <c r="S148" s="211"/>
      <c r="T148" s="211"/>
      <c r="U148" s="211"/>
      <c r="AF148" s="11"/>
      <c r="AG148" s="11"/>
      <c r="AH148" s="11"/>
      <c r="AI148" s="11"/>
      <c r="AJ148" s="11"/>
      <c r="AK148" s="11"/>
      <c r="AL148" s="11"/>
    </row>
    <row r="149" spans="1:38" x14ac:dyDescent="0.25">
      <c r="A149" s="38">
        <f>+Données!A149</f>
        <v>5650</v>
      </c>
      <c r="B149" s="229" t="str">
        <f>+Données!B149</f>
        <v>Vaux-sur-Morges</v>
      </c>
      <c r="C149" s="220">
        <f>+Ecrêtage!C149</f>
        <v>90407.863928571445</v>
      </c>
      <c r="D149" s="218"/>
      <c r="E149" s="220">
        <f>Données!AF149+Données!AG149+Données!AH149</f>
        <v>0</v>
      </c>
      <c r="F149" s="218">
        <f t="shared" si="17"/>
        <v>723262.91142857156</v>
      </c>
      <c r="G149" s="8">
        <f t="shared" si="18"/>
        <v>0</v>
      </c>
      <c r="H149" s="289">
        <f t="shared" si="19"/>
        <v>0</v>
      </c>
      <c r="J149" s="8">
        <f>Données!AN149</f>
        <v>0</v>
      </c>
      <c r="K149" s="198">
        <f t="shared" si="20"/>
        <v>90407.863928571445</v>
      </c>
      <c r="L149" s="12">
        <f t="shared" si="21"/>
        <v>0</v>
      </c>
      <c r="M149" s="289">
        <f t="shared" si="22"/>
        <v>0</v>
      </c>
      <c r="O149" s="42">
        <f t="shared" si="23"/>
        <v>0</v>
      </c>
      <c r="P149" s="247"/>
      <c r="Q149" s="211"/>
      <c r="R149" s="211"/>
      <c r="S149" s="211"/>
      <c r="T149" s="211"/>
      <c r="U149" s="211"/>
      <c r="AF149" s="11"/>
      <c r="AG149" s="11"/>
      <c r="AH149" s="11"/>
      <c r="AI149" s="11"/>
      <c r="AJ149" s="11"/>
      <c r="AK149" s="11"/>
      <c r="AL149" s="11"/>
    </row>
    <row r="150" spans="1:38" x14ac:dyDescent="0.25">
      <c r="A150" s="38">
        <f>+Données!A150</f>
        <v>5651</v>
      </c>
      <c r="B150" s="229" t="str">
        <f>+Données!B150</f>
        <v>Villars-Sainte-Croix</v>
      </c>
      <c r="C150" s="220">
        <f>+Ecrêtage!C150</f>
        <v>56008.147272727285</v>
      </c>
      <c r="D150" s="218"/>
      <c r="E150" s="220">
        <f>Données!AF150+Données!AG150+Données!AH150</f>
        <v>578175</v>
      </c>
      <c r="F150" s="218">
        <f t="shared" si="17"/>
        <v>448065.17818181828</v>
      </c>
      <c r="G150" s="8">
        <f t="shared" si="18"/>
        <v>130109.82181818172</v>
      </c>
      <c r="H150" s="289">
        <f t="shared" si="19"/>
        <v>-97582.366363636291</v>
      </c>
      <c r="J150" s="8">
        <f>Données!AN150</f>
        <v>26448</v>
      </c>
      <c r="K150" s="198">
        <f t="shared" si="20"/>
        <v>56008.147272727285</v>
      </c>
      <c r="L150" s="12">
        <f t="shared" si="21"/>
        <v>0</v>
      </c>
      <c r="M150" s="289">
        <f t="shared" si="22"/>
        <v>0</v>
      </c>
      <c r="O150" s="42">
        <f t="shared" si="23"/>
        <v>-97582.366363636291</v>
      </c>
      <c r="P150" s="247"/>
      <c r="Q150" s="211"/>
      <c r="R150" s="211"/>
      <c r="S150" s="211"/>
      <c r="T150" s="211"/>
      <c r="U150" s="211"/>
      <c r="AF150" s="11"/>
      <c r="AG150" s="11"/>
      <c r="AH150" s="11"/>
      <c r="AI150" s="11"/>
      <c r="AJ150" s="11"/>
      <c r="AK150" s="11"/>
      <c r="AL150" s="11"/>
    </row>
    <row r="151" spans="1:38" x14ac:dyDescent="0.25">
      <c r="A151" s="38">
        <f>+Données!A151</f>
        <v>5652</v>
      </c>
      <c r="B151" s="229" t="str">
        <f>+Données!B151</f>
        <v>Villars-sous-Yens</v>
      </c>
      <c r="C151" s="220">
        <f>+Ecrêtage!C151</f>
        <v>25957.212521929825</v>
      </c>
      <c r="D151" s="218"/>
      <c r="E151" s="220">
        <f>Données!AF151+Données!AG151+Données!AH151</f>
        <v>459633</v>
      </c>
      <c r="F151" s="218">
        <f t="shared" si="17"/>
        <v>207657.7001754386</v>
      </c>
      <c r="G151" s="8">
        <f t="shared" si="18"/>
        <v>251975.2998245614</v>
      </c>
      <c r="H151" s="289">
        <f t="shared" si="19"/>
        <v>-188981.47486842104</v>
      </c>
      <c r="J151" s="8">
        <f>Données!AN151</f>
        <v>13949</v>
      </c>
      <c r="K151" s="198">
        <f t="shared" si="20"/>
        <v>25957.212521929825</v>
      </c>
      <c r="L151" s="12">
        <f t="shared" si="21"/>
        <v>0</v>
      </c>
      <c r="M151" s="289">
        <f t="shared" si="22"/>
        <v>0</v>
      </c>
      <c r="O151" s="42">
        <f t="shared" si="23"/>
        <v>-188981.47486842104</v>
      </c>
      <c r="P151" s="247"/>
      <c r="Q151" s="211"/>
      <c r="R151" s="211"/>
      <c r="S151" s="211"/>
      <c r="T151" s="211"/>
      <c r="U151" s="211"/>
      <c r="AF151" s="11"/>
      <c r="AG151" s="11"/>
      <c r="AH151" s="11"/>
      <c r="AI151" s="11"/>
      <c r="AJ151" s="11"/>
      <c r="AK151" s="11"/>
      <c r="AL151" s="11"/>
    </row>
    <row r="152" spans="1:38" x14ac:dyDescent="0.25">
      <c r="A152" s="38">
        <f>+Données!A152</f>
        <v>5653</v>
      </c>
      <c r="B152" s="229" t="str">
        <f>+Données!B152</f>
        <v>Vufflens-le-Château</v>
      </c>
      <c r="C152" s="220">
        <f>+Ecrêtage!C152</f>
        <v>71346.970598290602</v>
      </c>
      <c r="D152" s="218"/>
      <c r="E152" s="220">
        <f>Données!AF152+Données!AG152+Données!AH152</f>
        <v>0</v>
      </c>
      <c r="F152" s="218">
        <f t="shared" si="17"/>
        <v>570775.76478632481</v>
      </c>
      <c r="G152" s="8">
        <f t="shared" si="18"/>
        <v>0</v>
      </c>
      <c r="H152" s="289">
        <f t="shared" si="19"/>
        <v>0</v>
      </c>
      <c r="J152" s="8">
        <f>Données!AN152</f>
        <v>0</v>
      </c>
      <c r="K152" s="198">
        <f t="shared" si="20"/>
        <v>71346.970598290602</v>
      </c>
      <c r="L152" s="12">
        <f t="shared" si="21"/>
        <v>0</v>
      </c>
      <c r="M152" s="289">
        <f t="shared" si="22"/>
        <v>0</v>
      </c>
      <c r="O152" s="42">
        <f t="shared" si="23"/>
        <v>0</v>
      </c>
      <c r="P152" s="247"/>
      <c r="Q152" s="211"/>
      <c r="R152" s="211"/>
      <c r="S152" s="211"/>
      <c r="T152" s="211"/>
      <c r="U152" s="211"/>
      <c r="AF152" s="11"/>
      <c r="AG152" s="11"/>
      <c r="AH152" s="11"/>
      <c r="AI152" s="11"/>
      <c r="AJ152" s="11"/>
      <c r="AK152" s="11"/>
      <c r="AL152" s="11"/>
    </row>
    <row r="153" spans="1:38" x14ac:dyDescent="0.25">
      <c r="A153" s="38">
        <f>+Données!A153</f>
        <v>5654</v>
      </c>
      <c r="B153" s="229" t="str">
        <f>+Données!B153</f>
        <v>Vullierens</v>
      </c>
      <c r="C153" s="220">
        <f>+Ecrêtage!C153</f>
        <v>20741.31131578947</v>
      </c>
      <c r="D153" s="218"/>
      <c r="E153" s="220">
        <f>Données!AF153+Données!AG153+Données!AH153</f>
        <v>225429</v>
      </c>
      <c r="F153" s="218">
        <f t="shared" si="17"/>
        <v>165930.49052631576</v>
      </c>
      <c r="G153" s="8">
        <f t="shared" si="18"/>
        <v>59498.509473684244</v>
      </c>
      <c r="H153" s="289">
        <f t="shared" si="19"/>
        <v>-44623.882105263183</v>
      </c>
      <c r="J153" s="8">
        <f>Données!AN153</f>
        <v>2070</v>
      </c>
      <c r="K153" s="198">
        <f t="shared" si="20"/>
        <v>20741.31131578947</v>
      </c>
      <c r="L153" s="12">
        <f t="shared" si="21"/>
        <v>0</v>
      </c>
      <c r="M153" s="289">
        <f t="shared" si="22"/>
        <v>0</v>
      </c>
      <c r="O153" s="42">
        <f t="shared" si="23"/>
        <v>-44623.882105263183</v>
      </c>
      <c r="P153" s="247"/>
      <c r="Q153" s="211"/>
      <c r="R153" s="211"/>
      <c r="S153" s="211"/>
      <c r="T153" s="211"/>
      <c r="U153" s="211"/>
      <c r="AF153" s="11"/>
      <c r="AG153" s="11"/>
      <c r="AH153" s="11"/>
      <c r="AI153" s="11"/>
      <c r="AJ153" s="11"/>
      <c r="AK153" s="11"/>
      <c r="AL153" s="11"/>
    </row>
    <row r="154" spans="1:38" x14ac:dyDescent="0.25">
      <c r="A154" s="38">
        <f>+Données!A154</f>
        <v>5655</v>
      </c>
      <c r="B154" s="229" t="str">
        <f>+Données!B154</f>
        <v>Yens</v>
      </c>
      <c r="C154" s="220">
        <f>+Ecrêtage!C154</f>
        <v>81488.710349650341</v>
      </c>
      <c r="D154" s="218"/>
      <c r="E154" s="220">
        <f>Données!AF154+Données!AG154+Données!AH154</f>
        <v>0</v>
      </c>
      <c r="F154" s="218">
        <f t="shared" si="17"/>
        <v>651909.68279720272</v>
      </c>
      <c r="G154" s="8">
        <f t="shared" si="18"/>
        <v>0</v>
      </c>
      <c r="H154" s="289">
        <f t="shared" si="19"/>
        <v>0</v>
      </c>
      <c r="J154" s="8">
        <f>Données!AN154</f>
        <v>0</v>
      </c>
      <c r="K154" s="198">
        <f t="shared" si="20"/>
        <v>81488.710349650341</v>
      </c>
      <c r="L154" s="12">
        <f t="shared" si="21"/>
        <v>0</v>
      </c>
      <c r="M154" s="289">
        <f t="shared" si="22"/>
        <v>0</v>
      </c>
      <c r="O154" s="42">
        <f t="shared" si="23"/>
        <v>0</v>
      </c>
      <c r="P154" s="247"/>
      <c r="Q154" s="211"/>
      <c r="R154" s="211"/>
      <c r="S154" s="211"/>
      <c r="T154" s="211"/>
      <c r="U154" s="211"/>
      <c r="AF154" s="11"/>
      <c r="AG154" s="11"/>
      <c r="AH154" s="11"/>
      <c r="AI154" s="11"/>
      <c r="AJ154" s="11"/>
      <c r="AK154" s="11"/>
      <c r="AL154" s="11"/>
    </row>
    <row r="155" spans="1:38" s="202" customFormat="1" x14ac:dyDescent="0.25">
      <c r="A155" s="38">
        <f>+Données!A155</f>
        <v>5656</v>
      </c>
      <c r="B155" s="229" t="str">
        <f>+Données!B155</f>
        <v>Hautemorges</v>
      </c>
      <c r="C155" s="220">
        <f>+Ecrêtage!C155</f>
        <v>168934.99020689653</v>
      </c>
      <c r="D155" s="218"/>
      <c r="E155" s="220">
        <f>Données!AF155+Données!AG155+Données!AH155</f>
        <v>2575165</v>
      </c>
      <c r="F155" s="218">
        <f t="shared" si="17"/>
        <v>1351479.9216551722</v>
      </c>
      <c r="G155" s="8">
        <f t="shared" si="18"/>
        <v>1223685.0783448278</v>
      </c>
      <c r="H155" s="289">
        <f t="shared" si="19"/>
        <v>-917763.80875862087</v>
      </c>
      <c r="I155" s="221"/>
      <c r="J155" s="8">
        <f>Données!AN155</f>
        <v>258516</v>
      </c>
      <c r="K155" s="198">
        <f t="shared" si="20"/>
        <v>168934.99020689653</v>
      </c>
      <c r="L155" s="221">
        <f t="shared" si="21"/>
        <v>89581.009793103469</v>
      </c>
      <c r="M155" s="289">
        <f t="shared" si="22"/>
        <v>-67185.757344827609</v>
      </c>
      <c r="N155" s="221"/>
      <c r="O155" s="42">
        <f t="shared" si="23"/>
        <v>-984949.56610344851</v>
      </c>
      <c r="P155" s="247"/>
      <c r="Q155" s="211"/>
      <c r="R155" s="211"/>
      <c r="S155" s="211"/>
      <c r="T155" s="211"/>
      <c r="U155" s="211"/>
    </row>
    <row r="156" spans="1:38" x14ac:dyDescent="0.25">
      <c r="A156" s="38">
        <f>+Données!A156</f>
        <v>5661</v>
      </c>
      <c r="B156" s="229" t="str">
        <f>+Données!B156</f>
        <v>Boulens</v>
      </c>
      <c r="C156" s="220">
        <f>+Ecrêtage!C156</f>
        <v>11008.776923076925</v>
      </c>
      <c r="D156" s="218"/>
      <c r="E156" s="220">
        <f>Données!AF156+Données!AG156+Données!AH156</f>
        <v>92473</v>
      </c>
      <c r="F156" s="218">
        <f t="shared" si="17"/>
        <v>88070.215384615396</v>
      </c>
      <c r="G156" s="8">
        <f t="shared" si="18"/>
        <v>4402.784615384604</v>
      </c>
      <c r="H156" s="289">
        <f t="shared" si="19"/>
        <v>-3302.088461538453</v>
      </c>
      <c r="J156" s="8">
        <f>Données!AN156</f>
        <v>26107</v>
      </c>
      <c r="K156" s="198">
        <f t="shared" si="20"/>
        <v>11008.776923076925</v>
      </c>
      <c r="L156" s="12">
        <f t="shared" si="21"/>
        <v>15098.223076923075</v>
      </c>
      <c r="M156" s="289">
        <f t="shared" si="22"/>
        <v>-11323.667307692307</v>
      </c>
      <c r="O156" s="42">
        <f t="shared" si="23"/>
        <v>-14625.75576923076</v>
      </c>
      <c r="P156" s="247"/>
      <c r="Q156" s="211"/>
      <c r="R156" s="211"/>
      <c r="S156" s="211"/>
      <c r="T156" s="211"/>
      <c r="U156" s="211"/>
      <c r="AF156" s="11"/>
      <c r="AG156" s="11"/>
      <c r="AH156" s="11"/>
      <c r="AI156" s="11"/>
      <c r="AJ156" s="11"/>
      <c r="AK156" s="11"/>
      <c r="AL156" s="11"/>
    </row>
    <row r="157" spans="1:38" x14ac:dyDescent="0.25">
      <c r="A157" s="38">
        <f>+Données!A157</f>
        <v>5663</v>
      </c>
      <c r="B157" s="229" t="str">
        <f>+Données!B157</f>
        <v>Bussy-sur-Moudon</v>
      </c>
      <c r="C157" s="220">
        <f>+Ecrêtage!C157</f>
        <v>6460.7661146496821</v>
      </c>
      <c r="D157" s="218"/>
      <c r="E157" s="220">
        <f>Données!AF157+Données!AG157+Données!AH157</f>
        <v>48001</v>
      </c>
      <c r="F157" s="218">
        <f t="shared" si="17"/>
        <v>51686.128917197457</v>
      </c>
      <c r="G157" s="8">
        <f t="shared" si="18"/>
        <v>0</v>
      </c>
      <c r="H157" s="289">
        <f t="shared" si="19"/>
        <v>0</v>
      </c>
      <c r="J157" s="8">
        <f>Données!AN157</f>
        <v>2192</v>
      </c>
      <c r="K157" s="198">
        <f t="shared" si="20"/>
        <v>6460.7661146496821</v>
      </c>
      <c r="L157" s="12">
        <f t="shared" si="21"/>
        <v>0</v>
      </c>
      <c r="M157" s="289">
        <f t="shared" si="22"/>
        <v>0</v>
      </c>
      <c r="O157" s="42">
        <f t="shared" si="23"/>
        <v>0</v>
      </c>
      <c r="P157" s="247"/>
      <c r="Q157" s="211"/>
      <c r="R157" s="211"/>
      <c r="S157" s="211"/>
      <c r="T157" s="211"/>
      <c r="U157" s="211"/>
      <c r="AF157" s="11"/>
      <c r="AG157" s="11"/>
      <c r="AH157" s="11"/>
      <c r="AI157" s="11"/>
      <c r="AJ157" s="11"/>
      <c r="AK157" s="11"/>
      <c r="AL157" s="11"/>
    </row>
    <row r="158" spans="1:38" x14ac:dyDescent="0.25">
      <c r="A158" s="38">
        <f>+Données!A158</f>
        <v>5665</v>
      </c>
      <c r="B158" s="229" t="str">
        <f>+Données!B158</f>
        <v>Chavannes-sur-Moudon</v>
      </c>
      <c r="C158" s="220">
        <f>+Ecrêtage!C158</f>
        <v>5786.5608571428584</v>
      </c>
      <c r="D158" s="218"/>
      <c r="E158" s="220">
        <f>Données!AF158+Données!AG158+Données!AH158</f>
        <v>45402</v>
      </c>
      <c r="F158" s="218">
        <f t="shared" si="17"/>
        <v>46292.486857142867</v>
      </c>
      <c r="G158" s="8">
        <f t="shared" si="18"/>
        <v>0</v>
      </c>
      <c r="H158" s="289">
        <f t="shared" si="19"/>
        <v>0</v>
      </c>
      <c r="J158" s="8">
        <f>Données!AN158</f>
        <v>39355</v>
      </c>
      <c r="K158" s="198">
        <f t="shared" si="20"/>
        <v>5786.5608571428584</v>
      </c>
      <c r="L158" s="12">
        <f t="shared" si="21"/>
        <v>33568.43914285714</v>
      </c>
      <c r="M158" s="289">
        <f t="shared" si="22"/>
        <v>-25176.329357142855</v>
      </c>
      <c r="O158" s="42">
        <f t="shared" si="23"/>
        <v>-25176.329357142855</v>
      </c>
      <c r="P158" s="247"/>
      <c r="Q158" s="211"/>
      <c r="R158" s="211"/>
      <c r="S158" s="211"/>
      <c r="T158" s="211"/>
      <c r="U158" s="211"/>
      <c r="AF158" s="11"/>
      <c r="AG158" s="11"/>
      <c r="AH158" s="11"/>
      <c r="AI158" s="11"/>
      <c r="AJ158" s="11"/>
      <c r="AK158" s="11"/>
      <c r="AL158" s="11"/>
    </row>
    <row r="159" spans="1:38" x14ac:dyDescent="0.25">
      <c r="A159" s="38">
        <f>+Données!A159</f>
        <v>5669</v>
      </c>
      <c r="B159" s="229" t="str">
        <f>+Données!B159</f>
        <v>Curtilles</v>
      </c>
      <c r="C159" s="220">
        <f>+Ecrêtage!C159</f>
        <v>8428.0279452054765</v>
      </c>
      <c r="D159" s="218"/>
      <c r="E159" s="220">
        <f>Données!AF159+Données!AG159+Données!AH159</f>
        <v>62088</v>
      </c>
      <c r="F159" s="218">
        <f t="shared" si="17"/>
        <v>67424.223561643812</v>
      </c>
      <c r="G159" s="8">
        <f t="shared" si="18"/>
        <v>0</v>
      </c>
      <c r="H159" s="289">
        <f t="shared" si="19"/>
        <v>0</v>
      </c>
      <c r="J159" s="8">
        <f>Données!AN159</f>
        <v>514</v>
      </c>
      <c r="K159" s="198">
        <f t="shared" si="20"/>
        <v>8428.0279452054765</v>
      </c>
      <c r="L159" s="12">
        <f t="shared" si="21"/>
        <v>0</v>
      </c>
      <c r="M159" s="289">
        <f t="shared" si="22"/>
        <v>0</v>
      </c>
      <c r="O159" s="42">
        <f t="shared" si="23"/>
        <v>0</v>
      </c>
      <c r="P159" s="247"/>
      <c r="Q159" s="211"/>
      <c r="R159" s="211"/>
      <c r="S159" s="211"/>
      <c r="T159" s="211"/>
      <c r="U159" s="211"/>
      <c r="AF159" s="11"/>
      <c r="AG159" s="11"/>
      <c r="AH159" s="11"/>
      <c r="AI159" s="11"/>
      <c r="AJ159" s="11"/>
      <c r="AK159" s="11"/>
      <c r="AL159" s="11"/>
    </row>
    <row r="160" spans="1:38" x14ac:dyDescent="0.25">
      <c r="A160" s="38">
        <f>+Données!A160</f>
        <v>5671</v>
      </c>
      <c r="B160" s="229" t="str">
        <f>+Données!B160</f>
        <v>Dompierre</v>
      </c>
      <c r="C160" s="220">
        <f>+Ecrêtage!C160</f>
        <v>6751.3758974358971</v>
      </c>
      <c r="D160" s="218"/>
      <c r="E160" s="220">
        <f>Données!AF160+Données!AG160+Données!AH160</f>
        <v>68242</v>
      </c>
      <c r="F160" s="218">
        <f t="shared" si="17"/>
        <v>54011.007179487176</v>
      </c>
      <c r="G160" s="8">
        <f t="shared" si="18"/>
        <v>14230.992820512824</v>
      </c>
      <c r="H160" s="289">
        <f t="shared" si="19"/>
        <v>-10673.244615384618</v>
      </c>
      <c r="J160" s="8">
        <f>Données!AN160</f>
        <v>6982</v>
      </c>
      <c r="K160" s="198">
        <f t="shared" si="20"/>
        <v>6751.3758974358971</v>
      </c>
      <c r="L160" s="12">
        <f t="shared" si="21"/>
        <v>230.62410256410294</v>
      </c>
      <c r="M160" s="289">
        <f t="shared" si="22"/>
        <v>-172.96807692307721</v>
      </c>
      <c r="O160" s="42">
        <f t="shared" si="23"/>
        <v>-10846.212692307694</v>
      </c>
      <c r="P160" s="247"/>
      <c r="Q160" s="211"/>
      <c r="R160" s="211"/>
      <c r="S160" s="211"/>
      <c r="T160" s="211"/>
      <c r="U160" s="211"/>
      <c r="AF160" s="11"/>
      <c r="AG160" s="11"/>
      <c r="AH160" s="11"/>
      <c r="AI160" s="11"/>
      <c r="AJ160" s="11"/>
      <c r="AK160" s="11"/>
      <c r="AL160" s="11"/>
    </row>
    <row r="161" spans="1:38" x14ac:dyDescent="0.25">
      <c r="A161" s="38">
        <f>+Données!A161</f>
        <v>5673</v>
      </c>
      <c r="B161" s="229" t="str">
        <f>+Données!B161</f>
        <v>Hermenches</v>
      </c>
      <c r="C161" s="220">
        <f>+Ecrêtage!C161</f>
        <v>9675.0074829931946</v>
      </c>
      <c r="D161" s="218"/>
      <c r="E161" s="220">
        <f>Données!AF161+Données!AG161+Données!AH161</f>
        <v>156276</v>
      </c>
      <c r="F161" s="218">
        <f t="shared" si="17"/>
        <v>77400.059863945557</v>
      </c>
      <c r="G161" s="8">
        <f t="shared" si="18"/>
        <v>78875.940136054443</v>
      </c>
      <c r="H161" s="289">
        <f t="shared" si="19"/>
        <v>-59156.955102040833</v>
      </c>
      <c r="J161" s="8">
        <f>Données!AN161</f>
        <v>30058</v>
      </c>
      <c r="K161" s="198">
        <f t="shared" si="20"/>
        <v>9675.0074829931946</v>
      </c>
      <c r="L161" s="12">
        <f t="shared" si="21"/>
        <v>20382.992517006805</v>
      </c>
      <c r="M161" s="289">
        <f t="shared" si="22"/>
        <v>-15287.244387755105</v>
      </c>
      <c r="O161" s="42">
        <f t="shared" si="23"/>
        <v>-74444.199489795938</v>
      </c>
      <c r="P161" s="247"/>
      <c r="Q161" s="211"/>
      <c r="R161" s="211"/>
      <c r="S161" s="211"/>
      <c r="T161" s="211"/>
      <c r="U161" s="211"/>
      <c r="AF161" s="11"/>
      <c r="AG161" s="11"/>
      <c r="AH161" s="11"/>
      <c r="AI161" s="11"/>
      <c r="AJ161" s="11"/>
      <c r="AK161" s="11"/>
      <c r="AL161" s="11"/>
    </row>
    <row r="162" spans="1:38" x14ac:dyDescent="0.25">
      <c r="A162" s="38">
        <f>+Données!A162</f>
        <v>5674</v>
      </c>
      <c r="B162" s="229" t="str">
        <f>+Données!B162</f>
        <v>Lovatens</v>
      </c>
      <c r="C162" s="220">
        <f>+Ecrêtage!C162</f>
        <v>3538.9463999999998</v>
      </c>
      <c r="D162" s="218"/>
      <c r="E162" s="220">
        <f>Données!AF162+Données!AG162+Données!AH162</f>
        <v>53918</v>
      </c>
      <c r="F162" s="218">
        <f t="shared" si="17"/>
        <v>28311.571199999998</v>
      </c>
      <c r="G162" s="8">
        <f t="shared" si="18"/>
        <v>25606.428800000002</v>
      </c>
      <c r="H162" s="289">
        <f t="shared" si="19"/>
        <v>-19204.821600000003</v>
      </c>
      <c r="J162" s="8">
        <f>Données!AN162</f>
        <v>382</v>
      </c>
      <c r="K162" s="198">
        <f t="shared" si="20"/>
        <v>3538.9463999999998</v>
      </c>
      <c r="L162" s="12">
        <f t="shared" si="21"/>
        <v>0</v>
      </c>
      <c r="M162" s="289">
        <f t="shared" si="22"/>
        <v>0</v>
      </c>
      <c r="O162" s="42">
        <f t="shared" si="23"/>
        <v>-19204.821600000003</v>
      </c>
      <c r="P162" s="247"/>
      <c r="Q162" s="211"/>
      <c r="R162" s="211"/>
      <c r="S162" s="211"/>
      <c r="T162" s="211"/>
      <c r="U162" s="211"/>
      <c r="AF162" s="11"/>
      <c r="AG162" s="11"/>
      <c r="AH162" s="11"/>
      <c r="AI162" s="11"/>
      <c r="AJ162" s="11"/>
      <c r="AK162" s="11"/>
      <c r="AL162" s="11"/>
    </row>
    <row r="163" spans="1:38" x14ac:dyDescent="0.25">
      <c r="A163" s="38">
        <f>+Données!A163</f>
        <v>5675</v>
      </c>
      <c r="B163" s="229" t="str">
        <f>+Données!B163</f>
        <v>Lucens</v>
      </c>
      <c r="C163" s="220">
        <f>+Ecrêtage!C163</f>
        <v>92803.818404185746</v>
      </c>
      <c r="D163" s="218"/>
      <c r="E163" s="220">
        <f>Données!AF163+Données!AG163+Données!AH163</f>
        <v>1629211</v>
      </c>
      <c r="F163" s="218">
        <f t="shared" si="17"/>
        <v>742430.54723348597</v>
      </c>
      <c r="G163" s="8">
        <f t="shared" si="18"/>
        <v>886780.45276651403</v>
      </c>
      <c r="H163" s="289">
        <f t="shared" si="19"/>
        <v>-665085.33957488555</v>
      </c>
      <c r="J163" s="8">
        <f>Données!AN163</f>
        <v>45733</v>
      </c>
      <c r="K163" s="198">
        <f t="shared" si="20"/>
        <v>92803.818404185746</v>
      </c>
      <c r="L163" s="12">
        <f t="shared" si="21"/>
        <v>0</v>
      </c>
      <c r="M163" s="289">
        <f t="shared" si="22"/>
        <v>0</v>
      </c>
      <c r="O163" s="42">
        <f t="shared" si="23"/>
        <v>-665085.33957488555</v>
      </c>
      <c r="P163" s="247"/>
      <c r="Q163" s="211"/>
      <c r="R163" s="211"/>
      <c r="S163" s="211"/>
      <c r="T163" s="211"/>
      <c r="U163" s="211"/>
      <c r="AF163" s="11"/>
      <c r="AG163" s="11"/>
      <c r="AH163" s="11"/>
      <c r="AI163" s="11"/>
      <c r="AJ163" s="11"/>
      <c r="AK163" s="11"/>
      <c r="AL163" s="11"/>
    </row>
    <row r="164" spans="1:38" x14ac:dyDescent="0.25">
      <c r="A164" s="38">
        <f>+Données!A164</f>
        <v>5678</v>
      </c>
      <c r="B164" s="229" t="str">
        <f>+Données!B164</f>
        <v>Moudon</v>
      </c>
      <c r="C164" s="220">
        <f>+Ecrêtage!C164</f>
        <v>130675.7416551724</v>
      </c>
      <c r="D164" s="218"/>
      <c r="E164" s="220">
        <f>Données!AF164+Données!AG164+Données!AH164</f>
        <v>2829816</v>
      </c>
      <c r="F164" s="218">
        <f t="shared" si="17"/>
        <v>1045405.9332413792</v>
      </c>
      <c r="G164" s="8">
        <f t="shared" si="18"/>
        <v>1784410.0667586208</v>
      </c>
      <c r="H164" s="289">
        <f t="shared" si="19"/>
        <v>-1338307.5500689656</v>
      </c>
      <c r="J164" s="8">
        <f>Données!AN164</f>
        <v>92946</v>
      </c>
      <c r="K164" s="198">
        <f t="shared" si="20"/>
        <v>130675.7416551724</v>
      </c>
      <c r="L164" s="12">
        <f t="shared" si="21"/>
        <v>0</v>
      </c>
      <c r="M164" s="289">
        <f t="shared" si="22"/>
        <v>0</v>
      </c>
      <c r="O164" s="42">
        <f t="shared" si="23"/>
        <v>-1338307.5500689656</v>
      </c>
      <c r="P164" s="247"/>
      <c r="Q164" s="211"/>
      <c r="R164" s="211"/>
      <c r="S164" s="211"/>
      <c r="T164" s="211"/>
      <c r="U164" s="211"/>
      <c r="AF164" s="11"/>
      <c r="AG164" s="11"/>
      <c r="AH164" s="11"/>
      <c r="AI164" s="11"/>
      <c r="AJ164" s="11"/>
      <c r="AK164" s="11"/>
      <c r="AL164" s="11"/>
    </row>
    <row r="165" spans="1:38" x14ac:dyDescent="0.25">
      <c r="A165" s="38">
        <f>+Données!A165</f>
        <v>5680</v>
      </c>
      <c r="B165" s="229" t="str">
        <f>+Données!B165</f>
        <v>Ogens</v>
      </c>
      <c r="C165" s="220">
        <f>+Ecrêtage!C165</f>
        <v>10096.830811965814</v>
      </c>
      <c r="D165" s="218"/>
      <c r="E165" s="220">
        <f>Données!AF165+Données!AG165+Données!AH165</f>
        <v>96056</v>
      </c>
      <c r="F165" s="218">
        <f t="shared" si="17"/>
        <v>80774.646495726513</v>
      </c>
      <c r="G165" s="8">
        <f t="shared" si="18"/>
        <v>15281.353504273487</v>
      </c>
      <c r="H165" s="289">
        <f t="shared" si="19"/>
        <v>-11461.015128205116</v>
      </c>
      <c r="J165" s="8">
        <f>Données!AN165</f>
        <v>15242</v>
      </c>
      <c r="K165" s="198">
        <f t="shared" si="20"/>
        <v>10096.830811965814</v>
      </c>
      <c r="L165" s="12">
        <f t="shared" si="21"/>
        <v>5145.1691880341859</v>
      </c>
      <c r="M165" s="289">
        <f t="shared" si="22"/>
        <v>-3858.8768910256395</v>
      </c>
      <c r="O165" s="42">
        <f t="shared" si="23"/>
        <v>-15319.892019230756</v>
      </c>
      <c r="P165" s="247"/>
      <c r="Q165" s="211"/>
      <c r="R165" s="211"/>
      <c r="S165" s="211"/>
      <c r="T165" s="211"/>
      <c r="U165" s="211"/>
      <c r="AF165" s="11"/>
      <c r="AG165" s="11"/>
      <c r="AH165" s="11"/>
      <c r="AI165" s="11"/>
      <c r="AJ165" s="11"/>
      <c r="AK165" s="11"/>
      <c r="AL165" s="11"/>
    </row>
    <row r="166" spans="1:38" x14ac:dyDescent="0.25">
      <c r="A166" s="38">
        <f>+Données!A166</f>
        <v>5683</v>
      </c>
      <c r="B166" s="229" t="str">
        <f>+Données!B166</f>
        <v>Prévonloup</v>
      </c>
      <c r="C166" s="220">
        <f>+Ecrêtage!C166</f>
        <v>5181.5891034482765</v>
      </c>
      <c r="D166" s="218"/>
      <c r="E166" s="220">
        <f>Données!AF166+Données!AG166+Données!AH166</f>
        <v>241336</v>
      </c>
      <c r="F166" s="218">
        <f t="shared" si="17"/>
        <v>41452.712827586212</v>
      </c>
      <c r="G166" s="8">
        <f t="shared" si="18"/>
        <v>199883.28717241378</v>
      </c>
      <c r="H166" s="289">
        <f t="shared" si="19"/>
        <v>-149912.46537931034</v>
      </c>
      <c r="J166" s="8">
        <f>Données!AN166</f>
        <v>-951</v>
      </c>
      <c r="K166" s="198">
        <f t="shared" si="20"/>
        <v>5181.5891034482765</v>
      </c>
      <c r="L166" s="12">
        <f t="shared" si="21"/>
        <v>0</v>
      </c>
      <c r="M166" s="289">
        <f t="shared" si="22"/>
        <v>0</v>
      </c>
      <c r="O166" s="42">
        <f t="shared" si="23"/>
        <v>-149912.46537931034</v>
      </c>
      <c r="P166" s="247"/>
      <c r="Q166" s="211"/>
      <c r="R166" s="211"/>
      <c r="S166" s="211"/>
      <c r="T166" s="211"/>
      <c r="U166" s="211"/>
      <c r="AF166" s="11"/>
      <c r="AG166" s="11"/>
      <c r="AH166" s="11"/>
      <c r="AI166" s="11"/>
      <c r="AJ166" s="11"/>
      <c r="AK166" s="11"/>
      <c r="AL166" s="11"/>
    </row>
    <row r="167" spans="1:38" x14ac:dyDescent="0.25">
      <c r="A167" s="38">
        <f>+Données!A167</f>
        <v>5684</v>
      </c>
      <c r="B167" s="229" t="str">
        <f>+Données!B167</f>
        <v>Rossenges</v>
      </c>
      <c r="C167" s="220">
        <f>+Ecrêtage!C167</f>
        <v>7033.3142000000007</v>
      </c>
      <c r="D167" s="218"/>
      <c r="E167" s="220">
        <f>Données!AF167+Données!AG167+Données!AH167</f>
        <v>11040</v>
      </c>
      <c r="F167" s="218">
        <f t="shared" si="17"/>
        <v>56266.513600000006</v>
      </c>
      <c r="G167" s="8">
        <f t="shared" si="18"/>
        <v>0</v>
      </c>
      <c r="H167" s="289">
        <f t="shared" si="19"/>
        <v>0</v>
      </c>
      <c r="J167" s="8">
        <f>Données!AN167</f>
        <v>119</v>
      </c>
      <c r="K167" s="198">
        <f t="shared" si="20"/>
        <v>7033.3142000000007</v>
      </c>
      <c r="L167" s="12">
        <f t="shared" si="21"/>
        <v>0</v>
      </c>
      <c r="M167" s="289">
        <f t="shared" si="22"/>
        <v>0</v>
      </c>
      <c r="O167" s="42">
        <f t="shared" si="23"/>
        <v>0</v>
      </c>
      <c r="P167" s="247"/>
      <c r="Q167" s="211"/>
      <c r="R167" s="211"/>
      <c r="S167" s="211"/>
      <c r="T167" s="211"/>
      <c r="U167" s="211"/>
      <c r="AF167" s="11"/>
      <c r="AG167" s="11"/>
      <c r="AH167" s="11"/>
      <c r="AI167" s="11"/>
      <c r="AJ167" s="11"/>
      <c r="AK167" s="11"/>
      <c r="AL167" s="11"/>
    </row>
    <row r="168" spans="1:38" x14ac:dyDescent="0.25">
      <c r="A168" s="38">
        <f>+Données!A168</f>
        <v>5688</v>
      </c>
      <c r="B168" s="229" t="str">
        <f>+Données!B168</f>
        <v>Syens</v>
      </c>
      <c r="C168" s="220">
        <f>+Ecrêtage!C168</f>
        <v>5277.0104615384616</v>
      </c>
      <c r="D168" s="218"/>
      <c r="E168" s="220">
        <f>Données!AF168+Données!AG168+Données!AH168</f>
        <v>66391</v>
      </c>
      <c r="F168" s="218">
        <f t="shared" si="17"/>
        <v>42216.083692307693</v>
      </c>
      <c r="G168" s="8">
        <f t="shared" si="18"/>
        <v>24174.916307692307</v>
      </c>
      <c r="H168" s="289">
        <f t="shared" si="19"/>
        <v>-18131.187230769232</v>
      </c>
      <c r="J168" s="8">
        <f>Données!AN168</f>
        <v>4751</v>
      </c>
      <c r="K168" s="198">
        <f t="shared" si="20"/>
        <v>5277.0104615384616</v>
      </c>
      <c r="L168" s="12">
        <f t="shared" si="21"/>
        <v>0</v>
      </c>
      <c r="M168" s="289">
        <f t="shared" si="22"/>
        <v>0</v>
      </c>
      <c r="O168" s="42">
        <f t="shared" si="23"/>
        <v>-18131.187230769232</v>
      </c>
      <c r="P168" s="247"/>
      <c r="Q168" s="211"/>
      <c r="R168" s="211"/>
      <c r="S168" s="211"/>
      <c r="T168" s="211"/>
      <c r="U168" s="211"/>
      <c r="AF168" s="11"/>
      <c r="AG168" s="11"/>
      <c r="AH168" s="11"/>
      <c r="AI168" s="11"/>
      <c r="AJ168" s="11"/>
      <c r="AK168" s="11"/>
      <c r="AL168" s="11"/>
    </row>
    <row r="169" spans="1:38" x14ac:dyDescent="0.25">
      <c r="A169" s="38">
        <f>+Données!A169</f>
        <v>5690</v>
      </c>
      <c r="B169" s="229" t="str">
        <f>+Données!B169</f>
        <v>Villars-le-Comte</v>
      </c>
      <c r="C169" s="220">
        <f>+Ecrêtage!C169</f>
        <v>4331.3836666666666</v>
      </c>
      <c r="D169" s="218"/>
      <c r="E169" s="220">
        <f>Données!AF169+Données!AG169+Données!AH169</f>
        <v>0</v>
      </c>
      <c r="F169" s="218">
        <f t="shared" si="17"/>
        <v>34651.069333333333</v>
      </c>
      <c r="G169" s="8">
        <f t="shared" si="18"/>
        <v>0</v>
      </c>
      <c r="H169" s="289">
        <f t="shared" si="19"/>
        <v>0</v>
      </c>
      <c r="J169" s="8">
        <f>Données!AN169</f>
        <v>0</v>
      </c>
      <c r="K169" s="198">
        <f t="shared" si="20"/>
        <v>4331.3836666666666</v>
      </c>
      <c r="L169" s="12">
        <f t="shared" si="21"/>
        <v>0</v>
      </c>
      <c r="M169" s="289">
        <f t="shared" si="22"/>
        <v>0</v>
      </c>
      <c r="O169" s="42">
        <f t="shared" si="23"/>
        <v>0</v>
      </c>
      <c r="P169" s="247"/>
      <c r="Q169" s="211"/>
      <c r="R169" s="211"/>
      <c r="S169" s="211"/>
      <c r="T169" s="211"/>
      <c r="U169" s="211"/>
      <c r="AF169" s="11"/>
      <c r="AG169" s="11"/>
      <c r="AH169" s="11"/>
      <c r="AI169" s="11"/>
      <c r="AJ169" s="11"/>
      <c r="AK169" s="11"/>
      <c r="AL169" s="11"/>
    </row>
    <row r="170" spans="1:38" x14ac:dyDescent="0.25">
      <c r="A170" s="38">
        <f>+Données!A170</f>
        <v>5692</v>
      </c>
      <c r="B170" s="229" t="str">
        <f>+Données!B170</f>
        <v>Vucherens</v>
      </c>
      <c r="C170" s="220">
        <f>+Ecrêtage!C170</f>
        <v>18948.300519480523</v>
      </c>
      <c r="D170" s="218"/>
      <c r="E170" s="220">
        <f>Données!AF170+Données!AG170+Données!AH170</f>
        <v>278981</v>
      </c>
      <c r="F170" s="218">
        <f t="shared" si="17"/>
        <v>151586.40415584418</v>
      </c>
      <c r="G170" s="8">
        <f t="shared" si="18"/>
        <v>127394.59584415582</v>
      </c>
      <c r="H170" s="289">
        <f t="shared" si="19"/>
        <v>-95545.946883116863</v>
      </c>
      <c r="J170" s="8">
        <f>Données!AN170</f>
        <v>22488</v>
      </c>
      <c r="K170" s="198">
        <f t="shared" si="20"/>
        <v>18948.300519480523</v>
      </c>
      <c r="L170" s="12">
        <f t="shared" si="21"/>
        <v>3539.6994805194772</v>
      </c>
      <c r="M170" s="289">
        <f t="shared" si="22"/>
        <v>-2654.7746103896079</v>
      </c>
      <c r="O170" s="42">
        <f t="shared" si="23"/>
        <v>-98200.721493506469</v>
      </c>
      <c r="P170" s="247"/>
      <c r="Q170" s="211"/>
      <c r="R170" s="211"/>
      <c r="S170" s="211"/>
      <c r="T170" s="211"/>
      <c r="U170" s="211"/>
      <c r="AF170" s="11"/>
      <c r="AG170" s="11"/>
      <c r="AH170" s="11"/>
      <c r="AI170" s="11"/>
      <c r="AJ170" s="11"/>
      <c r="AK170" s="11"/>
      <c r="AL170" s="11"/>
    </row>
    <row r="171" spans="1:38" x14ac:dyDescent="0.25">
      <c r="A171" s="38">
        <f>+Données!A171</f>
        <v>5693</v>
      </c>
      <c r="B171" s="229" t="str">
        <f>+Données!B171</f>
        <v>Montanaire</v>
      </c>
      <c r="C171" s="220">
        <f>+Ecrêtage!C171</f>
        <v>80078.044999999984</v>
      </c>
      <c r="D171" s="218"/>
      <c r="E171" s="220">
        <f>Données!AF171+Données!AG171+Données!AH171</f>
        <v>1461690</v>
      </c>
      <c r="F171" s="218">
        <f t="shared" si="17"/>
        <v>640624.35999999987</v>
      </c>
      <c r="G171" s="8">
        <f t="shared" si="18"/>
        <v>821065.64000000013</v>
      </c>
      <c r="H171" s="289">
        <f t="shared" si="19"/>
        <v>-615799.2300000001</v>
      </c>
      <c r="J171" s="8">
        <f>Données!AN171</f>
        <v>117913</v>
      </c>
      <c r="K171" s="198">
        <f t="shared" si="20"/>
        <v>80078.044999999984</v>
      </c>
      <c r="L171" s="12">
        <f t="shared" si="21"/>
        <v>37834.955000000016</v>
      </c>
      <c r="M171" s="289">
        <f t="shared" si="22"/>
        <v>-28376.216250000012</v>
      </c>
      <c r="O171" s="42">
        <f t="shared" si="23"/>
        <v>-644175.44625000015</v>
      </c>
      <c r="P171" s="247"/>
      <c r="Q171" s="211"/>
      <c r="R171" s="211"/>
      <c r="S171" s="211"/>
      <c r="T171" s="211"/>
      <c r="U171" s="211"/>
      <c r="AF171" s="11"/>
      <c r="AG171" s="11"/>
      <c r="AH171" s="11"/>
      <c r="AI171" s="11"/>
      <c r="AJ171" s="11"/>
      <c r="AK171" s="11"/>
      <c r="AL171" s="11"/>
    </row>
    <row r="172" spans="1:38" x14ac:dyDescent="0.25">
      <c r="A172" s="38">
        <f>+Données!A172</f>
        <v>5701</v>
      </c>
      <c r="B172" s="229" t="str">
        <f>+Données!B172</f>
        <v>Arnex-sur-Nyon</v>
      </c>
      <c r="C172" s="220">
        <f>+Ecrêtage!C172</f>
        <v>12996.826285714285</v>
      </c>
      <c r="D172" s="218"/>
      <c r="E172" s="220">
        <f>Données!AF172+Données!AG172+Données!AH172</f>
        <v>0</v>
      </c>
      <c r="F172" s="218">
        <f t="shared" si="17"/>
        <v>103974.61028571428</v>
      </c>
      <c r="G172" s="8">
        <f t="shared" si="18"/>
        <v>0</v>
      </c>
      <c r="H172" s="289">
        <f t="shared" si="19"/>
        <v>0</v>
      </c>
      <c r="J172" s="8">
        <f>Données!AN172</f>
        <v>0</v>
      </c>
      <c r="K172" s="198">
        <f t="shared" si="20"/>
        <v>12996.826285714285</v>
      </c>
      <c r="L172" s="12">
        <f t="shared" si="21"/>
        <v>0</v>
      </c>
      <c r="M172" s="289">
        <f t="shared" si="22"/>
        <v>0</v>
      </c>
      <c r="O172" s="42">
        <f t="shared" si="23"/>
        <v>0</v>
      </c>
      <c r="P172" s="247"/>
      <c r="Q172" s="211"/>
      <c r="R172" s="211"/>
      <c r="S172" s="211"/>
      <c r="T172" s="211"/>
      <c r="U172" s="211"/>
      <c r="AF172" s="11"/>
      <c r="AG172" s="11"/>
      <c r="AH172" s="11"/>
      <c r="AI172" s="11"/>
      <c r="AJ172" s="11"/>
      <c r="AK172" s="11"/>
      <c r="AL172" s="11"/>
    </row>
    <row r="173" spans="1:38" x14ac:dyDescent="0.25">
      <c r="A173" s="38">
        <f>+Données!A173</f>
        <v>5702</v>
      </c>
      <c r="B173" s="229" t="str">
        <f>+Données!B173</f>
        <v>Arzier-Le Muids</v>
      </c>
      <c r="C173" s="220">
        <f>+Ecrêtage!C173</f>
        <v>187984.45531250001</v>
      </c>
      <c r="D173" s="218"/>
      <c r="E173" s="220">
        <f>Données!AF173+Données!AG173+Données!AH173</f>
        <v>839994</v>
      </c>
      <c r="F173" s="218">
        <f t="shared" si="17"/>
        <v>1503875.6425000001</v>
      </c>
      <c r="G173" s="8">
        <f t="shared" si="18"/>
        <v>0</v>
      </c>
      <c r="H173" s="289">
        <f t="shared" si="19"/>
        <v>0</v>
      </c>
      <c r="J173" s="8">
        <f>Données!AN173</f>
        <v>904987</v>
      </c>
      <c r="K173" s="198">
        <f t="shared" si="20"/>
        <v>187984.45531250001</v>
      </c>
      <c r="L173" s="12">
        <f t="shared" si="21"/>
        <v>717002.54468749999</v>
      </c>
      <c r="M173" s="289">
        <f t="shared" si="22"/>
        <v>-537751.90851562493</v>
      </c>
      <c r="O173" s="42">
        <f t="shared" si="23"/>
        <v>-537751.90851562493</v>
      </c>
      <c r="P173" s="247"/>
      <c r="Q173" s="211"/>
      <c r="R173" s="211"/>
      <c r="S173" s="211"/>
      <c r="T173" s="211"/>
      <c r="U173" s="211"/>
      <c r="AF173" s="11"/>
      <c r="AG173" s="11"/>
      <c r="AH173" s="11"/>
      <c r="AI173" s="11"/>
      <c r="AJ173" s="11"/>
      <c r="AK173" s="11"/>
      <c r="AL173" s="11"/>
    </row>
    <row r="174" spans="1:38" x14ac:dyDescent="0.25">
      <c r="A174" s="38">
        <f>+Données!A174</f>
        <v>5703</v>
      </c>
      <c r="B174" s="229" t="str">
        <f>+Données!B174</f>
        <v>Bassins</v>
      </c>
      <c r="C174" s="220">
        <f>+Ecrêtage!C174</f>
        <v>65441.246975369453</v>
      </c>
      <c r="D174" s="218"/>
      <c r="E174" s="220">
        <f>Données!AF174+Données!AG174+Données!AH174</f>
        <v>0</v>
      </c>
      <c r="F174" s="218">
        <f t="shared" si="17"/>
        <v>523529.97580295563</v>
      </c>
      <c r="G174" s="8">
        <f t="shared" si="18"/>
        <v>0</v>
      </c>
      <c r="H174" s="289">
        <f t="shared" si="19"/>
        <v>0</v>
      </c>
      <c r="J174" s="8">
        <f>Données!AN174</f>
        <v>0</v>
      </c>
      <c r="K174" s="198">
        <f t="shared" si="20"/>
        <v>65441.246975369453</v>
      </c>
      <c r="L174" s="12">
        <f t="shared" si="21"/>
        <v>0</v>
      </c>
      <c r="M174" s="289">
        <f t="shared" si="22"/>
        <v>0</v>
      </c>
      <c r="O174" s="42">
        <f t="shared" si="23"/>
        <v>0</v>
      </c>
      <c r="P174" s="247"/>
      <c r="Q174" s="211"/>
      <c r="R174" s="211"/>
      <c r="S174" s="211"/>
      <c r="T174" s="211"/>
      <c r="U174" s="211"/>
      <c r="AF174" s="11"/>
      <c r="AG174" s="11"/>
      <c r="AH174" s="11"/>
      <c r="AI174" s="11"/>
      <c r="AJ174" s="11"/>
      <c r="AK174" s="11"/>
      <c r="AL174" s="11"/>
    </row>
    <row r="175" spans="1:38" x14ac:dyDescent="0.25">
      <c r="A175" s="38">
        <f>+Données!A175</f>
        <v>5704</v>
      </c>
      <c r="B175" s="229" t="str">
        <f>+Données!B175</f>
        <v>Begnins</v>
      </c>
      <c r="C175" s="220">
        <f>+Ecrêtage!C175</f>
        <v>129730.03685333332</v>
      </c>
      <c r="D175" s="218"/>
      <c r="E175" s="220">
        <f>Données!AF175+Données!AG175+Données!AH175</f>
        <v>1023798</v>
      </c>
      <c r="F175" s="218">
        <f t="shared" si="17"/>
        <v>1037840.2948266666</v>
      </c>
      <c r="G175" s="8">
        <f t="shared" si="18"/>
        <v>0</v>
      </c>
      <c r="H175" s="289">
        <f t="shared" si="19"/>
        <v>0</v>
      </c>
      <c r="J175" s="8">
        <f>Données!AN175</f>
        <v>36244</v>
      </c>
      <c r="K175" s="198">
        <f t="shared" si="20"/>
        <v>129730.03685333332</v>
      </c>
      <c r="L175" s="12">
        <f t="shared" si="21"/>
        <v>0</v>
      </c>
      <c r="M175" s="289">
        <f t="shared" si="22"/>
        <v>0</v>
      </c>
      <c r="O175" s="42">
        <f t="shared" si="23"/>
        <v>0</v>
      </c>
      <c r="P175" s="247"/>
      <c r="Q175" s="211"/>
      <c r="R175" s="211"/>
      <c r="S175" s="211"/>
      <c r="T175" s="211"/>
      <c r="U175" s="211"/>
      <c r="AF175" s="11"/>
      <c r="AG175" s="11"/>
      <c r="AH175" s="11"/>
      <c r="AI175" s="11"/>
      <c r="AJ175" s="11"/>
      <c r="AK175" s="11"/>
      <c r="AL175" s="11"/>
    </row>
    <row r="176" spans="1:38" x14ac:dyDescent="0.25">
      <c r="A176" s="38">
        <f>+Données!A176</f>
        <v>5705</v>
      </c>
      <c r="B176" s="229" t="str">
        <f>+Données!B176</f>
        <v>Bogis-Bossey</v>
      </c>
      <c r="C176" s="220">
        <f>+Ecrêtage!C176</f>
        <v>51044.070201342278</v>
      </c>
      <c r="D176" s="218"/>
      <c r="E176" s="220">
        <f>Données!AF176+Données!AG176+Données!AH176</f>
        <v>0</v>
      </c>
      <c r="F176" s="218">
        <f t="shared" si="17"/>
        <v>408352.56161073822</v>
      </c>
      <c r="G176" s="8">
        <f t="shared" si="18"/>
        <v>0</v>
      </c>
      <c r="H176" s="289">
        <f t="shared" si="19"/>
        <v>0</v>
      </c>
      <c r="J176" s="8">
        <f>Données!AN176</f>
        <v>0</v>
      </c>
      <c r="K176" s="198">
        <f t="shared" si="20"/>
        <v>51044.070201342278</v>
      </c>
      <c r="L176" s="12">
        <f t="shared" si="21"/>
        <v>0</v>
      </c>
      <c r="M176" s="289">
        <f t="shared" si="22"/>
        <v>0</v>
      </c>
      <c r="O176" s="42">
        <f t="shared" si="23"/>
        <v>0</v>
      </c>
      <c r="P176" s="247"/>
      <c r="Q176" s="211"/>
      <c r="R176" s="211"/>
      <c r="S176" s="211"/>
      <c r="T176" s="211"/>
      <c r="U176" s="211"/>
      <c r="AF176" s="11"/>
      <c r="AG176" s="11"/>
      <c r="AH176" s="11"/>
      <c r="AI176" s="11"/>
      <c r="AJ176" s="11"/>
      <c r="AK176" s="11"/>
      <c r="AL176" s="11"/>
    </row>
    <row r="177" spans="1:38" x14ac:dyDescent="0.25">
      <c r="A177" s="38">
        <f>+Données!A177</f>
        <v>5706</v>
      </c>
      <c r="B177" s="229" t="str">
        <f>+Données!B177</f>
        <v>Borex</v>
      </c>
      <c r="C177" s="220">
        <f>+Ecrêtage!C177</f>
        <v>156857.9796491228</v>
      </c>
      <c r="D177" s="218"/>
      <c r="E177" s="220">
        <f>Données!AF177+Données!AG177+Données!AH177</f>
        <v>0</v>
      </c>
      <c r="F177" s="218">
        <f t="shared" si="17"/>
        <v>1254863.8371929824</v>
      </c>
      <c r="G177" s="8">
        <f t="shared" si="18"/>
        <v>0</v>
      </c>
      <c r="H177" s="289">
        <f t="shared" si="19"/>
        <v>0</v>
      </c>
      <c r="J177" s="8">
        <f>Données!AN177</f>
        <v>0</v>
      </c>
      <c r="K177" s="198">
        <f t="shared" si="20"/>
        <v>156857.9796491228</v>
      </c>
      <c r="L177" s="12">
        <f t="shared" si="21"/>
        <v>0</v>
      </c>
      <c r="M177" s="289">
        <f t="shared" si="22"/>
        <v>0</v>
      </c>
      <c r="O177" s="42">
        <f t="shared" si="23"/>
        <v>0</v>
      </c>
      <c r="P177" s="247"/>
      <c r="Q177" s="211"/>
      <c r="R177" s="211"/>
      <c r="S177" s="211"/>
      <c r="T177" s="211"/>
      <c r="U177" s="211"/>
      <c r="AF177" s="11"/>
      <c r="AG177" s="11"/>
      <c r="AH177" s="11"/>
      <c r="AI177" s="11"/>
      <c r="AJ177" s="11"/>
      <c r="AK177" s="11"/>
      <c r="AL177" s="11"/>
    </row>
    <row r="178" spans="1:38" x14ac:dyDescent="0.25">
      <c r="A178" s="38">
        <f>+Données!A178</f>
        <v>5707</v>
      </c>
      <c r="B178" s="229" t="str">
        <f>+Données!B178</f>
        <v>Chavannes-de-Bogis</v>
      </c>
      <c r="C178" s="220">
        <f>+Ecrêtage!C178</f>
        <v>86804.197126436775</v>
      </c>
      <c r="D178" s="218"/>
      <c r="E178" s="220">
        <f>Données!AF178+Données!AG178+Données!AH178</f>
        <v>0</v>
      </c>
      <c r="F178" s="218">
        <f t="shared" si="17"/>
        <v>694433.5770114942</v>
      </c>
      <c r="G178" s="8">
        <f t="shared" si="18"/>
        <v>0</v>
      </c>
      <c r="H178" s="289">
        <f t="shared" si="19"/>
        <v>0</v>
      </c>
      <c r="J178" s="8">
        <f>Données!AN178</f>
        <v>0</v>
      </c>
      <c r="K178" s="198">
        <f t="shared" si="20"/>
        <v>86804.197126436775</v>
      </c>
      <c r="L178" s="12">
        <f t="shared" si="21"/>
        <v>0</v>
      </c>
      <c r="M178" s="289">
        <f t="shared" si="22"/>
        <v>0</v>
      </c>
      <c r="O178" s="42">
        <f t="shared" si="23"/>
        <v>0</v>
      </c>
      <c r="P178" s="247"/>
      <c r="Q178" s="211"/>
      <c r="R178" s="211"/>
      <c r="S178" s="211"/>
      <c r="T178" s="211"/>
      <c r="U178" s="211"/>
      <c r="AF178" s="11"/>
      <c r="AG178" s="11"/>
      <c r="AH178" s="11"/>
      <c r="AI178" s="11"/>
      <c r="AJ178" s="11"/>
      <c r="AK178" s="11"/>
      <c r="AL178" s="11"/>
    </row>
    <row r="179" spans="1:38" x14ac:dyDescent="0.25">
      <c r="A179" s="38">
        <f>+Données!A179</f>
        <v>5708</v>
      </c>
      <c r="B179" s="229" t="str">
        <f>+Données!B179</f>
        <v>Chavannes-des-Bois</v>
      </c>
      <c r="C179" s="220">
        <f>+Ecrêtage!C179</f>
        <v>68806.761617647047</v>
      </c>
      <c r="D179" s="218"/>
      <c r="E179" s="220">
        <f>Données!AF179+Données!AG179+Données!AH179</f>
        <v>0</v>
      </c>
      <c r="F179" s="218">
        <f t="shared" si="17"/>
        <v>550454.09294117638</v>
      </c>
      <c r="G179" s="8">
        <f t="shared" si="18"/>
        <v>0</v>
      </c>
      <c r="H179" s="289">
        <f t="shared" si="19"/>
        <v>0</v>
      </c>
      <c r="J179" s="8">
        <f>Données!AN179</f>
        <v>0</v>
      </c>
      <c r="K179" s="198">
        <f t="shared" si="20"/>
        <v>68806.761617647047</v>
      </c>
      <c r="L179" s="12">
        <f t="shared" si="21"/>
        <v>0</v>
      </c>
      <c r="M179" s="289">
        <f t="shared" si="22"/>
        <v>0</v>
      </c>
      <c r="O179" s="42">
        <f t="shared" si="23"/>
        <v>0</v>
      </c>
      <c r="P179" s="247"/>
      <c r="Q179" s="211"/>
      <c r="R179" s="211"/>
      <c r="S179" s="211"/>
      <c r="T179" s="211"/>
      <c r="U179" s="211"/>
      <c r="AF179" s="11"/>
      <c r="AG179" s="11"/>
      <c r="AH179" s="11"/>
      <c r="AI179" s="11"/>
      <c r="AJ179" s="11"/>
      <c r="AK179" s="11"/>
      <c r="AL179" s="11"/>
    </row>
    <row r="180" spans="1:38" x14ac:dyDescent="0.25">
      <c r="A180" s="38">
        <f>+Données!A180</f>
        <v>5709</v>
      </c>
      <c r="B180" s="229" t="str">
        <f>+Données!B180</f>
        <v>Chéserex</v>
      </c>
      <c r="C180" s="220">
        <f>+Ecrêtage!C180</f>
        <v>90983.63491228073</v>
      </c>
      <c r="D180" s="218"/>
      <c r="E180" s="220">
        <f>Données!AF180+Données!AG180+Données!AH180</f>
        <v>469433</v>
      </c>
      <c r="F180" s="218">
        <f t="shared" si="17"/>
        <v>727869.07929824584</v>
      </c>
      <c r="G180" s="8">
        <f t="shared" si="18"/>
        <v>0</v>
      </c>
      <c r="H180" s="289">
        <f t="shared" si="19"/>
        <v>0</v>
      </c>
      <c r="J180" s="8">
        <f>Données!AN180</f>
        <v>65838</v>
      </c>
      <c r="K180" s="198">
        <f t="shared" si="20"/>
        <v>90983.63491228073</v>
      </c>
      <c r="L180" s="12">
        <f t="shared" si="21"/>
        <v>0</v>
      </c>
      <c r="M180" s="289">
        <f t="shared" si="22"/>
        <v>0</v>
      </c>
      <c r="O180" s="42">
        <f t="shared" si="23"/>
        <v>0</v>
      </c>
      <c r="P180" s="247"/>
      <c r="Q180" s="211"/>
      <c r="R180" s="211"/>
      <c r="S180" s="211"/>
      <c r="T180" s="211"/>
      <c r="U180" s="211"/>
      <c r="AF180" s="11"/>
      <c r="AG180" s="11"/>
      <c r="AH180" s="11"/>
      <c r="AI180" s="11"/>
      <c r="AJ180" s="11"/>
      <c r="AK180" s="11"/>
      <c r="AL180" s="11"/>
    </row>
    <row r="181" spans="1:38" x14ac:dyDescent="0.25">
      <c r="A181" s="38">
        <f>+Données!A181</f>
        <v>5710</v>
      </c>
      <c r="B181" s="229" t="str">
        <f>+Données!B181</f>
        <v>Coinsins</v>
      </c>
      <c r="C181" s="220">
        <f>+Ecrêtage!C181</f>
        <v>33549.646470588232</v>
      </c>
      <c r="D181" s="218"/>
      <c r="E181" s="220">
        <f>Données!AF181+Données!AG181+Données!AH181</f>
        <v>169942</v>
      </c>
      <c r="F181" s="218">
        <f t="shared" si="17"/>
        <v>268397.17176470585</v>
      </c>
      <c r="G181" s="8">
        <f t="shared" si="18"/>
        <v>0</v>
      </c>
      <c r="H181" s="289">
        <f t="shared" si="19"/>
        <v>0</v>
      </c>
      <c r="J181" s="8">
        <f>Données!AN181</f>
        <v>3155</v>
      </c>
      <c r="K181" s="198">
        <f t="shared" si="20"/>
        <v>33549.646470588232</v>
      </c>
      <c r="L181" s="12">
        <f t="shared" si="21"/>
        <v>0</v>
      </c>
      <c r="M181" s="289">
        <f t="shared" si="22"/>
        <v>0</v>
      </c>
      <c r="O181" s="42">
        <f t="shared" si="23"/>
        <v>0</v>
      </c>
      <c r="P181" s="247"/>
      <c r="Q181" s="211"/>
      <c r="R181" s="211"/>
      <c r="S181" s="211"/>
      <c r="T181" s="211"/>
      <c r="U181" s="211"/>
      <c r="AF181" s="11"/>
      <c r="AG181" s="11"/>
      <c r="AH181" s="11"/>
      <c r="AI181" s="11"/>
      <c r="AJ181" s="11"/>
      <c r="AK181" s="11"/>
      <c r="AL181" s="11"/>
    </row>
    <row r="182" spans="1:38" x14ac:dyDescent="0.25">
      <c r="A182" s="38">
        <f>+Données!A182</f>
        <v>5711</v>
      </c>
      <c r="B182" s="229" t="str">
        <f>+Données!B182</f>
        <v>Commugny</v>
      </c>
      <c r="C182" s="220">
        <f>+Ecrêtage!C182</f>
        <v>305461.09360323887</v>
      </c>
      <c r="D182" s="218"/>
      <c r="E182" s="220">
        <f>Données!AF182+Données!AG182+Données!AH182</f>
        <v>0</v>
      </c>
      <c r="F182" s="218">
        <f t="shared" si="17"/>
        <v>2443688.748825911</v>
      </c>
      <c r="G182" s="8">
        <f t="shared" si="18"/>
        <v>0</v>
      </c>
      <c r="H182" s="289">
        <f t="shared" si="19"/>
        <v>0</v>
      </c>
      <c r="J182" s="8">
        <f>Données!AN182</f>
        <v>0</v>
      </c>
      <c r="K182" s="198">
        <f t="shared" si="20"/>
        <v>305461.09360323887</v>
      </c>
      <c r="L182" s="12">
        <f t="shared" si="21"/>
        <v>0</v>
      </c>
      <c r="M182" s="289">
        <f t="shared" si="22"/>
        <v>0</v>
      </c>
      <c r="O182" s="42">
        <f t="shared" si="23"/>
        <v>0</v>
      </c>
      <c r="P182" s="247"/>
      <c r="Q182" s="211"/>
      <c r="R182" s="211"/>
      <c r="S182" s="211"/>
      <c r="T182" s="211"/>
      <c r="U182" s="211"/>
      <c r="AF182" s="11"/>
      <c r="AG182" s="11"/>
      <c r="AH182" s="11"/>
      <c r="AI182" s="11"/>
      <c r="AJ182" s="11"/>
      <c r="AK182" s="11"/>
      <c r="AL182" s="11"/>
    </row>
    <row r="183" spans="1:38" x14ac:dyDescent="0.25">
      <c r="A183" s="38">
        <f>+Données!A183</f>
        <v>5712</v>
      </c>
      <c r="B183" s="229" t="str">
        <f>+Données!B183</f>
        <v>Coppet</v>
      </c>
      <c r="C183" s="220">
        <f>+Ecrêtage!C183</f>
        <v>422782.58779874217</v>
      </c>
      <c r="D183" s="218"/>
      <c r="E183" s="220">
        <f>Données!AF183+Données!AG183+Données!AH183</f>
        <v>1330697</v>
      </c>
      <c r="F183" s="218">
        <f t="shared" si="17"/>
        <v>3382260.7023899374</v>
      </c>
      <c r="G183" s="8">
        <f t="shared" si="18"/>
        <v>0</v>
      </c>
      <c r="H183" s="289">
        <f t="shared" si="19"/>
        <v>0</v>
      </c>
      <c r="J183" s="8">
        <f>Données!AN183</f>
        <v>0</v>
      </c>
      <c r="K183" s="198">
        <f t="shared" si="20"/>
        <v>422782.58779874217</v>
      </c>
      <c r="L183" s="12">
        <f t="shared" si="21"/>
        <v>0</v>
      </c>
      <c r="M183" s="289">
        <f t="shared" si="22"/>
        <v>0</v>
      </c>
      <c r="O183" s="42">
        <f t="shared" si="23"/>
        <v>0</v>
      </c>
      <c r="P183" s="247"/>
      <c r="Q183" s="211"/>
      <c r="R183" s="211"/>
      <c r="S183" s="211"/>
      <c r="T183" s="211"/>
      <c r="U183" s="211"/>
      <c r="AF183" s="11"/>
      <c r="AG183" s="11"/>
      <c r="AH183" s="11"/>
      <c r="AI183" s="11"/>
      <c r="AJ183" s="11"/>
      <c r="AK183" s="11"/>
      <c r="AL183" s="11"/>
    </row>
    <row r="184" spans="1:38" x14ac:dyDescent="0.25">
      <c r="A184" s="38">
        <f>+Données!A184</f>
        <v>5713</v>
      </c>
      <c r="B184" s="229" t="str">
        <f>+Données!B184</f>
        <v>Crans</v>
      </c>
      <c r="C184" s="220">
        <f>+Ecrêtage!C184</f>
        <v>284269.17355932208</v>
      </c>
      <c r="D184" s="218"/>
      <c r="E184" s="220">
        <f>Données!AF184+Données!AG184+Données!AH184</f>
        <v>0</v>
      </c>
      <c r="F184" s="218">
        <f t="shared" si="17"/>
        <v>2274153.3884745766</v>
      </c>
      <c r="G184" s="8">
        <f t="shared" si="18"/>
        <v>0</v>
      </c>
      <c r="H184" s="289">
        <f t="shared" si="19"/>
        <v>0</v>
      </c>
      <c r="J184" s="8">
        <f>Données!AN184</f>
        <v>0</v>
      </c>
      <c r="K184" s="198">
        <f t="shared" si="20"/>
        <v>284269.17355932208</v>
      </c>
      <c r="L184" s="12">
        <f t="shared" si="21"/>
        <v>0</v>
      </c>
      <c r="M184" s="289">
        <f t="shared" si="22"/>
        <v>0</v>
      </c>
      <c r="O184" s="42">
        <f t="shared" si="23"/>
        <v>0</v>
      </c>
      <c r="P184" s="247"/>
      <c r="Q184" s="211"/>
      <c r="R184" s="211"/>
      <c r="S184" s="211"/>
      <c r="T184" s="211"/>
      <c r="U184" s="211"/>
      <c r="AF184" s="11"/>
      <c r="AG184" s="11"/>
      <c r="AH184" s="11"/>
      <c r="AI184" s="11"/>
      <c r="AJ184" s="11"/>
      <c r="AK184" s="11"/>
      <c r="AL184" s="11"/>
    </row>
    <row r="185" spans="1:38" x14ac:dyDescent="0.25">
      <c r="A185" s="38">
        <f>+Données!A185</f>
        <v>5714</v>
      </c>
      <c r="B185" s="229" t="str">
        <f>+Données!B185</f>
        <v>Crassier</v>
      </c>
      <c r="C185" s="220">
        <f>+Ecrêtage!C185</f>
        <v>62524.655789473691</v>
      </c>
      <c r="D185" s="218"/>
      <c r="E185" s="220">
        <f>Données!AF185+Données!AG185+Données!AH185</f>
        <v>0</v>
      </c>
      <c r="F185" s="218">
        <f t="shared" si="17"/>
        <v>500197.24631578953</v>
      </c>
      <c r="G185" s="8">
        <f t="shared" si="18"/>
        <v>0</v>
      </c>
      <c r="H185" s="289">
        <f t="shared" si="19"/>
        <v>0</v>
      </c>
      <c r="J185" s="8">
        <f>Données!AN185</f>
        <v>0</v>
      </c>
      <c r="K185" s="198">
        <f t="shared" si="20"/>
        <v>62524.655789473691</v>
      </c>
      <c r="L185" s="12">
        <f t="shared" si="21"/>
        <v>0</v>
      </c>
      <c r="M185" s="289">
        <f t="shared" si="22"/>
        <v>0</v>
      </c>
      <c r="O185" s="42">
        <f t="shared" si="23"/>
        <v>0</v>
      </c>
      <c r="P185" s="247"/>
      <c r="Q185" s="211"/>
      <c r="R185" s="211"/>
      <c r="S185" s="211"/>
      <c r="T185" s="211"/>
      <c r="U185" s="211"/>
      <c r="AF185" s="11"/>
      <c r="AG185" s="11"/>
      <c r="AH185" s="11"/>
      <c r="AI185" s="11"/>
      <c r="AJ185" s="11"/>
      <c r="AK185" s="11"/>
      <c r="AL185" s="11"/>
    </row>
    <row r="186" spans="1:38" x14ac:dyDescent="0.25">
      <c r="A186" s="38">
        <f>+Données!A186</f>
        <v>5715</v>
      </c>
      <c r="B186" s="229" t="str">
        <f>+Données!B186</f>
        <v>Duillier</v>
      </c>
      <c r="C186" s="220">
        <f>+Ecrêtage!C186</f>
        <v>60550.113787878792</v>
      </c>
      <c r="D186" s="218"/>
      <c r="E186" s="220">
        <f>Données!AF186+Données!AG186+Données!AH186</f>
        <v>0</v>
      </c>
      <c r="F186" s="218">
        <f t="shared" si="17"/>
        <v>484400.91030303034</v>
      </c>
      <c r="G186" s="8">
        <f t="shared" si="18"/>
        <v>0</v>
      </c>
      <c r="H186" s="289">
        <f t="shared" si="19"/>
        <v>0</v>
      </c>
      <c r="J186" s="8">
        <f>Données!AN186</f>
        <v>0</v>
      </c>
      <c r="K186" s="198">
        <f t="shared" si="20"/>
        <v>60550.113787878792</v>
      </c>
      <c r="L186" s="12">
        <f t="shared" si="21"/>
        <v>0</v>
      </c>
      <c r="M186" s="289">
        <f t="shared" si="22"/>
        <v>0</v>
      </c>
      <c r="O186" s="42">
        <f t="shared" si="23"/>
        <v>0</v>
      </c>
      <c r="P186" s="247"/>
      <c r="Q186" s="211"/>
      <c r="R186" s="211"/>
      <c r="S186" s="211"/>
      <c r="T186" s="211"/>
      <c r="U186" s="211"/>
      <c r="AF186" s="11"/>
      <c r="AG186" s="11"/>
      <c r="AH186" s="11"/>
      <c r="AI186" s="11"/>
      <c r="AJ186" s="11"/>
      <c r="AK186" s="11"/>
      <c r="AL186" s="11"/>
    </row>
    <row r="187" spans="1:38" x14ac:dyDescent="0.25">
      <c r="A187" s="38">
        <f>+Données!A187</f>
        <v>5716</v>
      </c>
      <c r="B187" s="229" t="str">
        <f>+Données!B187</f>
        <v>Eysins</v>
      </c>
      <c r="C187" s="220">
        <f>+Ecrêtage!C187</f>
        <v>232557.04084033609</v>
      </c>
      <c r="D187" s="218"/>
      <c r="E187" s="220">
        <f>Données!AF187+Données!AG187+Données!AH187</f>
        <v>0</v>
      </c>
      <c r="F187" s="218">
        <f t="shared" si="17"/>
        <v>1860456.3267226887</v>
      </c>
      <c r="G187" s="8">
        <f t="shared" si="18"/>
        <v>0</v>
      </c>
      <c r="H187" s="289">
        <f t="shared" si="19"/>
        <v>0</v>
      </c>
      <c r="J187" s="8">
        <f>Données!AN187</f>
        <v>0</v>
      </c>
      <c r="K187" s="198">
        <f t="shared" si="20"/>
        <v>232557.04084033609</v>
      </c>
      <c r="L187" s="12">
        <f t="shared" si="21"/>
        <v>0</v>
      </c>
      <c r="M187" s="289">
        <f t="shared" si="22"/>
        <v>0</v>
      </c>
      <c r="O187" s="42">
        <f t="shared" si="23"/>
        <v>0</v>
      </c>
      <c r="P187" s="247"/>
      <c r="Q187" s="211"/>
      <c r="R187" s="211"/>
      <c r="S187" s="211"/>
      <c r="T187" s="211"/>
      <c r="U187" s="211"/>
      <c r="AF187" s="11"/>
      <c r="AG187" s="11"/>
      <c r="AH187" s="11"/>
      <c r="AI187" s="11"/>
      <c r="AJ187" s="11"/>
      <c r="AK187" s="11"/>
      <c r="AL187" s="11"/>
    </row>
    <row r="188" spans="1:38" x14ac:dyDescent="0.25">
      <c r="A188" s="38">
        <f>+Données!A188</f>
        <v>5717</v>
      </c>
      <c r="B188" s="229" t="str">
        <f>+Données!B188</f>
        <v>Founex</v>
      </c>
      <c r="C188" s="220">
        <f>+Ecrêtage!C188</f>
        <v>361582.97087719297</v>
      </c>
      <c r="D188" s="218"/>
      <c r="E188" s="220">
        <f>Données!AF188+Données!AG188+Données!AH188</f>
        <v>0</v>
      </c>
      <c r="F188" s="218">
        <f t="shared" si="17"/>
        <v>2892663.7670175438</v>
      </c>
      <c r="G188" s="8">
        <f t="shared" si="18"/>
        <v>0</v>
      </c>
      <c r="H188" s="289">
        <f t="shared" si="19"/>
        <v>0</v>
      </c>
      <c r="J188" s="8">
        <f>Données!AN188</f>
        <v>0</v>
      </c>
      <c r="K188" s="198">
        <f t="shared" si="20"/>
        <v>361582.97087719297</v>
      </c>
      <c r="L188" s="12">
        <f t="shared" si="21"/>
        <v>0</v>
      </c>
      <c r="M188" s="289">
        <f t="shared" si="22"/>
        <v>0</v>
      </c>
      <c r="O188" s="42">
        <f t="shared" si="23"/>
        <v>0</v>
      </c>
      <c r="P188" s="247"/>
      <c r="Q188" s="211"/>
      <c r="R188" s="211"/>
      <c r="S188" s="211"/>
      <c r="T188" s="211"/>
      <c r="U188" s="211"/>
      <c r="AF188" s="11"/>
      <c r="AG188" s="11"/>
      <c r="AH188" s="11"/>
      <c r="AI188" s="11"/>
      <c r="AJ188" s="11"/>
      <c r="AK188" s="11"/>
      <c r="AL188" s="11"/>
    </row>
    <row r="189" spans="1:38" s="153" customFormat="1" x14ac:dyDescent="0.25">
      <c r="A189" s="38">
        <f>+Données!A189</f>
        <v>5718</v>
      </c>
      <c r="B189" s="229" t="str">
        <f>+Données!B189</f>
        <v>Genolier</v>
      </c>
      <c r="C189" s="220">
        <f>+Ecrêtage!C189</f>
        <v>212699.2265454545</v>
      </c>
      <c r="D189" s="218"/>
      <c r="E189" s="220">
        <f>Données!AF189+Données!AG189+Données!AH189</f>
        <v>0</v>
      </c>
      <c r="F189" s="218">
        <f t="shared" si="17"/>
        <v>1701593.812363636</v>
      </c>
      <c r="G189" s="8">
        <f t="shared" si="18"/>
        <v>0</v>
      </c>
      <c r="H189" s="289">
        <f t="shared" si="19"/>
        <v>0</v>
      </c>
      <c r="I189" s="221"/>
      <c r="J189" s="8">
        <f>Données!AN189</f>
        <v>0</v>
      </c>
      <c r="K189" s="308">
        <f t="shared" si="20"/>
        <v>212699.2265454545</v>
      </c>
      <c r="L189" s="1">
        <f t="shared" si="21"/>
        <v>0</v>
      </c>
      <c r="M189" s="289">
        <f t="shared" si="22"/>
        <v>0</v>
      </c>
      <c r="N189" s="221"/>
      <c r="O189" s="42">
        <f t="shared" si="23"/>
        <v>0</v>
      </c>
      <c r="P189" s="247"/>
      <c r="Q189" s="211"/>
      <c r="R189" s="211"/>
      <c r="S189" s="211"/>
      <c r="T189" s="211"/>
      <c r="U189" s="211"/>
      <c r="V189" s="202"/>
      <c r="W189" s="202"/>
      <c r="X189" s="202"/>
      <c r="Y189" s="202"/>
      <c r="Z189" s="202"/>
      <c r="AA189" s="202"/>
      <c r="AB189" s="202"/>
      <c r="AC189" s="202"/>
      <c r="AD189" s="202"/>
      <c r="AE189" s="202"/>
    </row>
    <row r="190" spans="1:38" x14ac:dyDescent="0.25">
      <c r="A190" s="38">
        <f>+Données!A190</f>
        <v>5719</v>
      </c>
      <c r="B190" s="229" t="str">
        <f>+Données!B190</f>
        <v>Gingins</v>
      </c>
      <c r="C190" s="220">
        <f>+Ecrêtage!C190</f>
        <v>119943.29911111109</v>
      </c>
      <c r="D190" s="218"/>
      <c r="E190" s="220">
        <f>Données!AF190+Données!AG190+Données!AH190</f>
        <v>0</v>
      </c>
      <c r="F190" s="218">
        <f t="shared" si="17"/>
        <v>959546.39288888872</v>
      </c>
      <c r="G190" s="8">
        <f t="shared" si="18"/>
        <v>0</v>
      </c>
      <c r="H190" s="289">
        <f t="shared" si="19"/>
        <v>0</v>
      </c>
      <c r="J190" s="8">
        <f>Données!AN190</f>
        <v>0</v>
      </c>
      <c r="K190" s="198">
        <f t="shared" si="20"/>
        <v>119943.29911111109</v>
      </c>
      <c r="L190" s="12">
        <f t="shared" si="21"/>
        <v>0</v>
      </c>
      <c r="M190" s="289">
        <f t="shared" si="22"/>
        <v>0</v>
      </c>
      <c r="O190" s="42">
        <f t="shared" si="23"/>
        <v>0</v>
      </c>
      <c r="P190" s="247"/>
      <c r="Q190" s="211"/>
      <c r="R190" s="211"/>
      <c r="S190" s="211"/>
      <c r="T190" s="211"/>
      <c r="U190" s="211"/>
      <c r="AF190" s="11"/>
      <c r="AG190" s="11"/>
      <c r="AH190" s="11"/>
      <c r="AI190" s="11"/>
      <c r="AJ190" s="11"/>
      <c r="AK190" s="11"/>
      <c r="AL190" s="11"/>
    </row>
    <row r="191" spans="1:38" x14ac:dyDescent="0.25">
      <c r="A191" s="38">
        <f>+Données!A191</f>
        <v>5720</v>
      </c>
      <c r="B191" s="229" t="str">
        <f>+Données!B191</f>
        <v>Givrins</v>
      </c>
      <c r="C191" s="220">
        <f>+Ecrêtage!C191</f>
        <v>84868.432139303477</v>
      </c>
      <c r="D191" s="218"/>
      <c r="E191" s="220">
        <f>Données!AF191+Données!AG191+Données!AH191</f>
        <v>446793</v>
      </c>
      <c r="F191" s="218">
        <f t="shared" si="17"/>
        <v>678947.45711442782</v>
      </c>
      <c r="G191" s="8">
        <f t="shared" si="18"/>
        <v>0</v>
      </c>
      <c r="H191" s="289">
        <f t="shared" si="19"/>
        <v>0</v>
      </c>
      <c r="J191" s="8">
        <f>Données!AN191</f>
        <v>110471</v>
      </c>
      <c r="K191" s="198">
        <f t="shared" si="20"/>
        <v>84868.432139303477</v>
      </c>
      <c r="L191" s="12">
        <f t="shared" si="21"/>
        <v>25602.567860696523</v>
      </c>
      <c r="M191" s="289">
        <f t="shared" si="22"/>
        <v>-19201.925895522392</v>
      </c>
      <c r="O191" s="42">
        <f t="shared" si="23"/>
        <v>-19201.925895522392</v>
      </c>
      <c r="P191" s="247"/>
      <c r="Q191" s="211"/>
      <c r="R191" s="211"/>
      <c r="S191" s="211"/>
      <c r="T191" s="211"/>
      <c r="U191" s="211"/>
      <c r="AF191" s="11"/>
      <c r="AG191" s="11"/>
      <c r="AH191" s="11"/>
      <c r="AI191" s="11"/>
      <c r="AJ191" s="11"/>
      <c r="AK191" s="11"/>
      <c r="AL191" s="11"/>
    </row>
    <row r="192" spans="1:38" x14ac:dyDescent="0.25">
      <c r="A192" s="38">
        <f>+Données!A192</f>
        <v>5721</v>
      </c>
      <c r="B192" s="229" t="str">
        <f>+Données!B192</f>
        <v>Gland</v>
      </c>
      <c r="C192" s="220">
        <f>+Ecrêtage!C192</f>
        <v>688985.30491803284</v>
      </c>
      <c r="D192" s="218"/>
      <c r="E192" s="220">
        <f>Données!AF192+Données!AG192+Données!AH192</f>
        <v>4481957</v>
      </c>
      <c r="F192" s="218">
        <f t="shared" si="17"/>
        <v>5511882.4393442627</v>
      </c>
      <c r="G192" s="8">
        <f t="shared" si="18"/>
        <v>0</v>
      </c>
      <c r="H192" s="289">
        <f t="shared" si="19"/>
        <v>0</v>
      </c>
      <c r="J192" s="8">
        <f>Données!AN192</f>
        <v>35424</v>
      </c>
      <c r="K192" s="198">
        <f t="shared" si="20"/>
        <v>688985.30491803284</v>
      </c>
      <c r="L192" s="12">
        <f t="shared" si="21"/>
        <v>0</v>
      </c>
      <c r="M192" s="289">
        <f t="shared" si="22"/>
        <v>0</v>
      </c>
      <c r="O192" s="42">
        <f t="shared" si="23"/>
        <v>0</v>
      </c>
      <c r="P192" s="247"/>
      <c r="Q192" s="211"/>
      <c r="R192" s="211"/>
      <c r="S192" s="211"/>
      <c r="T192" s="211"/>
      <c r="U192" s="211"/>
      <c r="AF192" s="11"/>
      <c r="AG192" s="11"/>
      <c r="AH192" s="11"/>
      <c r="AI192" s="11"/>
      <c r="AJ192" s="11"/>
      <c r="AK192" s="11"/>
      <c r="AL192" s="11"/>
    </row>
    <row r="193" spans="1:38" x14ac:dyDescent="0.25">
      <c r="A193" s="38">
        <f>+Données!A193</f>
        <v>5722</v>
      </c>
      <c r="B193" s="229" t="str">
        <f>+Données!B193</f>
        <v>Grens</v>
      </c>
      <c r="C193" s="220">
        <f>+Ecrêtage!C193</f>
        <v>20912.723225806454</v>
      </c>
      <c r="D193" s="218"/>
      <c r="E193" s="220">
        <f>Données!AF193+Données!AG193+Données!AH193</f>
        <v>0</v>
      </c>
      <c r="F193" s="218">
        <f t="shared" si="17"/>
        <v>167301.78580645163</v>
      </c>
      <c r="G193" s="8">
        <f t="shared" si="18"/>
        <v>0</v>
      </c>
      <c r="H193" s="289">
        <f t="shared" si="19"/>
        <v>0</v>
      </c>
      <c r="J193" s="8">
        <f>Données!AN193</f>
        <v>0</v>
      </c>
      <c r="K193" s="198">
        <f t="shared" si="20"/>
        <v>20912.723225806454</v>
      </c>
      <c r="L193" s="12">
        <f t="shared" si="21"/>
        <v>0</v>
      </c>
      <c r="M193" s="289">
        <f t="shared" si="22"/>
        <v>0</v>
      </c>
      <c r="O193" s="42">
        <f t="shared" si="23"/>
        <v>0</v>
      </c>
      <c r="P193" s="247"/>
      <c r="Q193" s="211"/>
      <c r="R193" s="211"/>
      <c r="S193" s="211"/>
      <c r="T193" s="211"/>
      <c r="U193" s="211"/>
      <c r="AF193" s="11"/>
      <c r="AG193" s="11"/>
      <c r="AH193" s="11"/>
      <c r="AI193" s="11"/>
      <c r="AJ193" s="11"/>
      <c r="AK193" s="11"/>
      <c r="AL193" s="11"/>
    </row>
    <row r="194" spans="1:38" x14ac:dyDescent="0.25">
      <c r="A194" s="38">
        <f>+Données!A194</f>
        <v>5723</v>
      </c>
      <c r="B194" s="229" t="str">
        <f>+Données!B194</f>
        <v>Mies</v>
      </c>
      <c r="C194" s="220">
        <f>+Ecrêtage!C194</f>
        <v>253771.19326923077</v>
      </c>
      <c r="D194" s="218"/>
      <c r="E194" s="220">
        <f>Données!AF194+Données!AG194+Données!AH194</f>
        <v>0</v>
      </c>
      <c r="F194" s="218">
        <f t="shared" si="17"/>
        <v>2030169.5461538462</v>
      </c>
      <c r="G194" s="8">
        <f t="shared" si="18"/>
        <v>0</v>
      </c>
      <c r="H194" s="289">
        <f t="shared" si="19"/>
        <v>0</v>
      </c>
      <c r="J194" s="8">
        <f>Données!AN194</f>
        <v>0</v>
      </c>
      <c r="K194" s="198">
        <f t="shared" si="20"/>
        <v>253771.19326923077</v>
      </c>
      <c r="L194" s="12">
        <f t="shared" si="21"/>
        <v>0</v>
      </c>
      <c r="M194" s="289">
        <f t="shared" si="22"/>
        <v>0</v>
      </c>
      <c r="O194" s="42">
        <f t="shared" si="23"/>
        <v>0</v>
      </c>
      <c r="P194" s="247"/>
      <c r="Q194" s="211"/>
      <c r="R194" s="211"/>
      <c r="S194" s="211"/>
      <c r="T194" s="211"/>
      <c r="U194" s="211"/>
      <c r="AF194" s="11"/>
      <c r="AG194" s="11"/>
      <c r="AH194" s="11"/>
      <c r="AI194" s="11"/>
      <c r="AJ194" s="11"/>
      <c r="AK194" s="11"/>
      <c r="AL194" s="11"/>
    </row>
    <row r="195" spans="1:38" x14ac:dyDescent="0.25">
      <c r="A195" s="38">
        <f>+Données!A195</f>
        <v>5724</v>
      </c>
      <c r="B195" s="229" t="str">
        <f>+Données!B195</f>
        <v>Nyon</v>
      </c>
      <c r="C195" s="220">
        <f>+Ecrêtage!C195</f>
        <v>1520148.6004918031</v>
      </c>
      <c r="D195" s="218"/>
      <c r="E195" s="220">
        <f>Données!AF195+Données!AG195+Données!AH195</f>
        <v>14132542</v>
      </c>
      <c r="F195" s="218">
        <f t="shared" si="17"/>
        <v>12161188.803934425</v>
      </c>
      <c r="G195" s="8">
        <f t="shared" si="18"/>
        <v>1971353.1960655749</v>
      </c>
      <c r="H195" s="289">
        <f t="shared" si="19"/>
        <v>-1478514.8970491812</v>
      </c>
      <c r="J195" s="8">
        <f>Données!AN195</f>
        <v>351378</v>
      </c>
      <c r="K195" s="198">
        <f t="shared" si="20"/>
        <v>1520148.6004918031</v>
      </c>
      <c r="L195" s="12">
        <f t="shared" si="21"/>
        <v>0</v>
      </c>
      <c r="M195" s="289">
        <f t="shared" si="22"/>
        <v>0</v>
      </c>
      <c r="O195" s="42">
        <f t="shared" si="23"/>
        <v>-1478514.8970491812</v>
      </c>
      <c r="P195" s="247"/>
      <c r="Q195" s="211"/>
      <c r="R195" s="211"/>
      <c r="S195" s="211"/>
      <c r="T195" s="211"/>
      <c r="U195" s="211"/>
      <c r="AF195" s="11"/>
      <c r="AG195" s="11"/>
      <c r="AH195" s="11"/>
      <c r="AI195" s="11"/>
      <c r="AJ195" s="11"/>
      <c r="AK195" s="11"/>
      <c r="AL195" s="11"/>
    </row>
    <row r="196" spans="1:38" x14ac:dyDescent="0.25">
      <c r="A196" s="38">
        <f>+Données!A196</f>
        <v>5725</v>
      </c>
      <c r="B196" s="229" t="str">
        <f>+Données!B196</f>
        <v>Prangins</v>
      </c>
      <c r="C196" s="220">
        <f>+Ecrêtage!C196</f>
        <v>388958.996077922</v>
      </c>
      <c r="D196" s="218"/>
      <c r="E196" s="220">
        <f>Données!AF196+Données!AG196+Données!AH196</f>
        <v>2232581</v>
      </c>
      <c r="F196" s="218">
        <f t="shared" si="17"/>
        <v>3111671.968623376</v>
      </c>
      <c r="G196" s="8">
        <f t="shared" si="18"/>
        <v>0</v>
      </c>
      <c r="H196" s="289">
        <f t="shared" si="19"/>
        <v>0</v>
      </c>
      <c r="J196" s="8">
        <f>Données!AN196</f>
        <v>6758</v>
      </c>
      <c r="K196" s="198">
        <f t="shared" si="20"/>
        <v>388958.996077922</v>
      </c>
      <c r="L196" s="12">
        <f t="shared" si="21"/>
        <v>0</v>
      </c>
      <c r="M196" s="289">
        <f t="shared" si="22"/>
        <v>0</v>
      </c>
      <c r="O196" s="42">
        <f t="shared" si="23"/>
        <v>0</v>
      </c>
      <c r="P196" s="247"/>
      <c r="Q196" s="211"/>
      <c r="R196" s="211"/>
      <c r="S196" s="211"/>
      <c r="T196" s="211"/>
      <c r="U196" s="211"/>
      <c r="AF196" s="11"/>
      <c r="AG196" s="11"/>
      <c r="AH196" s="11"/>
      <c r="AI196" s="11"/>
      <c r="AJ196" s="11"/>
      <c r="AK196" s="11"/>
      <c r="AL196" s="11"/>
    </row>
    <row r="197" spans="1:38" x14ac:dyDescent="0.25">
      <c r="A197" s="38">
        <f>+Données!A197</f>
        <v>5726</v>
      </c>
      <c r="B197" s="229" t="str">
        <f>+Données!B197</f>
        <v>La Rippe</v>
      </c>
      <c r="C197" s="220">
        <f>+Ecrêtage!C197</f>
        <v>69785.913125000021</v>
      </c>
      <c r="D197" s="218"/>
      <c r="E197" s="220">
        <f>Données!AF197+Données!AG197+Données!AH197</f>
        <v>0</v>
      </c>
      <c r="F197" s="218">
        <f t="shared" si="17"/>
        <v>558287.30500000017</v>
      </c>
      <c r="G197" s="8">
        <f t="shared" si="18"/>
        <v>0</v>
      </c>
      <c r="H197" s="289">
        <f t="shared" si="19"/>
        <v>0</v>
      </c>
      <c r="J197" s="8">
        <f>Données!AN197</f>
        <v>0</v>
      </c>
      <c r="K197" s="198">
        <f t="shared" si="20"/>
        <v>69785.913125000021</v>
      </c>
      <c r="L197" s="12">
        <f t="shared" si="21"/>
        <v>0</v>
      </c>
      <c r="M197" s="289">
        <f t="shared" si="22"/>
        <v>0</v>
      </c>
      <c r="O197" s="42">
        <f t="shared" si="23"/>
        <v>0</v>
      </c>
      <c r="P197" s="247"/>
      <c r="Q197" s="211"/>
      <c r="R197" s="211"/>
      <c r="S197" s="211"/>
      <c r="T197" s="211"/>
      <c r="U197" s="211"/>
      <c r="AF197" s="11"/>
      <c r="AG197" s="11"/>
      <c r="AH197" s="11"/>
      <c r="AI197" s="11"/>
      <c r="AJ197" s="11"/>
      <c r="AK197" s="11"/>
      <c r="AL197" s="11"/>
    </row>
    <row r="198" spans="1:38" x14ac:dyDescent="0.25">
      <c r="A198" s="38">
        <f>+Données!A198</f>
        <v>5727</v>
      </c>
      <c r="B198" s="229" t="str">
        <f>+Données!B198</f>
        <v>Saint-Cergue</v>
      </c>
      <c r="C198" s="220">
        <f>+Ecrêtage!C198</f>
        <v>107048.1634848485</v>
      </c>
      <c r="D198" s="218"/>
      <c r="E198" s="220">
        <f>Données!AF198+Données!AG198+Données!AH198</f>
        <v>1247768</v>
      </c>
      <c r="F198" s="218">
        <f t="shared" si="17"/>
        <v>856385.30787878798</v>
      </c>
      <c r="G198" s="8">
        <f t="shared" si="18"/>
        <v>391382.69212121202</v>
      </c>
      <c r="H198" s="289">
        <f t="shared" si="19"/>
        <v>-293537.01909090905</v>
      </c>
      <c r="J198" s="8">
        <f>Données!AN198</f>
        <v>183736</v>
      </c>
      <c r="K198" s="198">
        <f t="shared" si="20"/>
        <v>107048.1634848485</v>
      </c>
      <c r="L198" s="12">
        <f t="shared" si="21"/>
        <v>76687.836515151503</v>
      </c>
      <c r="M198" s="289">
        <f t="shared" si="22"/>
        <v>-57515.877386363631</v>
      </c>
      <c r="O198" s="42">
        <f t="shared" si="23"/>
        <v>-351052.89647727268</v>
      </c>
      <c r="P198" s="247"/>
      <c r="Q198" s="211"/>
      <c r="R198" s="211"/>
      <c r="S198" s="211"/>
      <c r="T198" s="211"/>
      <c r="U198" s="211"/>
      <c r="AF198" s="11"/>
      <c r="AG198" s="11"/>
      <c r="AH198" s="11"/>
      <c r="AI198" s="11"/>
      <c r="AJ198" s="11"/>
      <c r="AK198" s="11"/>
      <c r="AL198" s="11"/>
    </row>
    <row r="199" spans="1:38" x14ac:dyDescent="0.25">
      <c r="A199" s="38">
        <f>+Données!A199</f>
        <v>5728</v>
      </c>
      <c r="B199" s="229" t="str">
        <f>+Données!B199</f>
        <v>Signy-Avenex</v>
      </c>
      <c r="C199" s="220">
        <f>+Ecrêtage!C199</f>
        <v>66000.760172413793</v>
      </c>
      <c r="D199" s="218"/>
      <c r="E199" s="220">
        <f>Données!AF199+Données!AG199+Données!AH199</f>
        <v>0</v>
      </c>
      <c r="F199" s="218">
        <f t="shared" ref="F199:F262" si="24">+C199*$G$5</f>
        <v>528006.08137931034</v>
      </c>
      <c r="G199" s="8">
        <f t="shared" ref="G199:G262" si="25">IF(E199&gt;F199,E199-F199,0)</f>
        <v>0</v>
      </c>
      <c r="H199" s="289">
        <f t="shared" ref="H199:H262" si="26">-G199*H$5</f>
        <v>0</v>
      </c>
      <c r="J199" s="8">
        <f>Données!AN199</f>
        <v>0</v>
      </c>
      <c r="K199" s="198">
        <f t="shared" ref="K199:K262" si="27">C199*L$5</f>
        <v>66000.760172413793</v>
      </c>
      <c r="L199" s="12">
        <f t="shared" ref="L199:L262" si="28">IF(J199&gt;K199,J199-K199,0)</f>
        <v>0</v>
      </c>
      <c r="M199" s="289">
        <f t="shared" ref="M199:M262" si="29">-L199*M$5</f>
        <v>0</v>
      </c>
      <c r="O199" s="42">
        <f t="shared" ref="O199:O262" si="30">M199+H199</f>
        <v>0</v>
      </c>
      <c r="P199" s="247"/>
      <c r="Q199" s="211"/>
      <c r="R199" s="211"/>
      <c r="S199" s="211"/>
      <c r="T199" s="211"/>
      <c r="U199" s="211"/>
      <c r="AF199" s="11"/>
      <c r="AG199" s="11"/>
      <c r="AH199" s="11"/>
      <c r="AI199" s="11"/>
      <c r="AJ199" s="11"/>
      <c r="AK199" s="11"/>
      <c r="AL199" s="11"/>
    </row>
    <row r="200" spans="1:38" x14ac:dyDescent="0.25">
      <c r="A200" s="38">
        <f>+Données!A200</f>
        <v>5729</v>
      </c>
      <c r="B200" s="229" t="str">
        <f>+Données!B200</f>
        <v>Tannay</v>
      </c>
      <c r="C200" s="220">
        <f>+Ecrêtage!C200</f>
        <v>189085.86771349865</v>
      </c>
      <c r="D200" s="218"/>
      <c r="E200" s="220">
        <f>Données!AF200+Données!AG200+Données!AH200</f>
        <v>0</v>
      </c>
      <c r="F200" s="218">
        <f t="shared" si="24"/>
        <v>1512686.9417079892</v>
      </c>
      <c r="G200" s="8">
        <f t="shared" si="25"/>
        <v>0</v>
      </c>
      <c r="H200" s="289">
        <f t="shared" si="26"/>
        <v>0</v>
      </c>
      <c r="J200" s="8">
        <f>Données!AN200</f>
        <v>0</v>
      </c>
      <c r="K200" s="198">
        <f t="shared" si="27"/>
        <v>189085.86771349865</v>
      </c>
      <c r="L200" s="12">
        <f t="shared" si="28"/>
        <v>0</v>
      </c>
      <c r="M200" s="289">
        <f t="shared" si="29"/>
        <v>0</v>
      </c>
      <c r="O200" s="42">
        <f t="shared" si="30"/>
        <v>0</v>
      </c>
      <c r="P200" s="247"/>
      <c r="Q200" s="211"/>
      <c r="R200" s="211"/>
      <c r="S200" s="211"/>
      <c r="T200" s="211"/>
      <c r="U200" s="211"/>
      <c r="AF200" s="11"/>
      <c r="AG200" s="11"/>
      <c r="AH200" s="11"/>
      <c r="AI200" s="11"/>
      <c r="AJ200" s="11"/>
      <c r="AK200" s="11"/>
      <c r="AL200" s="11"/>
    </row>
    <row r="201" spans="1:38" x14ac:dyDescent="0.25">
      <c r="A201" s="38">
        <f>+Données!A201</f>
        <v>5730</v>
      </c>
      <c r="B201" s="229" t="str">
        <f>+Données!B201</f>
        <v>Trélex</v>
      </c>
      <c r="C201" s="220">
        <f>+Ecrêtage!C201</f>
        <v>121414.34176176177</v>
      </c>
      <c r="D201" s="218"/>
      <c r="E201" s="220">
        <f>Données!AF201+Données!AG201+Données!AH201</f>
        <v>0</v>
      </c>
      <c r="F201" s="218">
        <f t="shared" si="24"/>
        <v>971314.73409409414</v>
      </c>
      <c r="G201" s="8">
        <f t="shared" si="25"/>
        <v>0</v>
      </c>
      <c r="H201" s="289">
        <f t="shared" si="26"/>
        <v>0</v>
      </c>
      <c r="J201" s="8">
        <f>Données!AN201</f>
        <v>0</v>
      </c>
      <c r="K201" s="198">
        <f t="shared" si="27"/>
        <v>121414.34176176177</v>
      </c>
      <c r="L201" s="12">
        <f t="shared" si="28"/>
        <v>0</v>
      </c>
      <c r="M201" s="289">
        <f t="shared" si="29"/>
        <v>0</v>
      </c>
      <c r="O201" s="42">
        <f t="shared" si="30"/>
        <v>0</v>
      </c>
      <c r="P201" s="247"/>
      <c r="Q201" s="211"/>
      <c r="R201" s="211"/>
      <c r="S201" s="211"/>
      <c r="T201" s="211"/>
      <c r="U201" s="211"/>
      <c r="AF201" s="11"/>
      <c r="AG201" s="11"/>
      <c r="AH201" s="11"/>
      <c r="AI201" s="11"/>
      <c r="AJ201" s="11"/>
      <c r="AK201" s="11"/>
      <c r="AL201" s="11"/>
    </row>
    <row r="202" spans="1:38" x14ac:dyDescent="0.25">
      <c r="A202" s="38">
        <f>+Données!A202</f>
        <v>5731</v>
      </c>
      <c r="B202" s="229" t="str">
        <f>+Données!B202</f>
        <v>Le Vaud</v>
      </c>
      <c r="C202" s="220">
        <f>+Ecrêtage!C202</f>
        <v>69610.558648648643</v>
      </c>
      <c r="D202" s="218"/>
      <c r="E202" s="220">
        <f>Données!AF202+Données!AG202+Données!AH202</f>
        <v>590409</v>
      </c>
      <c r="F202" s="218">
        <f t="shared" si="24"/>
        <v>556884.46918918914</v>
      </c>
      <c r="G202" s="8">
        <f t="shared" si="25"/>
        <v>33524.530810810858</v>
      </c>
      <c r="H202" s="289">
        <f t="shared" si="26"/>
        <v>-25143.398108108144</v>
      </c>
      <c r="J202" s="8">
        <f>Données!AN202</f>
        <v>-7944</v>
      </c>
      <c r="K202" s="198">
        <f t="shared" si="27"/>
        <v>69610.558648648643</v>
      </c>
      <c r="L202" s="12">
        <f t="shared" si="28"/>
        <v>0</v>
      </c>
      <c r="M202" s="289">
        <f t="shared" si="29"/>
        <v>0</v>
      </c>
      <c r="O202" s="42">
        <f t="shared" si="30"/>
        <v>-25143.398108108144</v>
      </c>
      <c r="P202" s="247"/>
      <c r="Q202" s="211"/>
      <c r="R202" s="211"/>
      <c r="S202" s="211"/>
      <c r="T202" s="211"/>
      <c r="U202" s="211"/>
      <c r="AF202" s="11"/>
      <c r="AG202" s="11"/>
      <c r="AH202" s="11"/>
      <c r="AI202" s="11"/>
      <c r="AJ202" s="11"/>
      <c r="AK202" s="11"/>
      <c r="AL202" s="11"/>
    </row>
    <row r="203" spans="1:38" x14ac:dyDescent="0.25">
      <c r="A203" s="38">
        <f>+Données!A203</f>
        <v>5732</v>
      </c>
      <c r="B203" s="229" t="str">
        <f>+Données!B203</f>
        <v>Vich</v>
      </c>
      <c r="C203" s="220">
        <f>+Ecrêtage!C203</f>
        <v>79861.73920634923</v>
      </c>
      <c r="D203" s="218"/>
      <c r="E203" s="220">
        <f>Données!AF203+Données!AG203+Données!AH203</f>
        <v>0</v>
      </c>
      <c r="F203" s="218">
        <f t="shared" si="24"/>
        <v>638893.91365079384</v>
      </c>
      <c r="G203" s="8">
        <f t="shared" si="25"/>
        <v>0</v>
      </c>
      <c r="H203" s="289">
        <f t="shared" si="26"/>
        <v>0</v>
      </c>
      <c r="J203" s="8">
        <f>Données!AN203</f>
        <v>0</v>
      </c>
      <c r="K203" s="198">
        <f t="shared" si="27"/>
        <v>79861.73920634923</v>
      </c>
      <c r="L203" s="12">
        <f t="shared" si="28"/>
        <v>0</v>
      </c>
      <c r="M203" s="289">
        <f t="shared" si="29"/>
        <v>0</v>
      </c>
      <c r="O203" s="42">
        <f t="shared" si="30"/>
        <v>0</v>
      </c>
      <c r="P203" s="247"/>
      <c r="Q203" s="211"/>
      <c r="R203" s="211"/>
      <c r="S203" s="211"/>
      <c r="T203" s="211"/>
      <c r="U203" s="211"/>
      <c r="AF203" s="11"/>
      <c r="AG203" s="11"/>
      <c r="AH203" s="11"/>
      <c r="AI203" s="11"/>
      <c r="AJ203" s="11"/>
      <c r="AK203" s="11"/>
      <c r="AL203" s="11"/>
    </row>
    <row r="204" spans="1:38" x14ac:dyDescent="0.25">
      <c r="A204" s="38">
        <f>+Données!A204</f>
        <v>5741</v>
      </c>
      <c r="B204" s="229" t="str">
        <f>+Données!B204</f>
        <v>L'Abergement</v>
      </c>
      <c r="C204" s="220">
        <f>+Ecrêtage!C204</f>
        <v>10833.904395833331</v>
      </c>
      <c r="D204" s="218"/>
      <c r="E204" s="220">
        <f>Données!AF204+Données!AG204+Données!AH204</f>
        <v>218670</v>
      </c>
      <c r="F204" s="218">
        <f t="shared" si="24"/>
        <v>86671.235166666651</v>
      </c>
      <c r="G204" s="8">
        <f t="shared" si="25"/>
        <v>131998.76483333335</v>
      </c>
      <c r="H204" s="289">
        <f t="shared" si="26"/>
        <v>-98999.073625000019</v>
      </c>
      <c r="J204" s="8">
        <f>Données!AN204</f>
        <v>30512</v>
      </c>
      <c r="K204" s="198">
        <f t="shared" si="27"/>
        <v>10833.904395833331</v>
      </c>
      <c r="L204" s="12">
        <f t="shared" si="28"/>
        <v>19678.095604166669</v>
      </c>
      <c r="M204" s="289">
        <f t="shared" si="29"/>
        <v>-14758.571703125002</v>
      </c>
      <c r="O204" s="42">
        <f t="shared" si="30"/>
        <v>-113757.64532812501</v>
      </c>
      <c r="P204" s="247"/>
      <c r="Q204" s="211"/>
      <c r="R204" s="211"/>
      <c r="S204" s="211"/>
      <c r="T204" s="211"/>
      <c r="U204" s="211"/>
      <c r="AF204" s="11"/>
      <c r="AG204" s="11"/>
      <c r="AH204" s="11"/>
      <c r="AI204" s="11"/>
      <c r="AJ204" s="11"/>
      <c r="AK204" s="11"/>
      <c r="AL204" s="11"/>
    </row>
    <row r="205" spans="1:38" x14ac:dyDescent="0.25">
      <c r="A205" s="38">
        <f>+Données!A205</f>
        <v>5742</v>
      </c>
      <c r="B205" s="229" t="str">
        <f>+Données!B205</f>
        <v>Agiez</v>
      </c>
      <c r="C205" s="220">
        <f>+Ecrêtage!C205</f>
        <v>9049.0364473684222</v>
      </c>
      <c r="D205" s="218"/>
      <c r="E205" s="220">
        <f>Données!AF205+Données!AG205+Données!AH205</f>
        <v>106595</v>
      </c>
      <c r="F205" s="218">
        <f t="shared" si="24"/>
        <v>72392.291578947377</v>
      </c>
      <c r="G205" s="8">
        <f t="shared" si="25"/>
        <v>34202.708421052623</v>
      </c>
      <c r="H205" s="289">
        <f t="shared" si="26"/>
        <v>-25652.031315789467</v>
      </c>
      <c r="J205" s="8">
        <f>Données!AN205</f>
        <v>30218</v>
      </c>
      <c r="K205" s="198">
        <f t="shared" si="27"/>
        <v>9049.0364473684222</v>
      </c>
      <c r="L205" s="12">
        <f t="shared" si="28"/>
        <v>21168.963552631576</v>
      </c>
      <c r="M205" s="289">
        <f t="shared" si="29"/>
        <v>-15876.722664473682</v>
      </c>
      <c r="O205" s="42">
        <f t="shared" si="30"/>
        <v>-41528.753980263151</v>
      </c>
      <c r="P205" s="247"/>
      <c r="Q205" s="211"/>
      <c r="R205" s="211"/>
      <c r="S205" s="211"/>
      <c r="T205" s="211"/>
      <c r="U205" s="211"/>
      <c r="AF205" s="11"/>
      <c r="AG205" s="11"/>
      <c r="AH205" s="11"/>
      <c r="AI205" s="11"/>
      <c r="AJ205" s="11"/>
      <c r="AK205" s="11"/>
      <c r="AL205" s="11"/>
    </row>
    <row r="206" spans="1:38" x14ac:dyDescent="0.25">
      <c r="A206" s="38">
        <f>+Données!A206</f>
        <v>5743</v>
      </c>
      <c r="B206" s="229" t="str">
        <f>+Données!B206</f>
        <v>Arnex-sur-Orbe</v>
      </c>
      <c r="C206" s="220">
        <f>+Ecrêtage!C206</f>
        <v>19423.544507042254</v>
      </c>
      <c r="D206" s="218"/>
      <c r="E206" s="220">
        <f>Données!AF206+Données!AG206+Données!AH206</f>
        <v>277700</v>
      </c>
      <c r="F206" s="218">
        <f t="shared" si="24"/>
        <v>155388.35605633803</v>
      </c>
      <c r="G206" s="8">
        <f t="shared" si="25"/>
        <v>122311.64394366197</v>
      </c>
      <c r="H206" s="289">
        <f t="shared" si="26"/>
        <v>-91733.732957746484</v>
      </c>
      <c r="J206" s="8">
        <f>Données!AN206</f>
        <v>5162</v>
      </c>
      <c r="K206" s="198">
        <f t="shared" si="27"/>
        <v>19423.544507042254</v>
      </c>
      <c r="L206" s="12">
        <f t="shared" si="28"/>
        <v>0</v>
      </c>
      <c r="M206" s="289">
        <f t="shared" si="29"/>
        <v>0</v>
      </c>
      <c r="O206" s="42">
        <f t="shared" si="30"/>
        <v>-91733.732957746484</v>
      </c>
      <c r="P206" s="247"/>
      <c r="Q206" s="211"/>
      <c r="R206" s="211"/>
      <c r="S206" s="211"/>
      <c r="T206" s="211"/>
      <c r="U206" s="211"/>
      <c r="AF206" s="11"/>
      <c r="AG206" s="11"/>
      <c r="AH206" s="11"/>
      <c r="AI206" s="11"/>
      <c r="AJ206" s="11"/>
      <c r="AK206" s="11"/>
      <c r="AL206" s="11"/>
    </row>
    <row r="207" spans="1:38" x14ac:dyDescent="0.25">
      <c r="A207" s="38">
        <f>+Données!A207</f>
        <v>5744</v>
      </c>
      <c r="B207" s="229" t="str">
        <f>+Données!B207</f>
        <v>Ballaigues</v>
      </c>
      <c r="C207" s="220">
        <f>+Ecrêtage!C207</f>
        <v>54105.101538461538</v>
      </c>
      <c r="D207" s="218"/>
      <c r="E207" s="220">
        <f>Données!AF207+Données!AG207+Données!AH207</f>
        <v>854955</v>
      </c>
      <c r="F207" s="218">
        <f t="shared" si="24"/>
        <v>432840.81230769231</v>
      </c>
      <c r="G207" s="8">
        <f t="shared" si="25"/>
        <v>422114.18769230769</v>
      </c>
      <c r="H207" s="289">
        <f t="shared" si="26"/>
        <v>-316585.64076923078</v>
      </c>
      <c r="J207" s="8">
        <f>Données!AN207</f>
        <v>56329</v>
      </c>
      <c r="K207" s="198">
        <f t="shared" si="27"/>
        <v>54105.101538461538</v>
      </c>
      <c r="L207" s="12">
        <f t="shared" si="28"/>
        <v>2223.8984615384616</v>
      </c>
      <c r="M207" s="289">
        <f t="shared" si="29"/>
        <v>-1667.9238461538462</v>
      </c>
      <c r="O207" s="42">
        <f t="shared" si="30"/>
        <v>-318253.56461538462</v>
      </c>
      <c r="P207" s="247"/>
      <c r="Q207" s="211"/>
      <c r="R207" s="211"/>
      <c r="S207" s="211"/>
      <c r="T207" s="211"/>
      <c r="U207" s="211"/>
      <c r="AF207" s="11"/>
      <c r="AG207" s="11"/>
      <c r="AH207" s="11"/>
      <c r="AI207" s="11"/>
      <c r="AJ207" s="11"/>
      <c r="AK207" s="11"/>
      <c r="AL207" s="11"/>
    </row>
    <row r="208" spans="1:38" x14ac:dyDescent="0.25">
      <c r="A208" s="38">
        <f>+Données!A208</f>
        <v>5745</v>
      </c>
      <c r="B208" s="229" t="str">
        <f>+Données!B208</f>
        <v>Baulmes</v>
      </c>
      <c r="C208" s="220">
        <f>+Ecrêtage!C208</f>
        <v>27705.104967320265</v>
      </c>
      <c r="D208" s="218"/>
      <c r="E208" s="220">
        <f>Données!AF208+Données!AG208+Données!AH208</f>
        <v>499533</v>
      </c>
      <c r="F208" s="218">
        <f t="shared" si="24"/>
        <v>221640.83973856212</v>
      </c>
      <c r="G208" s="8">
        <f t="shared" si="25"/>
        <v>277892.16026143788</v>
      </c>
      <c r="H208" s="289">
        <f t="shared" si="26"/>
        <v>-208419.12019607841</v>
      </c>
      <c r="J208" s="8">
        <f>Données!AN208</f>
        <v>244048</v>
      </c>
      <c r="K208" s="198">
        <f t="shared" si="27"/>
        <v>27705.104967320265</v>
      </c>
      <c r="L208" s="12">
        <f t="shared" si="28"/>
        <v>216342.89503267972</v>
      </c>
      <c r="M208" s="289">
        <f t="shared" si="29"/>
        <v>-162257.1712745098</v>
      </c>
      <c r="O208" s="42">
        <f t="shared" si="30"/>
        <v>-370676.29147058818</v>
      </c>
      <c r="P208" s="247"/>
      <c r="Q208" s="211"/>
      <c r="R208" s="211"/>
      <c r="S208" s="211"/>
      <c r="T208" s="211"/>
      <c r="U208" s="211"/>
      <c r="AF208" s="11"/>
      <c r="AG208" s="11"/>
      <c r="AH208" s="11"/>
      <c r="AI208" s="11"/>
      <c r="AJ208" s="11"/>
      <c r="AK208" s="11"/>
      <c r="AL208" s="11"/>
    </row>
    <row r="209" spans="1:38" x14ac:dyDescent="0.25">
      <c r="A209" s="38">
        <f>+Données!A209</f>
        <v>5746</v>
      </c>
      <c r="B209" s="229" t="str">
        <f>+Données!B209</f>
        <v>Bavois</v>
      </c>
      <c r="C209" s="220">
        <f>+Ecrêtage!C209</f>
        <v>29513.59275462963</v>
      </c>
      <c r="D209" s="218"/>
      <c r="E209" s="220">
        <f>Données!AF209+Données!AG209+Données!AH209</f>
        <v>562803</v>
      </c>
      <c r="F209" s="218">
        <f t="shared" si="24"/>
        <v>236108.74203703704</v>
      </c>
      <c r="G209" s="8">
        <f t="shared" si="25"/>
        <v>326694.25796296296</v>
      </c>
      <c r="H209" s="289">
        <f t="shared" si="26"/>
        <v>-245020.69347222222</v>
      </c>
      <c r="J209" s="8">
        <f>Données!AN209</f>
        <v>53549</v>
      </c>
      <c r="K209" s="198">
        <f t="shared" si="27"/>
        <v>29513.59275462963</v>
      </c>
      <c r="L209" s="12">
        <f t="shared" si="28"/>
        <v>24035.40724537037</v>
      </c>
      <c r="M209" s="289">
        <f t="shared" si="29"/>
        <v>-18026.555434027778</v>
      </c>
      <c r="O209" s="42">
        <f t="shared" si="30"/>
        <v>-263047.24890625</v>
      </c>
      <c r="P209" s="247"/>
      <c r="Q209" s="211"/>
      <c r="R209" s="211"/>
      <c r="S209" s="211"/>
      <c r="T209" s="211"/>
      <c r="U209" s="211"/>
      <c r="AF209" s="11"/>
      <c r="AG209" s="11"/>
      <c r="AH209" s="11"/>
      <c r="AI209" s="11"/>
      <c r="AJ209" s="11"/>
      <c r="AK209" s="11"/>
      <c r="AL209" s="11"/>
    </row>
    <row r="210" spans="1:38" x14ac:dyDescent="0.25">
      <c r="A210" s="38">
        <f>+Données!A210</f>
        <v>5747</v>
      </c>
      <c r="B210" s="229" t="str">
        <f>+Données!B210</f>
        <v>Bofflens</v>
      </c>
      <c r="C210" s="220">
        <f>+Ecrêtage!C210</f>
        <v>5778.0378260869547</v>
      </c>
      <c r="D210" s="218"/>
      <c r="E210" s="220">
        <f>Données!AF210+Données!AG210+Données!AH210</f>
        <v>73733</v>
      </c>
      <c r="F210" s="218">
        <f t="shared" si="24"/>
        <v>46224.302608695638</v>
      </c>
      <c r="G210" s="8">
        <f t="shared" si="25"/>
        <v>27508.697391304362</v>
      </c>
      <c r="H210" s="289">
        <f t="shared" si="26"/>
        <v>-20631.523043478272</v>
      </c>
      <c r="J210" s="8">
        <f>Données!AN210</f>
        <v>-952</v>
      </c>
      <c r="K210" s="198">
        <f t="shared" si="27"/>
        <v>5778.0378260869547</v>
      </c>
      <c r="L210" s="12">
        <f t="shared" si="28"/>
        <v>0</v>
      </c>
      <c r="M210" s="289">
        <f t="shared" si="29"/>
        <v>0</v>
      </c>
      <c r="O210" s="42">
        <f t="shared" si="30"/>
        <v>-20631.523043478272</v>
      </c>
      <c r="P210" s="247"/>
      <c r="Q210" s="211"/>
      <c r="R210" s="211"/>
      <c r="S210" s="211"/>
      <c r="T210" s="211"/>
      <c r="U210" s="211"/>
      <c r="AF210" s="11"/>
      <c r="AG210" s="11"/>
      <c r="AH210" s="11"/>
      <c r="AI210" s="11"/>
      <c r="AJ210" s="11"/>
      <c r="AK210" s="11"/>
      <c r="AL210" s="11"/>
    </row>
    <row r="211" spans="1:38" x14ac:dyDescent="0.25">
      <c r="A211" s="38">
        <f>+Données!A211</f>
        <v>5748</v>
      </c>
      <c r="B211" s="229" t="str">
        <f>+Données!B211</f>
        <v>Bretonnières</v>
      </c>
      <c r="C211" s="220">
        <f>+Ecrêtage!C211</f>
        <v>6762.4759338061467</v>
      </c>
      <c r="D211" s="218"/>
      <c r="E211" s="220">
        <f>Données!AF211+Données!AG211+Données!AH211</f>
        <v>150438</v>
      </c>
      <c r="F211" s="218">
        <f t="shared" si="24"/>
        <v>54099.807470449174</v>
      </c>
      <c r="G211" s="8">
        <f t="shared" si="25"/>
        <v>96338.192529550826</v>
      </c>
      <c r="H211" s="289">
        <f t="shared" si="26"/>
        <v>-72253.644397163123</v>
      </c>
      <c r="J211" s="8">
        <f>Données!AN211</f>
        <v>20063</v>
      </c>
      <c r="K211" s="198">
        <f t="shared" si="27"/>
        <v>6762.4759338061467</v>
      </c>
      <c r="L211" s="12">
        <f t="shared" si="28"/>
        <v>13300.524066193853</v>
      </c>
      <c r="M211" s="289">
        <f t="shared" si="29"/>
        <v>-9975.3930496453904</v>
      </c>
      <c r="O211" s="42">
        <f t="shared" si="30"/>
        <v>-82229.037446808507</v>
      </c>
      <c r="P211" s="247"/>
      <c r="Q211" s="211"/>
      <c r="R211" s="211"/>
      <c r="S211" s="211"/>
      <c r="T211" s="211"/>
      <c r="U211" s="211"/>
      <c r="AF211" s="11"/>
      <c r="AG211" s="11"/>
      <c r="AH211" s="11"/>
      <c r="AI211" s="11"/>
      <c r="AJ211" s="11"/>
      <c r="AK211" s="11"/>
      <c r="AL211" s="11"/>
    </row>
    <row r="212" spans="1:38" x14ac:dyDescent="0.25">
      <c r="A212" s="38">
        <f>+Données!A212</f>
        <v>5749</v>
      </c>
      <c r="B212" s="229" t="str">
        <f>+Données!B212</f>
        <v>Chavornay</v>
      </c>
      <c r="C212" s="220">
        <f>+Ecrêtage!C212</f>
        <v>144692.07858156026</v>
      </c>
      <c r="D212" s="218"/>
      <c r="E212" s="220">
        <f>Données!AF212+Données!AG212+Données!AH212</f>
        <v>2181972</v>
      </c>
      <c r="F212" s="218">
        <f t="shared" si="24"/>
        <v>1157536.6286524821</v>
      </c>
      <c r="G212" s="8">
        <f t="shared" si="25"/>
        <v>1024435.3713475179</v>
      </c>
      <c r="H212" s="289">
        <f t="shared" si="26"/>
        <v>-768326.52851063851</v>
      </c>
      <c r="J212" s="8">
        <f>Données!AN212</f>
        <v>192730</v>
      </c>
      <c r="K212" s="198">
        <f t="shared" si="27"/>
        <v>144692.07858156026</v>
      </c>
      <c r="L212" s="12">
        <f t="shared" si="28"/>
        <v>48037.921418439742</v>
      </c>
      <c r="M212" s="289">
        <f t="shared" si="29"/>
        <v>-36028.441063829807</v>
      </c>
      <c r="O212" s="42">
        <f t="shared" si="30"/>
        <v>-804354.96957446833</v>
      </c>
      <c r="P212" s="247"/>
      <c r="Q212" s="211"/>
      <c r="R212" s="211"/>
      <c r="S212" s="211"/>
      <c r="T212" s="211"/>
      <c r="U212" s="211"/>
      <c r="AF212" s="11"/>
      <c r="AG212" s="11"/>
      <c r="AH212" s="11"/>
      <c r="AI212" s="11"/>
      <c r="AJ212" s="11"/>
      <c r="AK212" s="11"/>
      <c r="AL212" s="11"/>
    </row>
    <row r="213" spans="1:38" x14ac:dyDescent="0.25">
      <c r="A213" s="38">
        <f>+Données!A213</f>
        <v>5750</v>
      </c>
      <c r="B213" s="229" t="str">
        <f>+Données!B213</f>
        <v>Les Clées</v>
      </c>
      <c r="C213" s="220">
        <f>+Ecrêtage!C213</f>
        <v>5460.4465833333343</v>
      </c>
      <c r="D213" s="218"/>
      <c r="E213" s="220">
        <f>Données!AF213+Données!AG213+Données!AH213</f>
        <v>89669</v>
      </c>
      <c r="F213" s="218">
        <f t="shared" si="24"/>
        <v>43683.572666666674</v>
      </c>
      <c r="G213" s="8">
        <f t="shared" si="25"/>
        <v>45985.427333333326</v>
      </c>
      <c r="H213" s="289">
        <f t="shared" si="26"/>
        <v>-34489.070499999994</v>
      </c>
      <c r="J213" s="8">
        <f>Données!AN213</f>
        <v>31491</v>
      </c>
      <c r="K213" s="198">
        <f t="shared" si="27"/>
        <v>5460.4465833333343</v>
      </c>
      <c r="L213" s="12">
        <f t="shared" si="28"/>
        <v>26030.553416666666</v>
      </c>
      <c r="M213" s="289">
        <f t="shared" si="29"/>
        <v>-19522.9150625</v>
      </c>
      <c r="O213" s="42">
        <f t="shared" si="30"/>
        <v>-54011.985562499991</v>
      </c>
      <c r="P213" s="247"/>
      <c r="Q213" s="211"/>
      <c r="R213" s="211"/>
      <c r="S213" s="211"/>
      <c r="T213" s="211"/>
      <c r="U213" s="211"/>
      <c r="AF213" s="11"/>
      <c r="AG213" s="11"/>
      <c r="AH213" s="11"/>
      <c r="AI213" s="11"/>
      <c r="AJ213" s="11"/>
      <c r="AK213" s="11"/>
      <c r="AL213" s="11"/>
    </row>
    <row r="214" spans="1:38" x14ac:dyDescent="0.25">
      <c r="A214" s="38">
        <f>+Données!A214</f>
        <v>5752</v>
      </c>
      <c r="B214" s="229" t="str">
        <f>+Données!B214</f>
        <v>Croy</v>
      </c>
      <c r="C214" s="220">
        <f>+Ecrêtage!C214</f>
        <v>10204.254034749034</v>
      </c>
      <c r="D214" s="218"/>
      <c r="E214" s="220">
        <f>Données!AF214+Données!AG214+Données!AH214</f>
        <v>426501</v>
      </c>
      <c r="F214" s="218">
        <f t="shared" si="24"/>
        <v>81634.032277992272</v>
      </c>
      <c r="G214" s="8">
        <f t="shared" si="25"/>
        <v>344866.96772200771</v>
      </c>
      <c r="H214" s="289">
        <f t="shared" si="26"/>
        <v>-258650.22579150577</v>
      </c>
      <c r="J214" s="8">
        <f>Données!AN214</f>
        <v>9612</v>
      </c>
      <c r="K214" s="198">
        <f t="shared" si="27"/>
        <v>10204.254034749034</v>
      </c>
      <c r="L214" s="12">
        <f t="shared" si="28"/>
        <v>0</v>
      </c>
      <c r="M214" s="289">
        <f t="shared" si="29"/>
        <v>0</v>
      </c>
      <c r="O214" s="42">
        <f t="shared" si="30"/>
        <v>-258650.22579150577</v>
      </c>
      <c r="P214" s="247"/>
      <c r="Q214" s="211"/>
      <c r="R214" s="211"/>
      <c r="S214" s="211"/>
      <c r="T214" s="211"/>
      <c r="U214" s="211"/>
      <c r="AF214" s="11"/>
      <c r="AG214" s="11"/>
      <c r="AH214" s="11"/>
      <c r="AI214" s="11"/>
      <c r="AJ214" s="11"/>
      <c r="AK214" s="11"/>
      <c r="AL214" s="11"/>
    </row>
    <row r="215" spans="1:38" x14ac:dyDescent="0.25">
      <c r="A215" s="38">
        <f>+Données!A215</f>
        <v>5754</v>
      </c>
      <c r="B215" s="229" t="str">
        <f>+Données!B215</f>
        <v>Juriens</v>
      </c>
      <c r="C215" s="220">
        <f>+Ecrêtage!C215</f>
        <v>8633.2483544303759</v>
      </c>
      <c r="D215" s="218"/>
      <c r="E215" s="220">
        <f>Données!AF215+Données!AG215+Données!AH215</f>
        <v>112151</v>
      </c>
      <c r="F215" s="218">
        <f t="shared" si="24"/>
        <v>69065.986835443007</v>
      </c>
      <c r="G215" s="8">
        <f t="shared" si="25"/>
        <v>43085.013164556993</v>
      </c>
      <c r="H215" s="289">
        <f t="shared" si="26"/>
        <v>-32313.759873417745</v>
      </c>
      <c r="J215" s="8">
        <f>Données!AN215</f>
        <v>-41430</v>
      </c>
      <c r="K215" s="198">
        <f t="shared" si="27"/>
        <v>8633.2483544303759</v>
      </c>
      <c r="L215" s="12">
        <f t="shared" si="28"/>
        <v>0</v>
      </c>
      <c r="M215" s="289">
        <f t="shared" si="29"/>
        <v>0</v>
      </c>
      <c r="O215" s="42">
        <f t="shared" si="30"/>
        <v>-32313.759873417745</v>
      </c>
      <c r="P215" s="247"/>
      <c r="Q215" s="211"/>
      <c r="R215" s="211"/>
      <c r="S215" s="211"/>
      <c r="T215" s="211"/>
      <c r="U215" s="211"/>
      <c r="AF215" s="11"/>
      <c r="AG215" s="11"/>
      <c r="AH215" s="11"/>
      <c r="AI215" s="11"/>
      <c r="AJ215" s="11"/>
      <c r="AK215" s="11"/>
      <c r="AL215" s="11"/>
    </row>
    <row r="216" spans="1:38" x14ac:dyDescent="0.25">
      <c r="A216" s="38">
        <f>+Données!A216</f>
        <v>5755</v>
      </c>
      <c r="B216" s="229" t="str">
        <f>+Données!B216</f>
        <v>Lignerolle</v>
      </c>
      <c r="C216" s="220">
        <f>+Ecrêtage!C216</f>
        <v>10920.942602365787</v>
      </c>
      <c r="D216" s="218"/>
      <c r="E216" s="220">
        <f>Données!AF216+Données!AG216+Données!AH216</f>
        <v>225093</v>
      </c>
      <c r="F216" s="218">
        <f t="shared" si="24"/>
        <v>87367.540818926296</v>
      </c>
      <c r="G216" s="8">
        <f t="shared" si="25"/>
        <v>137725.4591810737</v>
      </c>
      <c r="H216" s="289">
        <f t="shared" si="26"/>
        <v>-103294.09438580528</v>
      </c>
      <c r="J216" s="8">
        <f>Données!AN216</f>
        <v>36724</v>
      </c>
      <c r="K216" s="198">
        <f t="shared" si="27"/>
        <v>10920.942602365787</v>
      </c>
      <c r="L216" s="12">
        <f t="shared" si="28"/>
        <v>25803.057397634213</v>
      </c>
      <c r="M216" s="289">
        <f t="shared" si="29"/>
        <v>-19352.29304822566</v>
      </c>
      <c r="O216" s="42">
        <f t="shared" si="30"/>
        <v>-122646.38743403094</v>
      </c>
      <c r="P216" s="247"/>
      <c r="Q216" s="211"/>
      <c r="R216" s="211"/>
      <c r="S216" s="211"/>
      <c r="T216" s="211"/>
      <c r="U216" s="211"/>
      <c r="AF216" s="11"/>
      <c r="AG216" s="11"/>
      <c r="AH216" s="11"/>
      <c r="AI216" s="11"/>
      <c r="AJ216" s="11"/>
      <c r="AK216" s="11"/>
      <c r="AL216" s="11"/>
    </row>
    <row r="217" spans="1:38" x14ac:dyDescent="0.25">
      <c r="A217" s="38">
        <f>+Données!A217</f>
        <v>5756</v>
      </c>
      <c r="B217" s="229" t="str">
        <f>+Données!B217</f>
        <v>Montcherand</v>
      </c>
      <c r="C217" s="220">
        <f>+Ecrêtage!C217</f>
        <v>17503.400416666664</v>
      </c>
      <c r="D217" s="218"/>
      <c r="E217" s="220">
        <f>Données!AF217+Données!AG217+Données!AH217</f>
        <v>214089</v>
      </c>
      <c r="F217" s="218">
        <f t="shared" si="24"/>
        <v>140027.20333333331</v>
      </c>
      <c r="G217" s="8">
        <f t="shared" si="25"/>
        <v>74061.796666666691</v>
      </c>
      <c r="H217" s="289">
        <f t="shared" si="26"/>
        <v>-55546.347500000018</v>
      </c>
      <c r="J217" s="8">
        <f>Données!AN217</f>
        <v>9648</v>
      </c>
      <c r="K217" s="198">
        <f t="shared" si="27"/>
        <v>17503.400416666664</v>
      </c>
      <c r="L217" s="12">
        <f t="shared" si="28"/>
        <v>0</v>
      </c>
      <c r="M217" s="289">
        <f t="shared" si="29"/>
        <v>0</v>
      </c>
      <c r="O217" s="42">
        <f t="shared" si="30"/>
        <v>-55546.347500000018</v>
      </c>
      <c r="P217" s="247"/>
      <c r="Q217" s="211"/>
      <c r="R217" s="211"/>
      <c r="S217" s="211"/>
      <c r="T217" s="211"/>
      <c r="U217" s="211"/>
      <c r="AF217" s="11"/>
      <c r="AG217" s="11"/>
      <c r="AH217" s="11"/>
      <c r="AI217" s="11"/>
      <c r="AJ217" s="11"/>
      <c r="AK217" s="11"/>
      <c r="AL217" s="11"/>
    </row>
    <row r="218" spans="1:38" x14ac:dyDescent="0.25">
      <c r="A218" s="38">
        <f>+Données!A218</f>
        <v>5757</v>
      </c>
      <c r="B218" s="229" t="str">
        <f>+Données!B218</f>
        <v>Orbe</v>
      </c>
      <c r="C218" s="220">
        <f>+Ecrêtage!C218</f>
        <v>217762.06927152316</v>
      </c>
      <c r="D218" s="218"/>
      <c r="E218" s="220">
        <f>Données!AF218+Données!AG218+Données!AH218</f>
        <v>4471810</v>
      </c>
      <c r="F218" s="218">
        <f t="shared" si="24"/>
        <v>1742096.5541721852</v>
      </c>
      <c r="G218" s="8">
        <f t="shared" si="25"/>
        <v>2729713.4458278148</v>
      </c>
      <c r="H218" s="289">
        <f t="shared" si="26"/>
        <v>-2047285.0843708611</v>
      </c>
      <c r="J218" s="8">
        <f>Données!AN218</f>
        <v>100036</v>
      </c>
      <c r="K218" s="198">
        <f t="shared" si="27"/>
        <v>217762.06927152316</v>
      </c>
      <c r="L218" s="12">
        <f t="shared" si="28"/>
        <v>0</v>
      </c>
      <c r="M218" s="289">
        <f t="shared" si="29"/>
        <v>0</v>
      </c>
      <c r="O218" s="42">
        <f t="shared" si="30"/>
        <v>-2047285.0843708611</v>
      </c>
      <c r="P218" s="247"/>
      <c r="Q218" s="211"/>
      <c r="R218" s="211"/>
      <c r="S218" s="211"/>
      <c r="T218" s="211"/>
      <c r="U218" s="211"/>
      <c r="AF218" s="11"/>
      <c r="AG218" s="11"/>
      <c r="AH218" s="11"/>
      <c r="AI218" s="11"/>
      <c r="AJ218" s="11"/>
      <c r="AK218" s="11"/>
      <c r="AL218" s="11"/>
    </row>
    <row r="219" spans="1:38" x14ac:dyDescent="0.25">
      <c r="A219" s="38">
        <f>+Données!A219</f>
        <v>5758</v>
      </c>
      <c r="B219" s="229" t="str">
        <f>+Données!B219</f>
        <v>La Praz</v>
      </c>
      <c r="C219" s="220">
        <f>+Ecrêtage!C219</f>
        <v>4500.7334939759048</v>
      </c>
      <c r="D219" s="218"/>
      <c r="E219" s="220">
        <f>Données!AF219+Données!AG219+Données!AH219</f>
        <v>124187</v>
      </c>
      <c r="F219" s="218">
        <f t="shared" si="24"/>
        <v>36005.867951807239</v>
      </c>
      <c r="G219" s="8">
        <f t="shared" si="25"/>
        <v>88181.132048192754</v>
      </c>
      <c r="H219" s="289">
        <f t="shared" si="26"/>
        <v>-66135.849036144558</v>
      </c>
      <c r="J219" s="8">
        <f>Données!AN219</f>
        <v>-18693</v>
      </c>
      <c r="K219" s="198">
        <f t="shared" si="27"/>
        <v>4500.7334939759048</v>
      </c>
      <c r="L219" s="12">
        <f t="shared" si="28"/>
        <v>0</v>
      </c>
      <c r="M219" s="289">
        <f t="shared" si="29"/>
        <v>0</v>
      </c>
      <c r="O219" s="42">
        <f t="shared" si="30"/>
        <v>-66135.849036144558</v>
      </c>
      <c r="P219" s="247"/>
      <c r="Q219" s="211"/>
      <c r="R219" s="211"/>
      <c r="S219" s="211"/>
      <c r="T219" s="211"/>
      <c r="U219" s="211"/>
      <c r="AF219" s="11"/>
      <c r="AG219" s="11"/>
      <c r="AH219" s="11"/>
      <c r="AI219" s="11"/>
      <c r="AJ219" s="11"/>
      <c r="AK219" s="11"/>
      <c r="AL219" s="11"/>
    </row>
    <row r="220" spans="1:38" x14ac:dyDescent="0.25">
      <c r="A220" s="38">
        <f>+Données!A220</f>
        <v>5759</v>
      </c>
      <c r="B220" s="229" t="str">
        <f>+Données!B220</f>
        <v>Premier</v>
      </c>
      <c r="C220" s="220">
        <f>+Ecrêtage!C220</f>
        <v>5667.0675471698114</v>
      </c>
      <c r="D220" s="218"/>
      <c r="E220" s="220">
        <f>Données!AF220+Données!AG220+Données!AH220</f>
        <v>92761</v>
      </c>
      <c r="F220" s="218">
        <f t="shared" si="24"/>
        <v>45336.540377358491</v>
      </c>
      <c r="G220" s="8">
        <f t="shared" si="25"/>
        <v>47424.459622641509</v>
      </c>
      <c r="H220" s="289">
        <f t="shared" si="26"/>
        <v>-35568.344716981133</v>
      </c>
      <c r="J220" s="8">
        <f>Données!AN220</f>
        <v>-83828</v>
      </c>
      <c r="K220" s="198">
        <f t="shared" si="27"/>
        <v>5667.0675471698114</v>
      </c>
      <c r="L220" s="12">
        <f t="shared" si="28"/>
        <v>0</v>
      </c>
      <c r="M220" s="289">
        <f t="shared" si="29"/>
        <v>0</v>
      </c>
      <c r="O220" s="42">
        <f t="shared" si="30"/>
        <v>-35568.344716981133</v>
      </c>
      <c r="P220" s="247"/>
      <c r="Q220" s="211"/>
      <c r="R220" s="211"/>
      <c r="S220" s="211"/>
      <c r="T220" s="211"/>
      <c r="U220" s="211"/>
      <c r="AF220" s="11"/>
      <c r="AG220" s="11"/>
      <c r="AH220" s="11"/>
      <c r="AI220" s="11"/>
      <c r="AJ220" s="11"/>
      <c r="AK220" s="11"/>
      <c r="AL220" s="11"/>
    </row>
    <row r="221" spans="1:38" x14ac:dyDescent="0.25">
      <c r="A221" s="38">
        <f>+Données!A221</f>
        <v>5760</v>
      </c>
      <c r="B221" s="229" t="str">
        <f>+Données!B221</f>
        <v>Rances</v>
      </c>
      <c r="C221" s="220">
        <f>+Ecrêtage!C221</f>
        <v>16308.735686274507</v>
      </c>
      <c r="D221" s="218"/>
      <c r="E221" s="220">
        <f>Données!AF221+Données!AG221+Données!AH221</f>
        <v>265011</v>
      </c>
      <c r="F221" s="218">
        <f t="shared" si="24"/>
        <v>130469.88549019606</v>
      </c>
      <c r="G221" s="8">
        <f t="shared" si="25"/>
        <v>134541.11450980394</v>
      </c>
      <c r="H221" s="289">
        <f t="shared" si="26"/>
        <v>-100905.83588235296</v>
      </c>
      <c r="J221" s="8">
        <f>Données!AN221</f>
        <v>86579</v>
      </c>
      <c r="K221" s="198">
        <f t="shared" si="27"/>
        <v>16308.735686274507</v>
      </c>
      <c r="L221" s="12">
        <f t="shared" si="28"/>
        <v>70270.264313725493</v>
      </c>
      <c r="M221" s="289">
        <f t="shared" si="29"/>
        <v>-52702.69823529412</v>
      </c>
      <c r="O221" s="42">
        <f t="shared" si="30"/>
        <v>-153608.53411764707</v>
      </c>
      <c r="P221" s="247"/>
      <c r="Q221" s="211"/>
      <c r="R221" s="211"/>
      <c r="S221" s="211"/>
      <c r="T221" s="211"/>
      <c r="U221" s="211"/>
      <c r="AF221" s="11"/>
      <c r="AG221" s="11"/>
      <c r="AH221" s="11"/>
      <c r="AI221" s="11"/>
      <c r="AJ221" s="11"/>
      <c r="AK221" s="11"/>
      <c r="AL221" s="11"/>
    </row>
    <row r="222" spans="1:38" x14ac:dyDescent="0.25">
      <c r="A222" s="38">
        <f>+Données!A222</f>
        <v>5761</v>
      </c>
      <c r="B222" s="229" t="str">
        <f>+Données!B222</f>
        <v>Romainmôtier-Envy</v>
      </c>
      <c r="C222" s="220">
        <f>+Ecrêtage!C222</f>
        <v>14407.779147025813</v>
      </c>
      <c r="D222" s="218"/>
      <c r="E222" s="220">
        <f>Données!AF222+Données!AG222+Données!AH222</f>
        <v>370244</v>
      </c>
      <c r="F222" s="218">
        <f t="shared" si="24"/>
        <v>115262.2331762065</v>
      </c>
      <c r="G222" s="8">
        <f t="shared" si="25"/>
        <v>254981.7668237935</v>
      </c>
      <c r="H222" s="289">
        <f t="shared" si="26"/>
        <v>-191236.32511784512</v>
      </c>
      <c r="J222" s="8">
        <f>Données!AN222</f>
        <v>10206</v>
      </c>
      <c r="K222" s="198">
        <f t="shared" si="27"/>
        <v>14407.779147025813</v>
      </c>
      <c r="L222" s="12">
        <f t="shared" si="28"/>
        <v>0</v>
      </c>
      <c r="M222" s="289">
        <f t="shared" si="29"/>
        <v>0</v>
      </c>
      <c r="O222" s="42">
        <f t="shared" si="30"/>
        <v>-191236.32511784512</v>
      </c>
      <c r="P222" s="247"/>
      <c r="Q222" s="211"/>
      <c r="R222" s="211"/>
      <c r="S222" s="211"/>
      <c r="T222" s="211"/>
      <c r="U222" s="211"/>
      <c r="AF222" s="11"/>
      <c r="AG222" s="11"/>
      <c r="AH222" s="11"/>
      <c r="AI222" s="11"/>
      <c r="AJ222" s="11"/>
      <c r="AK222" s="11"/>
      <c r="AL222" s="11"/>
    </row>
    <row r="223" spans="1:38" x14ac:dyDescent="0.25">
      <c r="A223" s="38">
        <f>+Données!A223</f>
        <v>5762</v>
      </c>
      <c r="B223" s="229" t="str">
        <f>+Données!B223</f>
        <v>Sergey</v>
      </c>
      <c r="C223" s="220">
        <f>+Ecrêtage!C223</f>
        <v>3741.4505128205124</v>
      </c>
      <c r="D223" s="218"/>
      <c r="E223" s="220">
        <f>Données!AF223+Données!AG223+Données!AH223</f>
        <v>83807</v>
      </c>
      <c r="F223" s="218">
        <f t="shared" si="24"/>
        <v>29931.604102564099</v>
      </c>
      <c r="G223" s="8">
        <f t="shared" si="25"/>
        <v>53875.395897435897</v>
      </c>
      <c r="H223" s="289">
        <f t="shared" si="26"/>
        <v>-40406.546923076923</v>
      </c>
      <c r="J223" s="8">
        <f>Données!AN223</f>
        <v>5655</v>
      </c>
      <c r="K223" s="198">
        <f t="shared" si="27"/>
        <v>3741.4505128205124</v>
      </c>
      <c r="L223" s="12">
        <f t="shared" si="28"/>
        <v>1913.5494871794876</v>
      </c>
      <c r="M223" s="289">
        <f t="shared" si="29"/>
        <v>-1435.1621153846158</v>
      </c>
      <c r="O223" s="42">
        <f t="shared" si="30"/>
        <v>-41841.709038461537</v>
      </c>
      <c r="P223" s="247"/>
      <c r="Q223" s="211"/>
      <c r="R223" s="211"/>
      <c r="S223" s="211"/>
      <c r="T223" s="211"/>
      <c r="U223" s="211"/>
      <c r="AF223" s="11"/>
      <c r="AG223" s="11"/>
      <c r="AH223" s="11"/>
      <c r="AI223" s="11"/>
      <c r="AJ223" s="11"/>
      <c r="AK223" s="11"/>
      <c r="AL223" s="11"/>
    </row>
    <row r="224" spans="1:38" x14ac:dyDescent="0.25">
      <c r="A224" s="38">
        <f>+Données!A224</f>
        <v>5763</v>
      </c>
      <c r="B224" s="229" t="str">
        <f>+Données!B224</f>
        <v>Valeyres-sous-Rances</v>
      </c>
      <c r="C224" s="220">
        <f>+Ecrêtage!C224</f>
        <v>22297.189859154929</v>
      </c>
      <c r="D224" s="218"/>
      <c r="E224" s="220">
        <f>Données!AF224+Données!AG224+Données!AH224</f>
        <v>242138</v>
      </c>
      <c r="F224" s="218">
        <f t="shared" si="24"/>
        <v>178377.51887323943</v>
      </c>
      <c r="G224" s="8">
        <f t="shared" si="25"/>
        <v>63760.481126760569</v>
      </c>
      <c r="H224" s="289">
        <f t="shared" si="26"/>
        <v>-47820.360845070427</v>
      </c>
      <c r="J224" s="8">
        <f>Données!AN224</f>
        <v>52390</v>
      </c>
      <c r="K224" s="198">
        <f t="shared" si="27"/>
        <v>22297.189859154929</v>
      </c>
      <c r="L224" s="12">
        <f t="shared" si="28"/>
        <v>30092.810140845071</v>
      </c>
      <c r="M224" s="289">
        <f t="shared" si="29"/>
        <v>-22569.607605633802</v>
      </c>
      <c r="O224" s="42">
        <f t="shared" si="30"/>
        <v>-70389.968450704226</v>
      </c>
      <c r="P224" s="247"/>
      <c r="Q224" s="211"/>
      <c r="R224" s="211"/>
      <c r="S224" s="211"/>
      <c r="T224" s="211"/>
      <c r="U224" s="211"/>
      <c r="AF224" s="11"/>
      <c r="AG224" s="11"/>
      <c r="AH224" s="11"/>
      <c r="AI224" s="11"/>
      <c r="AJ224" s="11"/>
      <c r="AK224" s="11"/>
      <c r="AL224" s="11"/>
    </row>
    <row r="225" spans="1:38" x14ac:dyDescent="0.25">
      <c r="A225" s="38">
        <f>+Données!A225</f>
        <v>5764</v>
      </c>
      <c r="B225" s="229" t="str">
        <f>+Données!B225</f>
        <v>Vallorbe</v>
      </c>
      <c r="C225" s="220">
        <f>+Ecrêtage!C225</f>
        <v>83717.114965034954</v>
      </c>
      <c r="D225" s="218"/>
      <c r="E225" s="220">
        <f>Données!AF225+Données!AG225+Données!AH225</f>
        <v>3005874</v>
      </c>
      <c r="F225" s="218">
        <f t="shared" si="24"/>
        <v>669736.91972027963</v>
      </c>
      <c r="G225" s="8">
        <f t="shared" si="25"/>
        <v>2336137.0802797205</v>
      </c>
      <c r="H225" s="289">
        <f t="shared" si="26"/>
        <v>-1752102.8102097902</v>
      </c>
      <c r="J225" s="8">
        <f>Données!AN225</f>
        <v>667892</v>
      </c>
      <c r="K225" s="198">
        <f t="shared" si="27"/>
        <v>83717.114965034954</v>
      </c>
      <c r="L225" s="12">
        <f t="shared" si="28"/>
        <v>584174.885034965</v>
      </c>
      <c r="M225" s="289">
        <f t="shared" si="29"/>
        <v>-438131.16377622378</v>
      </c>
      <c r="O225" s="42">
        <f t="shared" si="30"/>
        <v>-2190233.9739860138</v>
      </c>
      <c r="P225" s="247"/>
      <c r="Q225" s="211"/>
      <c r="R225" s="211"/>
      <c r="S225" s="211"/>
      <c r="T225" s="211"/>
      <c r="U225" s="211"/>
      <c r="AF225" s="11"/>
      <c r="AG225" s="11"/>
      <c r="AH225" s="11"/>
      <c r="AI225" s="11"/>
      <c r="AJ225" s="11"/>
      <c r="AK225" s="11"/>
      <c r="AL225" s="11"/>
    </row>
    <row r="226" spans="1:38" x14ac:dyDescent="0.25">
      <c r="A226" s="38">
        <f>+Données!A226</f>
        <v>5765</v>
      </c>
      <c r="B226" s="229" t="str">
        <f>+Données!B226</f>
        <v>Vaulion</v>
      </c>
      <c r="C226" s="220">
        <f>+Ecrêtage!C226</f>
        <v>9628.0504938271606</v>
      </c>
      <c r="D226" s="218"/>
      <c r="E226" s="220">
        <f>Données!AF226+Données!AG226+Données!AH226</f>
        <v>284160</v>
      </c>
      <c r="F226" s="218">
        <f t="shared" si="24"/>
        <v>77024.403950617285</v>
      </c>
      <c r="G226" s="8">
        <f t="shared" si="25"/>
        <v>207135.5960493827</v>
      </c>
      <c r="H226" s="289">
        <f t="shared" si="26"/>
        <v>-155351.69703703703</v>
      </c>
      <c r="J226" s="8">
        <f>Données!AN226</f>
        <v>33229</v>
      </c>
      <c r="K226" s="198">
        <f t="shared" si="27"/>
        <v>9628.0504938271606</v>
      </c>
      <c r="L226" s="12">
        <f t="shared" si="28"/>
        <v>23600.949506172838</v>
      </c>
      <c r="M226" s="289">
        <f t="shared" si="29"/>
        <v>-17700.712129629628</v>
      </c>
      <c r="O226" s="42">
        <f t="shared" si="30"/>
        <v>-173052.40916666665</v>
      </c>
      <c r="P226" s="247"/>
      <c r="Q226" s="211"/>
      <c r="R226" s="211"/>
      <c r="S226" s="211"/>
      <c r="T226" s="211"/>
      <c r="U226" s="211"/>
      <c r="AF226" s="11"/>
      <c r="AG226" s="11"/>
      <c r="AH226" s="11"/>
      <c r="AI226" s="11"/>
      <c r="AJ226" s="11"/>
      <c r="AK226" s="11"/>
      <c r="AL226" s="11"/>
    </row>
    <row r="227" spans="1:38" x14ac:dyDescent="0.25">
      <c r="A227" s="38">
        <f>+Données!A227</f>
        <v>5766</v>
      </c>
      <c r="B227" s="229" t="str">
        <f>+Données!B227</f>
        <v>Vuiteboeuf</v>
      </c>
      <c r="C227" s="220">
        <f>+Ecrêtage!C227</f>
        <v>15422.760361904762</v>
      </c>
      <c r="D227" s="218"/>
      <c r="E227" s="220">
        <f>Données!AF227+Données!AG227+Données!AH227</f>
        <v>185884</v>
      </c>
      <c r="F227" s="218">
        <f t="shared" si="24"/>
        <v>123382.0828952381</v>
      </c>
      <c r="G227" s="8">
        <f t="shared" si="25"/>
        <v>62501.917104761902</v>
      </c>
      <c r="H227" s="289">
        <f t="shared" si="26"/>
        <v>-46876.437828571427</v>
      </c>
      <c r="J227" s="8">
        <f>Données!AN227</f>
        <v>29268</v>
      </c>
      <c r="K227" s="198">
        <f t="shared" si="27"/>
        <v>15422.760361904762</v>
      </c>
      <c r="L227" s="12">
        <f t="shared" si="28"/>
        <v>13845.239638095238</v>
      </c>
      <c r="M227" s="289">
        <f t="shared" si="29"/>
        <v>-10383.929728571427</v>
      </c>
      <c r="O227" s="42">
        <f t="shared" si="30"/>
        <v>-57260.367557142854</v>
      </c>
      <c r="P227" s="247"/>
      <c r="Q227" s="211"/>
      <c r="R227" s="211"/>
      <c r="S227" s="211"/>
      <c r="T227" s="211"/>
      <c r="U227" s="211"/>
      <c r="AF227" s="11"/>
      <c r="AG227" s="11"/>
      <c r="AH227" s="11"/>
      <c r="AI227" s="11"/>
      <c r="AJ227" s="11"/>
      <c r="AK227" s="11"/>
      <c r="AL227" s="11"/>
    </row>
    <row r="228" spans="1:38" x14ac:dyDescent="0.25">
      <c r="A228" s="38">
        <f>+Données!A228</f>
        <v>5785</v>
      </c>
      <c r="B228" s="229" t="str">
        <f>+Données!B228</f>
        <v>Corcelles-le-Jorat</v>
      </c>
      <c r="C228" s="220">
        <f>+Ecrêtage!C228</f>
        <v>15461.968933333332</v>
      </c>
      <c r="D228" s="218"/>
      <c r="E228" s="220">
        <f>Données!AF228+Données!AG228+Données!AH228</f>
        <v>211151</v>
      </c>
      <c r="F228" s="218">
        <f t="shared" si="24"/>
        <v>123695.75146666665</v>
      </c>
      <c r="G228" s="8">
        <f t="shared" si="25"/>
        <v>87455.248533333346</v>
      </c>
      <c r="H228" s="289">
        <f t="shared" si="26"/>
        <v>-65591.436400000006</v>
      </c>
      <c r="J228" s="8">
        <f>Données!AN228</f>
        <v>34449</v>
      </c>
      <c r="K228" s="198">
        <f t="shared" si="27"/>
        <v>15461.968933333332</v>
      </c>
      <c r="L228" s="12">
        <f t="shared" si="28"/>
        <v>18987.03106666667</v>
      </c>
      <c r="M228" s="289">
        <f t="shared" si="29"/>
        <v>-14240.273300000003</v>
      </c>
      <c r="O228" s="42">
        <f t="shared" si="30"/>
        <v>-79831.709700000007</v>
      </c>
      <c r="P228" s="247"/>
      <c r="Q228" s="211"/>
      <c r="R228" s="211"/>
      <c r="S228" s="211"/>
      <c r="T228" s="211"/>
      <c r="U228" s="211"/>
      <c r="AF228" s="11"/>
      <c r="AG228" s="11"/>
      <c r="AH228" s="11"/>
      <c r="AI228" s="11"/>
      <c r="AJ228" s="11"/>
      <c r="AK228" s="11"/>
      <c r="AL228" s="11"/>
    </row>
    <row r="229" spans="1:38" x14ac:dyDescent="0.25">
      <c r="A229" s="38">
        <f>+Données!A229</f>
        <v>5790</v>
      </c>
      <c r="B229" s="229" t="str">
        <f>+Données!B229</f>
        <v>Maracon</v>
      </c>
      <c r="C229" s="220">
        <f>+Ecrêtage!C229</f>
        <v>16326.697583892621</v>
      </c>
      <c r="D229" s="218"/>
      <c r="E229" s="220">
        <f>Données!AF229+Données!AG229+Données!AH229</f>
        <v>204546</v>
      </c>
      <c r="F229" s="218">
        <f t="shared" si="24"/>
        <v>130613.58067114097</v>
      </c>
      <c r="G229" s="8">
        <f t="shared" si="25"/>
        <v>73932.419328859032</v>
      </c>
      <c r="H229" s="289">
        <f t="shared" si="26"/>
        <v>-55449.314496644278</v>
      </c>
      <c r="J229" s="8">
        <f>Données!AN229</f>
        <v>-3638</v>
      </c>
      <c r="K229" s="198">
        <f t="shared" si="27"/>
        <v>16326.697583892621</v>
      </c>
      <c r="L229" s="12">
        <f t="shared" si="28"/>
        <v>0</v>
      </c>
      <c r="M229" s="289">
        <f t="shared" si="29"/>
        <v>0</v>
      </c>
      <c r="O229" s="42">
        <f t="shared" si="30"/>
        <v>-55449.314496644278</v>
      </c>
      <c r="P229" s="247"/>
      <c r="Q229" s="211"/>
      <c r="R229" s="211"/>
      <c r="S229" s="211"/>
      <c r="T229" s="211"/>
      <c r="U229" s="211"/>
      <c r="AF229" s="11"/>
      <c r="AG229" s="11"/>
      <c r="AH229" s="11"/>
      <c r="AI229" s="11"/>
      <c r="AJ229" s="11"/>
      <c r="AK229" s="11"/>
      <c r="AL229" s="11"/>
    </row>
    <row r="230" spans="1:38" x14ac:dyDescent="0.25">
      <c r="A230" s="38">
        <f>+Données!A230</f>
        <v>5792</v>
      </c>
      <c r="B230" s="229" t="str">
        <f>+Données!B230</f>
        <v>Montpreveyres</v>
      </c>
      <c r="C230" s="220">
        <f>+Ecrêtage!C230</f>
        <v>19363.161854304632</v>
      </c>
      <c r="D230" s="218"/>
      <c r="E230" s="220">
        <f>Données!AF230+Données!AG230+Données!AH230</f>
        <v>369274</v>
      </c>
      <c r="F230" s="218">
        <f t="shared" si="24"/>
        <v>154905.29483443705</v>
      </c>
      <c r="G230" s="8">
        <f t="shared" si="25"/>
        <v>214368.70516556295</v>
      </c>
      <c r="H230" s="289">
        <f t="shared" si="26"/>
        <v>-160776.52887417222</v>
      </c>
      <c r="J230" s="8">
        <f>Données!AN230</f>
        <v>9894</v>
      </c>
      <c r="K230" s="198">
        <f t="shared" si="27"/>
        <v>19363.161854304632</v>
      </c>
      <c r="L230" s="12">
        <f t="shared" si="28"/>
        <v>0</v>
      </c>
      <c r="M230" s="289">
        <f t="shared" si="29"/>
        <v>0</v>
      </c>
      <c r="O230" s="42">
        <f t="shared" si="30"/>
        <v>-160776.52887417222</v>
      </c>
      <c r="P230" s="247"/>
      <c r="Q230" s="211"/>
      <c r="R230" s="211"/>
      <c r="S230" s="211"/>
      <c r="T230" s="211"/>
      <c r="U230" s="211"/>
      <c r="AF230" s="11"/>
      <c r="AG230" s="11"/>
      <c r="AH230" s="11"/>
      <c r="AI230" s="11"/>
      <c r="AJ230" s="11"/>
      <c r="AK230" s="11"/>
      <c r="AL230" s="11"/>
    </row>
    <row r="231" spans="1:38" x14ac:dyDescent="0.25">
      <c r="A231" s="38">
        <f>+Données!A231</f>
        <v>5798</v>
      </c>
      <c r="B231" s="229" t="str">
        <f>+Données!B231</f>
        <v>Ropraz</v>
      </c>
      <c r="C231" s="220">
        <f>+Ecrêtage!C231</f>
        <v>16208.351096774193</v>
      </c>
      <c r="D231" s="218"/>
      <c r="E231" s="220">
        <f>Données!AF231+Données!AG231+Données!AH231</f>
        <v>221635</v>
      </c>
      <c r="F231" s="218">
        <f t="shared" si="24"/>
        <v>129666.80877419355</v>
      </c>
      <c r="G231" s="8">
        <f t="shared" si="25"/>
        <v>91968.191225806455</v>
      </c>
      <c r="H231" s="289">
        <f t="shared" si="26"/>
        <v>-68976.143419354834</v>
      </c>
      <c r="J231" s="8">
        <f>Données!AN231</f>
        <v>40034</v>
      </c>
      <c r="K231" s="198">
        <f t="shared" si="27"/>
        <v>16208.351096774193</v>
      </c>
      <c r="L231" s="12">
        <f t="shared" si="28"/>
        <v>23825.648903225807</v>
      </c>
      <c r="M231" s="289">
        <f t="shared" si="29"/>
        <v>-17869.236677419354</v>
      </c>
      <c r="O231" s="42">
        <f t="shared" si="30"/>
        <v>-86845.380096774184</v>
      </c>
      <c r="P231" s="247"/>
      <c r="Q231" s="211"/>
      <c r="R231" s="211"/>
      <c r="S231" s="211"/>
      <c r="T231" s="211"/>
      <c r="U231" s="211"/>
      <c r="AF231" s="11"/>
      <c r="AG231" s="11"/>
      <c r="AH231" s="11"/>
      <c r="AI231" s="11"/>
      <c r="AJ231" s="11"/>
      <c r="AK231" s="11"/>
      <c r="AL231" s="11"/>
    </row>
    <row r="232" spans="1:38" x14ac:dyDescent="0.25">
      <c r="A232" s="38">
        <f>+Données!A232</f>
        <v>5799</v>
      </c>
      <c r="B232" s="229" t="str">
        <f>+Données!B232</f>
        <v>Servion</v>
      </c>
      <c r="C232" s="220">
        <f>+Ecrêtage!C232</f>
        <v>73170.718115942043</v>
      </c>
      <c r="D232" s="218"/>
      <c r="E232" s="220">
        <f>Données!AF232+Données!AG232+Données!AH232</f>
        <v>1079524</v>
      </c>
      <c r="F232" s="218">
        <f t="shared" si="24"/>
        <v>585365.74492753635</v>
      </c>
      <c r="G232" s="8">
        <f t="shared" si="25"/>
        <v>494158.25507246365</v>
      </c>
      <c r="H232" s="289">
        <f t="shared" si="26"/>
        <v>-370618.69130434771</v>
      </c>
      <c r="J232" s="8">
        <f>Données!AN232</f>
        <v>33199</v>
      </c>
      <c r="K232" s="198">
        <f t="shared" si="27"/>
        <v>73170.718115942043</v>
      </c>
      <c r="L232" s="12">
        <f t="shared" si="28"/>
        <v>0</v>
      </c>
      <c r="M232" s="289">
        <f t="shared" si="29"/>
        <v>0</v>
      </c>
      <c r="O232" s="42">
        <f t="shared" si="30"/>
        <v>-370618.69130434771</v>
      </c>
      <c r="P232" s="247"/>
      <c r="Q232" s="211"/>
      <c r="R232" s="211"/>
      <c r="S232" s="211"/>
      <c r="T232" s="211"/>
      <c r="U232" s="211"/>
      <c r="AF232" s="11"/>
      <c r="AG232" s="11"/>
      <c r="AH232" s="11"/>
      <c r="AI232" s="11"/>
      <c r="AJ232" s="11"/>
      <c r="AK232" s="11"/>
      <c r="AL232" s="11"/>
    </row>
    <row r="233" spans="1:38" x14ac:dyDescent="0.25">
      <c r="A233" s="38">
        <f>+Données!A233</f>
        <v>5803</v>
      </c>
      <c r="B233" s="229" t="str">
        <f>+Données!B233</f>
        <v>Vulliens</v>
      </c>
      <c r="C233" s="220">
        <f>+Ecrêtage!C233</f>
        <v>16577.57405405405</v>
      </c>
      <c r="D233" s="218"/>
      <c r="E233" s="220">
        <f>Données!AF233+Données!AG233+Données!AH233</f>
        <v>234210</v>
      </c>
      <c r="F233" s="218">
        <f t="shared" si="24"/>
        <v>132620.5924324324</v>
      </c>
      <c r="G233" s="8">
        <f t="shared" si="25"/>
        <v>101589.4075675676</v>
      </c>
      <c r="H233" s="289">
        <f t="shared" si="26"/>
        <v>-76192.0556756757</v>
      </c>
      <c r="J233" s="8">
        <f>Données!AN233</f>
        <v>50569</v>
      </c>
      <c r="K233" s="198">
        <f t="shared" si="27"/>
        <v>16577.57405405405</v>
      </c>
      <c r="L233" s="12">
        <f t="shared" si="28"/>
        <v>33991.42594594595</v>
      </c>
      <c r="M233" s="289">
        <f t="shared" si="29"/>
        <v>-25493.569459459461</v>
      </c>
      <c r="O233" s="42">
        <f t="shared" si="30"/>
        <v>-101685.62513513517</v>
      </c>
      <c r="P233" s="247"/>
      <c r="Q233" s="211"/>
      <c r="R233" s="211"/>
      <c r="S233" s="211"/>
      <c r="T233" s="211"/>
      <c r="U233" s="211"/>
      <c r="AF233" s="11"/>
      <c r="AG233" s="11"/>
      <c r="AH233" s="11"/>
      <c r="AI233" s="11"/>
      <c r="AJ233" s="11"/>
      <c r="AK233" s="11"/>
      <c r="AL233" s="11"/>
    </row>
    <row r="234" spans="1:38" x14ac:dyDescent="0.25">
      <c r="A234" s="38">
        <f>+Données!A234</f>
        <v>5804</v>
      </c>
      <c r="B234" s="229" t="str">
        <f>+Données!B234</f>
        <v>Jorat-Menthue</v>
      </c>
      <c r="C234" s="220">
        <f>+Ecrêtage!C234</f>
        <v>45125.345957446807</v>
      </c>
      <c r="D234" s="218"/>
      <c r="E234" s="220">
        <f>Données!AF234+Données!AG234+Données!AH234</f>
        <v>788534</v>
      </c>
      <c r="F234" s="218">
        <f t="shared" si="24"/>
        <v>361002.76765957446</v>
      </c>
      <c r="G234" s="8">
        <f t="shared" si="25"/>
        <v>427531.23234042554</v>
      </c>
      <c r="H234" s="289">
        <f t="shared" si="26"/>
        <v>-320648.42425531917</v>
      </c>
      <c r="J234" s="8">
        <f>Données!AN234</f>
        <v>181502</v>
      </c>
      <c r="K234" s="198">
        <f t="shared" si="27"/>
        <v>45125.345957446807</v>
      </c>
      <c r="L234" s="12">
        <f t="shared" si="28"/>
        <v>136376.65404255319</v>
      </c>
      <c r="M234" s="289">
        <f t="shared" si="29"/>
        <v>-102282.4905319149</v>
      </c>
      <c r="O234" s="42">
        <f t="shared" si="30"/>
        <v>-422930.91478723404</v>
      </c>
      <c r="P234" s="247"/>
      <c r="Q234" s="211"/>
      <c r="R234" s="211"/>
      <c r="S234" s="211"/>
      <c r="T234" s="211"/>
      <c r="U234" s="211"/>
      <c r="AF234" s="11"/>
      <c r="AG234" s="11"/>
      <c r="AH234" s="11"/>
      <c r="AI234" s="11"/>
      <c r="AJ234" s="11"/>
      <c r="AK234" s="11"/>
      <c r="AL234" s="11"/>
    </row>
    <row r="235" spans="1:38" x14ac:dyDescent="0.25">
      <c r="A235" s="38">
        <f>+Données!A235</f>
        <v>5805</v>
      </c>
      <c r="B235" s="229" t="str">
        <f>+Données!B235</f>
        <v>Oron</v>
      </c>
      <c r="C235" s="220">
        <f>+Ecrêtage!C235</f>
        <v>174509.83123847167</v>
      </c>
      <c r="D235" s="218"/>
      <c r="E235" s="220">
        <f>Données!AF235+Données!AG235+Données!AH235</f>
        <v>3021014</v>
      </c>
      <c r="F235" s="218">
        <f t="shared" si="24"/>
        <v>1396078.6499077734</v>
      </c>
      <c r="G235" s="8">
        <f t="shared" si="25"/>
        <v>1624935.3500922266</v>
      </c>
      <c r="H235" s="289">
        <f t="shared" si="26"/>
        <v>-1218701.51256917</v>
      </c>
      <c r="J235" s="8">
        <f>Données!AN235</f>
        <v>62909</v>
      </c>
      <c r="K235" s="198">
        <f t="shared" si="27"/>
        <v>174509.83123847167</v>
      </c>
      <c r="L235" s="12">
        <f t="shared" si="28"/>
        <v>0</v>
      </c>
      <c r="M235" s="289">
        <f t="shared" si="29"/>
        <v>0</v>
      </c>
      <c r="O235" s="42">
        <f t="shared" si="30"/>
        <v>-1218701.51256917</v>
      </c>
      <c r="P235" s="247"/>
      <c r="Q235" s="211"/>
      <c r="R235" s="211"/>
      <c r="S235" s="211"/>
      <c r="T235" s="211"/>
      <c r="U235" s="211"/>
      <c r="AF235" s="11"/>
      <c r="AG235" s="11"/>
      <c r="AH235" s="11"/>
      <c r="AI235" s="11"/>
      <c r="AJ235" s="11"/>
      <c r="AK235" s="11"/>
      <c r="AL235" s="11"/>
    </row>
    <row r="236" spans="1:38" x14ac:dyDescent="0.25">
      <c r="A236" s="38">
        <f>+Données!A236</f>
        <v>5806</v>
      </c>
      <c r="B236" s="229" t="str">
        <f>+Données!B236</f>
        <v>Jorat-Mézières</v>
      </c>
      <c r="C236" s="220">
        <f>+Ecrêtage!C236</f>
        <v>102977.86342465752</v>
      </c>
      <c r="D236" s="218"/>
      <c r="E236" s="220">
        <f>Données!AF236+Données!AG236+Données!AH236</f>
        <v>1501115</v>
      </c>
      <c r="F236" s="218">
        <f t="shared" si="24"/>
        <v>823822.90739726019</v>
      </c>
      <c r="G236" s="8">
        <f t="shared" si="25"/>
        <v>677292.09260273981</v>
      </c>
      <c r="H236" s="289">
        <f t="shared" si="26"/>
        <v>-507969.06945205486</v>
      </c>
      <c r="J236" s="8">
        <f>Données!AN236</f>
        <v>1699</v>
      </c>
      <c r="K236" s="198">
        <f t="shared" si="27"/>
        <v>102977.86342465752</v>
      </c>
      <c r="L236" s="12">
        <f t="shared" si="28"/>
        <v>0</v>
      </c>
      <c r="M236" s="289">
        <f t="shared" si="29"/>
        <v>0</v>
      </c>
      <c r="O236" s="42">
        <f t="shared" si="30"/>
        <v>-507969.06945205486</v>
      </c>
      <c r="P236" s="247"/>
      <c r="Q236" s="211"/>
      <c r="R236" s="211"/>
      <c r="S236" s="211"/>
      <c r="T236" s="211"/>
      <c r="U236" s="211"/>
      <c r="AF236" s="11"/>
      <c r="AG236" s="11"/>
      <c r="AH236" s="11"/>
      <c r="AI236" s="11"/>
      <c r="AJ236" s="11"/>
      <c r="AK236" s="11"/>
      <c r="AL236" s="11"/>
    </row>
    <row r="237" spans="1:38" x14ac:dyDescent="0.25">
      <c r="A237" s="38">
        <f>+Données!A237</f>
        <v>5812</v>
      </c>
      <c r="B237" s="229" t="str">
        <f>+Données!B237</f>
        <v>Champtauroz</v>
      </c>
      <c r="C237" s="220">
        <f>+Ecrêtage!C237</f>
        <v>3659.293116883116</v>
      </c>
      <c r="D237" s="218"/>
      <c r="E237" s="220">
        <f>Données!AF237+Données!AG237+Données!AH237</f>
        <v>70800</v>
      </c>
      <c r="F237" s="218">
        <f t="shared" si="24"/>
        <v>29274.344935064928</v>
      </c>
      <c r="G237" s="8">
        <f t="shared" si="25"/>
        <v>41525.655064935068</v>
      </c>
      <c r="H237" s="289">
        <f t="shared" si="26"/>
        <v>-31144.241298701301</v>
      </c>
      <c r="J237" s="8">
        <f>Données!AN237</f>
        <v>14655</v>
      </c>
      <c r="K237" s="198">
        <f t="shared" si="27"/>
        <v>3659.293116883116</v>
      </c>
      <c r="L237" s="12">
        <f t="shared" si="28"/>
        <v>10995.706883116884</v>
      </c>
      <c r="M237" s="289">
        <f t="shared" si="29"/>
        <v>-8246.7801623376617</v>
      </c>
      <c r="O237" s="42">
        <f t="shared" si="30"/>
        <v>-39391.021461038967</v>
      </c>
      <c r="P237" s="247"/>
      <c r="Q237" s="211"/>
      <c r="R237" s="211"/>
      <c r="S237" s="211"/>
      <c r="T237" s="211"/>
      <c r="U237" s="211"/>
      <c r="AF237" s="11"/>
      <c r="AG237" s="11"/>
      <c r="AH237" s="11"/>
      <c r="AI237" s="11"/>
      <c r="AJ237" s="11"/>
      <c r="AK237" s="11"/>
      <c r="AL237" s="11"/>
    </row>
    <row r="238" spans="1:38" x14ac:dyDescent="0.25">
      <c r="A238" s="38">
        <f>+Données!A238</f>
        <v>5813</v>
      </c>
      <c r="B238" s="229" t="str">
        <f>+Données!B238</f>
        <v>Chevroux</v>
      </c>
      <c r="C238" s="220">
        <f>+Ecrêtage!C238</f>
        <v>17498.80282238443</v>
      </c>
      <c r="D238" s="218"/>
      <c r="E238" s="220">
        <f>Données!AF238+Données!AG238+Données!AH238</f>
        <v>366467</v>
      </c>
      <c r="F238" s="218">
        <f t="shared" si="24"/>
        <v>139990.42257907544</v>
      </c>
      <c r="G238" s="8">
        <f t="shared" si="25"/>
        <v>226476.57742092456</v>
      </c>
      <c r="H238" s="289">
        <f t="shared" si="26"/>
        <v>-169857.43306569342</v>
      </c>
      <c r="J238" s="8">
        <f>Données!AN238</f>
        <v>5589</v>
      </c>
      <c r="K238" s="198">
        <f t="shared" si="27"/>
        <v>17498.80282238443</v>
      </c>
      <c r="L238" s="12">
        <f t="shared" si="28"/>
        <v>0</v>
      </c>
      <c r="M238" s="289">
        <f t="shared" si="29"/>
        <v>0</v>
      </c>
      <c r="O238" s="42">
        <f t="shared" si="30"/>
        <v>-169857.43306569342</v>
      </c>
      <c r="P238" s="247"/>
      <c r="Q238" s="211"/>
      <c r="R238" s="211"/>
      <c r="S238" s="211"/>
      <c r="T238" s="211"/>
      <c r="U238" s="211"/>
      <c r="AF238" s="11"/>
      <c r="AG238" s="11"/>
      <c r="AH238" s="11"/>
      <c r="AI238" s="11"/>
      <c r="AJ238" s="11"/>
      <c r="AK238" s="11"/>
      <c r="AL238" s="11"/>
    </row>
    <row r="239" spans="1:38" x14ac:dyDescent="0.25">
      <c r="A239" s="38">
        <f>+Données!A239</f>
        <v>5816</v>
      </c>
      <c r="B239" s="229" t="str">
        <f>+Données!B239</f>
        <v>Corcelles-près-Payerne</v>
      </c>
      <c r="C239" s="220">
        <f>+Ecrêtage!C239</f>
        <v>65701.749572471308</v>
      </c>
      <c r="D239" s="218"/>
      <c r="E239" s="220">
        <f>Données!AF239+Données!AG239+Données!AH239</f>
        <v>975826</v>
      </c>
      <c r="F239" s="218">
        <f t="shared" si="24"/>
        <v>525613.99657977046</v>
      </c>
      <c r="G239" s="8">
        <f t="shared" si="25"/>
        <v>450212.00342022954</v>
      </c>
      <c r="H239" s="289">
        <f t="shared" si="26"/>
        <v>-337659.00256517215</v>
      </c>
      <c r="J239" s="8">
        <f>Données!AN239</f>
        <v>15745</v>
      </c>
      <c r="K239" s="198">
        <f t="shared" si="27"/>
        <v>65701.749572471308</v>
      </c>
      <c r="L239" s="12">
        <f t="shared" si="28"/>
        <v>0</v>
      </c>
      <c r="M239" s="289">
        <f t="shared" si="29"/>
        <v>0</v>
      </c>
      <c r="O239" s="42">
        <f t="shared" si="30"/>
        <v>-337659.00256517215</v>
      </c>
      <c r="P239" s="247"/>
      <c r="Q239" s="211"/>
      <c r="R239" s="211"/>
      <c r="S239" s="211"/>
      <c r="T239" s="211"/>
      <c r="U239" s="211"/>
      <c r="AF239" s="11"/>
      <c r="AG239" s="11"/>
      <c r="AH239" s="11"/>
      <c r="AI239" s="11"/>
      <c r="AJ239" s="11"/>
      <c r="AK239" s="11"/>
      <c r="AL239" s="11"/>
    </row>
    <row r="240" spans="1:38" x14ac:dyDescent="0.25">
      <c r="A240" s="38">
        <f>+Données!A240</f>
        <v>5817</v>
      </c>
      <c r="B240" s="229" t="str">
        <f>+Données!B240</f>
        <v>Grandcour</v>
      </c>
      <c r="C240" s="220">
        <f>+Ecrêtage!C240</f>
        <v>25916.897414965984</v>
      </c>
      <c r="D240" s="218"/>
      <c r="E240" s="220">
        <f>Données!AF240+Données!AG240+Données!AH240</f>
        <v>320764</v>
      </c>
      <c r="F240" s="218">
        <f t="shared" si="24"/>
        <v>207335.17931972787</v>
      </c>
      <c r="G240" s="8">
        <f t="shared" si="25"/>
        <v>113428.82068027213</v>
      </c>
      <c r="H240" s="289">
        <f t="shared" si="26"/>
        <v>-85071.615510204094</v>
      </c>
      <c r="J240" s="8">
        <f>Données!AN240</f>
        <v>72484</v>
      </c>
      <c r="K240" s="198">
        <f t="shared" si="27"/>
        <v>25916.897414965984</v>
      </c>
      <c r="L240" s="12">
        <f t="shared" si="28"/>
        <v>46567.102585034016</v>
      </c>
      <c r="M240" s="289">
        <f t="shared" si="29"/>
        <v>-34925.326938775514</v>
      </c>
      <c r="O240" s="42">
        <f t="shared" si="30"/>
        <v>-119996.94244897961</v>
      </c>
      <c r="P240" s="247"/>
      <c r="Q240" s="211"/>
      <c r="R240" s="211"/>
      <c r="S240" s="211"/>
      <c r="T240" s="211"/>
      <c r="U240" s="211"/>
      <c r="AF240" s="11"/>
      <c r="AG240" s="11"/>
      <c r="AH240" s="11"/>
      <c r="AI240" s="11"/>
      <c r="AJ240" s="11"/>
      <c r="AK240" s="11"/>
      <c r="AL240" s="11"/>
    </row>
    <row r="241" spans="1:38" x14ac:dyDescent="0.25">
      <c r="A241" s="38">
        <f>+Données!A241</f>
        <v>5819</v>
      </c>
      <c r="B241" s="229" t="str">
        <f>+Données!B241</f>
        <v>Henniez</v>
      </c>
      <c r="C241" s="220">
        <f>+Ecrêtage!C241</f>
        <v>10275.75579710145</v>
      </c>
      <c r="D241" s="218"/>
      <c r="E241" s="220">
        <f>Données!AF241+Données!AG241+Données!AH241</f>
        <v>219507</v>
      </c>
      <c r="F241" s="218">
        <f t="shared" si="24"/>
        <v>82206.046376811602</v>
      </c>
      <c r="G241" s="8">
        <f t="shared" si="25"/>
        <v>137300.9536231884</v>
      </c>
      <c r="H241" s="289">
        <f t="shared" si="26"/>
        <v>-102975.71521739129</v>
      </c>
      <c r="J241" s="8">
        <f>Données!AN241</f>
        <v>0</v>
      </c>
      <c r="K241" s="198">
        <f t="shared" si="27"/>
        <v>10275.75579710145</v>
      </c>
      <c r="L241" s="12">
        <f t="shared" si="28"/>
        <v>0</v>
      </c>
      <c r="M241" s="289">
        <f t="shared" si="29"/>
        <v>0</v>
      </c>
      <c r="O241" s="42">
        <f t="shared" si="30"/>
        <v>-102975.71521739129</v>
      </c>
      <c r="P241" s="247"/>
      <c r="Q241" s="211"/>
      <c r="R241" s="211"/>
      <c r="S241" s="211"/>
      <c r="T241" s="211"/>
      <c r="U241" s="211"/>
      <c r="AF241" s="11"/>
      <c r="AG241" s="11"/>
      <c r="AH241" s="11"/>
      <c r="AI241" s="11"/>
      <c r="AJ241" s="11"/>
      <c r="AK241" s="11"/>
      <c r="AL241" s="11"/>
    </row>
    <row r="242" spans="1:38" x14ac:dyDescent="0.25">
      <c r="A242" s="38">
        <f>+Données!A242</f>
        <v>5821</v>
      </c>
      <c r="B242" s="229" t="str">
        <f>+Données!B242</f>
        <v>Missy</v>
      </c>
      <c r="C242" s="220">
        <f>+Ecrêtage!C242</f>
        <v>8375.965000000002</v>
      </c>
      <c r="D242" s="218"/>
      <c r="E242" s="220">
        <f>Données!AF242+Données!AG242+Données!AH242</f>
        <v>128578</v>
      </c>
      <c r="F242" s="218">
        <f t="shared" si="24"/>
        <v>67007.720000000016</v>
      </c>
      <c r="G242" s="8">
        <f t="shared" si="25"/>
        <v>61570.279999999984</v>
      </c>
      <c r="H242" s="289">
        <f t="shared" si="26"/>
        <v>-46177.709999999992</v>
      </c>
      <c r="J242" s="8">
        <f>Données!AN242</f>
        <v>0</v>
      </c>
      <c r="K242" s="198">
        <f t="shared" si="27"/>
        <v>8375.965000000002</v>
      </c>
      <c r="L242" s="12">
        <f t="shared" si="28"/>
        <v>0</v>
      </c>
      <c r="M242" s="289">
        <f t="shared" si="29"/>
        <v>0</v>
      </c>
      <c r="O242" s="42">
        <f t="shared" si="30"/>
        <v>-46177.709999999992</v>
      </c>
      <c r="P242" s="247"/>
      <c r="Q242" s="211"/>
      <c r="R242" s="211"/>
      <c r="S242" s="211"/>
      <c r="T242" s="211"/>
      <c r="U242" s="211"/>
      <c r="AF242" s="11"/>
      <c r="AG242" s="11"/>
      <c r="AH242" s="11"/>
      <c r="AI242" s="11"/>
      <c r="AJ242" s="11"/>
      <c r="AK242" s="11"/>
      <c r="AL242" s="11"/>
    </row>
    <row r="243" spans="1:38" x14ac:dyDescent="0.25">
      <c r="A243" s="38">
        <f>+Données!A243</f>
        <v>5822</v>
      </c>
      <c r="B243" s="229" t="str">
        <f>+Données!B243</f>
        <v>Payerne</v>
      </c>
      <c r="C243" s="220">
        <f>+Ecrêtage!C243</f>
        <v>226844.26479452057</v>
      </c>
      <c r="D243" s="218"/>
      <c r="E243" s="220">
        <f>Données!AF243+Données!AG243+Données!AH243</f>
        <v>4071823</v>
      </c>
      <c r="F243" s="218">
        <f t="shared" si="24"/>
        <v>1814754.1183561645</v>
      </c>
      <c r="G243" s="8">
        <f t="shared" si="25"/>
        <v>2257068.8816438355</v>
      </c>
      <c r="H243" s="289">
        <f t="shared" si="26"/>
        <v>-1692801.6612328766</v>
      </c>
      <c r="J243" s="8">
        <f>Données!AN243</f>
        <v>144853</v>
      </c>
      <c r="K243" s="198">
        <f t="shared" si="27"/>
        <v>226844.26479452057</v>
      </c>
      <c r="L243" s="12">
        <f t="shared" si="28"/>
        <v>0</v>
      </c>
      <c r="M243" s="289">
        <f t="shared" si="29"/>
        <v>0</v>
      </c>
      <c r="O243" s="42">
        <f t="shared" si="30"/>
        <v>-1692801.6612328766</v>
      </c>
      <c r="P243" s="247"/>
      <c r="Q243" s="211"/>
      <c r="R243" s="211"/>
      <c r="S243" s="211"/>
      <c r="T243" s="211"/>
      <c r="U243" s="211"/>
      <c r="AF243" s="11"/>
      <c r="AG243" s="11"/>
      <c r="AH243" s="11"/>
      <c r="AI243" s="11"/>
      <c r="AJ243" s="11"/>
      <c r="AK243" s="11"/>
      <c r="AL243" s="11"/>
    </row>
    <row r="244" spans="1:38" x14ac:dyDescent="0.25">
      <c r="A244" s="38">
        <f>+Données!A244</f>
        <v>5827</v>
      </c>
      <c r="B244" s="229" t="str">
        <f>+Données!B244</f>
        <v>Trey</v>
      </c>
      <c r="C244" s="220">
        <f>+Ecrêtage!C244</f>
        <v>7715.2558974358981</v>
      </c>
      <c r="D244" s="218"/>
      <c r="E244" s="220">
        <f>Données!AF244+Données!AG244+Données!AH244</f>
        <v>103347</v>
      </c>
      <c r="F244" s="218">
        <f t="shared" si="24"/>
        <v>61722.047179487185</v>
      </c>
      <c r="G244" s="8">
        <f t="shared" si="25"/>
        <v>41624.952820512815</v>
      </c>
      <c r="H244" s="289">
        <f t="shared" si="26"/>
        <v>-31218.714615384612</v>
      </c>
      <c r="J244" s="8">
        <f>Données!AN244</f>
        <v>6917</v>
      </c>
      <c r="K244" s="198">
        <f t="shared" si="27"/>
        <v>7715.2558974358981</v>
      </c>
      <c r="L244" s="12">
        <f t="shared" si="28"/>
        <v>0</v>
      </c>
      <c r="M244" s="289">
        <f t="shared" si="29"/>
        <v>0</v>
      </c>
      <c r="O244" s="42">
        <f t="shared" si="30"/>
        <v>-31218.714615384612</v>
      </c>
      <c r="P244" s="247"/>
      <c r="Q244" s="211"/>
      <c r="R244" s="211"/>
      <c r="S244" s="211"/>
      <c r="T244" s="211"/>
      <c r="U244" s="211"/>
      <c r="AF244" s="11"/>
      <c r="AG244" s="11"/>
      <c r="AH244" s="11"/>
      <c r="AI244" s="11"/>
      <c r="AJ244" s="11"/>
      <c r="AK244" s="11"/>
      <c r="AL244" s="11"/>
    </row>
    <row r="245" spans="1:38" x14ac:dyDescent="0.25">
      <c r="A245" s="38">
        <f>+Données!A245</f>
        <v>5828</v>
      </c>
      <c r="B245" s="229" t="str">
        <f>+Données!B245</f>
        <v>Treytorrens (Payerne)</v>
      </c>
      <c r="C245" s="220">
        <f>+Ecrêtage!C245</f>
        <v>2864.8065848670758</v>
      </c>
      <c r="D245" s="218"/>
      <c r="E245" s="220">
        <f>Données!AF245+Données!AG245+Données!AH245</f>
        <v>75958</v>
      </c>
      <c r="F245" s="218">
        <f t="shared" si="24"/>
        <v>22918.452678936606</v>
      </c>
      <c r="G245" s="8">
        <f t="shared" si="25"/>
        <v>53039.547321063394</v>
      </c>
      <c r="H245" s="289">
        <f t="shared" si="26"/>
        <v>-39779.660490797542</v>
      </c>
      <c r="J245" s="8">
        <f>Données!AN245</f>
        <v>3250</v>
      </c>
      <c r="K245" s="198">
        <f t="shared" si="27"/>
        <v>2864.8065848670758</v>
      </c>
      <c r="L245" s="12">
        <f t="shared" si="28"/>
        <v>385.1934151329242</v>
      </c>
      <c r="M245" s="289">
        <f t="shared" si="29"/>
        <v>-288.89506134969315</v>
      </c>
      <c r="O245" s="42">
        <f t="shared" si="30"/>
        <v>-40068.555552147234</v>
      </c>
      <c r="P245" s="247"/>
      <c r="Q245" s="211"/>
      <c r="R245" s="211"/>
      <c r="S245" s="211"/>
      <c r="T245" s="211"/>
      <c r="U245" s="211"/>
      <c r="AF245" s="11"/>
      <c r="AG245" s="11"/>
      <c r="AH245" s="11"/>
      <c r="AI245" s="11"/>
      <c r="AJ245" s="11"/>
      <c r="AK245" s="11"/>
      <c r="AL245" s="11"/>
    </row>
    <row r="246" spans="1:38" x14ac:dyDescent="0.25">
      <c r="A246" s="38">
        <f>+Données!A246</f>
        <v>5830</v>
      </c>
      <c r="B246" s="229" t="str">
        <f>+Données!B246</f>
        <v>Villarzel</v>
      </c>
      <c r="C246" s="220">
        <f>+Ecrêtage!C246</f>
        <v>12474.180666666667</v>
      </c>
      <c r="D246" s="218"/>
      <c r="E246" s="220">
        <f>Données!AF246+Données!AG246+Données!AH246</f>
        <v>226785</v>
      </c>
      <c r="F246" s="218">
        <f t="shared" si="24"/>
        <v>99793.445333333337</v>
      </c>
      <c r="G246" s="8">
        <f t="shared" si="25"/>
        <v>126991.55466666666</v>
      </c>
      <c r="H246" s="289">
        <f t="shared" si="26"/>
        <v>-95243.665999999997</v>
      </c>
      <c r="J246" s="8">
        <f>Données!AN246</f>
        <v>25833</v>
      </c>
      <c r="K246" s="198">
        <f t="shared" si="27"/>
        <v>12474.180666666667</v>
      </c>
      <c r="L246" s="12">
        <f t="shared" si="28"/>
        <v>13358.819333333333</v>
      </c>
      <c r="M246" s="289">
        <f t="shared" si="29"/>
        <v>-10019.1145</v>
      </c>
      <c r="O246" s="42">
        <f t="shared" si="30"/>
        <v>-105262.78049999999</v>
      </c>
      <c r="P246" s="247"/>
      <c r="Q246" s="211"/>
      <c r="R246" s="211"/>
      <c r="S246" s="211"/>
      <c r="T246" s="211"/>
      <c r="U246" s="211"/>
      <c r="AF246" s="11"/>
      <c r="AG246" s="11"/>
      <c r="AH246" s="11"/>
      <c r="AI246" s="11"/>
      <c r="AJ246" s="11"/>
      <c r="AK246" s="11"/>
      <c r="AL246" s="11"/>
    </row>
    <row r="247" spans="1:38" x14ac:dyDescent="0.25">
      <c r="A247" s="38">
        <f>+Données!A247</f>
        <v>5831</v>
      </c>
      <c r="B247" s="229" t="str">
        <f>+Données!B247</f>
        <v>Valbroye</v>
      </c>
      <c r="C247" s="220">
        <f>+Ecrêtage!C247</f>
        <v>87470.557399527184</v>
      </c>
      <c r="D247" s="218"/>
      <c r="E247" s="220">
        <f>Données!AF247+Données!AG247+Données!AH247</f>
        <v>1989792</v>
      </c>
      <c r="F247" s="218">
        <f t="shared" si="24"/>
        <v>699764.45919621747</v>
      </c>
      <c r="G247" s="8">
        <f t="shared" si="25"/>
        <v>1290027.5408037826</v>
      </c>
      <c r="H247" s="289">
        <f t="shared" si="26"/>
        <v>-967520.65560283698</v>
      </c>
      <c r="J247" s="8">
        <f>Données!AN247</f>
        <v>21150</v>
      </c>
      <c r="K247" s="198">
        <f t="shared" si="27"/>
        <v>87470.557399527184</v>
      </c>
      <c r="L247" s="12">
        <f t="shared" si="28"/>
        <v>0</v>
      </c>
      <c r="M247" s="289">
        <f t="shared" si="29"/>
        <v>0</v>
      </c>
      <c r="O247" s="42">
        <f t="shared" si="30"/>
        <v>-967520.65560283698</v>
      </c>
      <c r="P247" s="247"/>
      <c r="Q247" s="211"/>
      <c r="R247" s="211"/>
      <c r="S247" s="211"/>
      <c r="T247" s="211"/>
      <c r="U247" s="211"/>
      <c r="AF247" s="11"/>
      <c r="AG247" s="11"/>
      <c r="AH247" s="11"/>
      <c r="AI247" s="11"/>
      <c r="AJ247" s="11"/>
      <c r="AK247" s="11"/>
      <c r="AL247" s="11"/>
    </row>
    <row r="248" spans="1:38" x14ac:dyDescent="0.25">
      <c r="A248" s="38">
        <f>+Données!A248</f>
        <v>5841</v>
      </c>
      <c r="B248" s="229" t="str">
        <f>+Données!B248</f>
        <v>Château-d'Oex</v>
      </c>
      <c r="C248" s="220">
        <f>+Ecrêtage!C248</f>
        <v>123828.98781186093</v>
      </c>
      <c r="D248" s="218"/>
      <c r="E248" s="220">
        <f>Données!AF248+Données!AG248+Données!AH248</f>
        <v>3832146</v>
      </c>
      <c r="F248" s="218">
        <f t="shared" si="24"/>
        <v>990631.90249488747</v>
      </c>
      <c r="G248" s="8">
        <f t="shared" si="25"/>
        <v>2841514.0975051126</v>
      </c>
      <c r="H248" s="289">
        <f t="shared" si="26"/>
        <v>-2131135.5731288344</v>
      </c>
      <c r="J248" s="8">
        <f>Données!AN248</f>
        <v>62293</v>
      </c>
      <c r="K248" s="198">
        <f t="shared" si="27"/>
        <v>123828.98781186093</v>
      </c>
      <c r="L248" s="12">
        <f t="shared" si="28"/>
        <v>0</v>
      </c>
      <c r="M248" s="289">
        <f t="shared" si="29"/>
        <v>0</v>
      </c>
      <c r="O248" s="42">
        <f t="shared" si="30"/>
        <v>-2131135.5731288344</v>
      </c>
      <c r="P248" s="247"/>
      <c r="Q248" s="211"/>
      <c r="R248" s="211"/>
      <c r="S248" s="211"/>
      <c r="T248" s="211"/>
      <c r="U248" s="211"/>
      <c r="AF248" s="11"/>
      <c r="AG248" s="11"/>
      <c r="AH248" s="11"/>
      <c r="AI248" s="11"/>
      <c r="AJ248" s="11"/>
      <c r="AK248" s="11"/>
      <c r="AL248" s="11"/>
    </row>
    <row r="249" spans="1:38" x14ac:dyDescent="0.25">
      <c r="A249" s="38">
        <f>+Données!A249</f>
        <v>5842</v>
      </c>
      <c r="B249" s="229" t="str">
        <f>+Données!B249</f>
        <v>Rossinière</v>
      </c>
      <c r="C249" s="220">
        <f>+Ecrêtage!C249</f>
        <v>16474.219053497945</v>
      </c>
      <c r="D249" s="218"/>
      <c r="E249" s="220">
        <f>Données!AF249+Données!AG249+Données!AH249</f>
        <v>513747</v>
      </c>
      <c r="F249" s="218">
        <f t="shared" si="24"/>
        <v>131793.75242798356</v>
      </c>
      <c r="G249" s="8">
        <f t="shared" si="25"/>
        <v>381953.24757201644</v>
      </c>
      <c r="H249" s="289">
        <f t="shared" si="26"/>
        <v>-286464.93567901233</v>
      </c>
      <c r="J249" s="8">
        <f>Données!AN249</f>
        <v>60338</v>
      </c>
      <c r="K249" s="198">
        <f t="shared" si="27"/>
        <v>16474.219053497945</v>
      </c>
      <c r="L249" s="12">
        <f t="shared" si="28"/>
        <v>43863.780946502055</v>
      </c>
      <c r="M249" s="289">
        <f t="shared" si="29"/>
        <v>-32897.835709876541</v>
      </c>
      <c r="O249" s="42">
        <f t="shared" si="30"/>
        <v>-319362.77138888888</v>
      </c>
      <c r="P249" s="247"/>
      <c r="Q249" s="211"/>
      <c r="R249" s="211"/>
      <c r="S249" s="211"/>
      <c r="T249" s="211"/>
      <c r="U249" s="211"/>
      <c r="AF249" s="11"/>
      <c r="AG249" s="11"/>
      <c r="AH249" s="11"/>
      <c r="AI249" s="11"/>
      <c r="AJ249" s="11"/>
      <c r="AK249" s="11"/>
      <c r="AL249" s="11"/>
    </row>
    <row r="250" spans="1:38" x14ac:dyDescent="0.25">
      <c r="A250" s="38">
        <f>+Données!A250</f>
        <v>5843</v>
      </c>
      <c r="B250" s="229" t="str">
        <f>+Données!B250</f>
        <v>Rougemont</v>
      </c>
      <c r="C250" s="220">
        <f>+Ecrêtage!C250</f>
        <v>89736.824345991568</v>
      </c>
      <c r="D250" s="218"/>
      <c r="E250" s="220">
        <f>Données!AF250+Données!AG250+Données!AH250</f>
        <v>853027</v>
      </c>
      <c r="F250" s="218">
        <f t="shared" si="24"/>
        <v>717894.59476793255</v>
      </c>
      <c r="G250" s="8">
        <f t="shared" si="25"/>
        <v>135132.40523206745</v>
      </c>
      <c r="H250" s="289">
        <f t="shared" si="26"/>
        <v>-101349.30392405059</v>
      </c>
      <c r="J250" s="8">
        <f>Données!AN250</f>
        <v>33700</v>
      </c>
      <c r="K250" s="198">
        <f t="shared" si="27"/>
        <v>89736.824345991568</v>
      </c>
      <c r="L250" s="12">
        <f t="shared" si="28"/>
        <v>0</v>
      </c>
      <c r="M250" s="289">
        <f t="shared" si="29"/>
        <v>0</v>
      </c>
      <c r="O250" s="42">
        <f t="shared" si="30"/>
        <v>-101349.30392405059</v>
      </c>
      <c r="P250" s="247"/>
      <c r="Q250" s="211"/>
      <c r="R250" s="211"/>
      <c r="S250" s="211"/>
      <c r="T250" s="211"/>
      <c r="U250" s="211"/>
      <c r="AF250" s="11"/>
      <c r="AG250" s="11"/>
      <c r="AH250" s="11"/>
      <c r="AI250" s="11"/>
      <c r="AJ250" s="11"/>
      <c r="AK250" s="11"/>
      <c r="AL250" s="11"/>
    </row>
    <row r="251" spans="1:38" x14ac:dyDescent="0.25">
      <c r="A251" s="38">
        <f>+Données!A251</f>
        <v>5851</v>
      </c>
      <c r="B251" s="229" t="str">
        <f>+Données!B251</f>
        <v>Allaman</v>
      </c>
      <c r="C251" s="220">
        <f>+Ecrêtage!C251</f>
        <v>24651.765025641023</v>
      </c>
      <c r="D251" s="218"/>
      <c r="E251" s="220">
        <f>Données!AF251+Données!AG251+Données!AH251</f>
        <v>207154</v>
      </c>
      <c r="F251" s="218">
        <f t="shared" si="24"/>
        <v>197214.12020512819</v>
      </c>
      <c r="G251" s="8">
        <f t="shared" si="25"/>
        <v>9939.8797948718129</v>
      </c>
      <c r="H251" s="289">
        <f t="shared" si="26"/>
        <v>-7454.9098461538597</v>
      </c>
      <c r="J251" s="8">
        <f>Données!AN251</f>
        <v>14825</v>
      </c>
      <c r="K251" s="198">
        <f t="shared" si="27"/>
        <v>24651.765025641023</v>
      </c>
      <c r="L251" s="12">
        <f t="shared" si="28"/>
        <v>0</v>
      </c>
      <c r="M251" s="289">
        <f t="shared" si="29"/>
        <v>0</v>
      </c>
      <c r="O251" s="42">
        <f t="shared" si="30"/>
        <v>-7454.9098461538597</v>
      </c>
      <c r="P251" s="247"/>
      <c r="Q251" s="211"/>
      <c r="R251" s="211"/>
      <c r="S251" s="211"/>
      <c r="T251" s="211"/>
      <c r="U251" s="211"/>
      <c r="AF251" s="11"/>
      <c r="AG251" s="11"/>
      <c r="AH251" s="11"/>
      <c r="AI251" s="11"/>
      <c r="AJ251" s="11"/>
      <c r="AK251" s="11"/>
      <c r="AL251" s="11"/>
    </row>
    <row r="252" spans="1:38" x14ac:dyDescent="0.25">
      <c r="A252" s="38">
        <f>+Données!A252</f>
        <v>5852</v>
      </c>
      <c r="B252" s="229" t="str">
        <f>+Données!B252</f>
        <v>Bursinel</v>
      </c>
      <c r="C252" s="220">
        <f>+Ecrêtage!C252</f>
        <v>35649.594677419358</v>
      </c>
      <c r="D252" s="218"/>
      <c r="E252" s="220">
        <f>Données!AF252+Données!AG252+Données!AH252</f>
        <v>0</v>
      </c>
      <c r="F252" s="218">
        <f t="shared" si="24"/>
        <v>285196.75741935486</v>
      </c>
      <c r="G252" s="8">
        <f t="shared" si="25"/>
        <v>0</v>
      </c>
      <c r="H252" s="289">
        <f t="shared" si="26"/>
        <v>0</v>
      </c>
      <c r="J252" s="8">
        <f>Données!AN252</f>
        <v>0</v>
      </c>
      <c r="K252" s="198">
        <f t="shared" si="27"/>
        <v>35649.594677419358</v>
      </c>
      <c r="L252" s="12">
        <f t="shared" si="28"/>
        <v>0</v>
      </c>
      <c r="M252" s="289">
        <f t="shared" si="29"/>
        <v>0</v>
      </c>
      <c r="O252" s="42">
        <f t="shared" si="30"/>
        <v>0</v>
      </c>
      <c r="P252" s="247"/>
      <c r="Q252" s="211"/>
      <c r="R252" s="211"/>
      <c r="S252" s="211"/>
      <c r="T252" s="211"/>
      <c r="U252" s="211"/>
      <c r="AF252" s="11"/>
      <c r="AG252" s="11"/>
      <c r="AH252" s="11"/>
      <c r="AI252" s="11"/>
      <c r="AJ252" s="11"/>
      <c r="AK252" s="11"/>
      <c r="AL252" s="11"/>
    </row>
    <row r="253" spans="1:38" x14ac:dyDescent="0.25">
      <c r="A253" s="38">
        <f>+Données!A253</f>
        <v>5853</v>
      </c>
      <c r="B253" s="229" t="str">
        <f>+Données!B253</f>
        <v>Bursins</v>
      </c>
      <c r="C253" s="220">
        <f>+Ecrêtage!C253</f>
        <v>47536.23239436619</v>
      </c>
      <c r="D253" s="218"/>
      <c r="E253" s="220">
        <f>Données!AF253+Données!AG253+Données!AH253</f>
        <v>303113</v>
      </c>
      <c r="F253" s="218">
        <f t="shared" si="24"/>
        <v>380289.85915492952</v>
      </c>
      <c r="G253" s="8">
        <f t="shared" si="25"/>
        <v>0</v>
      </c>
      <c r="H253" s="289">
        <f t="shared" si="26"/>
        <v>0</v>
      </c>
      <c r="J253" s="8">
        <f>Données!AN253</f>
        <v>15102</v>
      </c>
      <c r="K253" s="198">
        <f t="shared" si="27"/>
        <v>47536.23239436619</v>
      </c>
      <c r="L253" s="12">
        <f t="shared" si="28"/>
        <v>0</v>
      </c>
      <c r="M253" s="289">
        <f t="shared" si="29"/>
        <v>0</v>
      </c>
      <c r="O253" s="42">
        <f t="shared" si="30"/>
        <v>0</v>
      </c>
      <c r="P253" s="247"/>
      <c r="Q253" s="211"/>
      <c r="R253" s="211"/>
      <c r="S253" s="211"/>
      <c r="T253" s="211"/>
      <c r="U253" s="211"/>
      <c r="AF253" s="11"/>
      <c r="AG253" s="11"/>
      <c r="AH253" s="11"/>
      <c r="AI253" s="11"/>
      <c r="AJ253" s="11"/>
      <c r="AK253" s="11"/>
      <c r="AL253" s="11"/>
    </row>
    <row r="254" spans="1:38" x14ac:dyDescent="0.25">
      <c r="A254" s="38">
        <f>+Données!A254</f>
        <v>5854</v>
      </c>
      <c r="B254" s="229" t="str">
        <f>+Données!B254</f>
        <v>Burtigny</v>
      </c>
      <c r="C254" s="220">
        <f>+Ecrêtage!C254</f>
        <v>15260.883397027597</v>
      </c>
      <c r="D254" s="218"/>
      <c r="E254" s="220">
        <f>Données!AF254+Données!AG254+Données!AH254</f>
        <v>157194</v>
      </c>
      <c r="F254" s="218">
        <f t="shared" si="24"/>
        <v>122087.06717622078</v>
      </c>
      <c r="G254" s="8">
        <f t="shared" si="25"/>
        <v>35106.932823779222</v>
      </c>
      <c r="H254" s="289">
        <f t="shared" si="26"/>
        <v>-26330.199617834416</v>
      </c>
      <c r="J254" s="8">
        <f>Données!AN254</f>
        <v>23868</v>
      </c>
      <c r="K254" s="198">
        <f t="shared" si="27"/>
        <v>15260.883397027597</v>
      </c>
      <c r="L254" s="12">
        <f t="shared" si="28"/>
        <v>8607.1166029724027</v>
      </c>
      <c r="M254" s="289">
        <f t="shared" si="29"/>
        <v>-6455.3374522293016</v>
      </c>
      <c r="O254" s="42">
        <f t="shared" si="30"/>
        <v>-32785.537070063714</v>
      </c>
      <c r="P254" s="247"/>
      <c r="Q254" s="211"/>
      <c r="R254" s="211"/>
      <c r="S254" s="211"/>
      <c r="T254" s="211"/>
      <c r="U254" s="211"/>
      <c r="AF254" s="11"/>
      <c r="AG254" s="11"/>
      <c r="AH254" s="11"/>
      <c r="AI254" s="11"/>
      <c r="AJ254" s="11"/>
      <c r="AK254" s="11"/>
      <c r="AL254" s="11"/>
    </row>
    <row r="255" spans="1:38" x14ac:dyDescent="0.25">
      <c r="A255" s="38">
        <f>+Données!A255</f>
        <v>5855</v>
      </c>
      <c r="B255" s="229" t="str">
        <f>+Données!B255</f>
        <v>Dully</v>
      </c>
      <c r="C255" s="220">
        <f>+Ecrêtage!C255</f>
        <v>82571.89</v>
      </c>
      <c r="D255" s="218"/>
      <c r="E255" s="220">
        <f>Données!AF255+Données!AG255+Données!AH255</f>
        <v>0</v>
      </c>
      <c r="F255" s="218">
        <f t="shared" si="24"/>
        <v>660575.12</v>
      </c>
      <c r="G255" s="8">
        <f t="shared" si="25"/>
        <v>0</v>
      </c>
      <c r="H255" s="289">
        <f t="shared" si="26"/>
        <v>0</v>
      </c>
      <c r="J255" s="8">
        <f>Données!AN255</f>
        <v>0</v>
      </c>
      <c r="K255" s="198">
        <f t="shared" si="27"/>
        <v>82571.89</v>
      </c>
      <c r="L255" s="12">
        <f t="shared" si="28"/>
        <v>0</v>
      </c>
      <c r="M255" s="289">
        <f t="shared" si="29"/>
        <v>0</v>
      </c>
      <c r="O255" s="42">
        <f t="shared" si="30"/>
        <v>0</v>
      </c>
      <c r="P255" s="247"/>
      <c r="Q255" s="211"/>
      <c r="R255" s="211"/>
      <c r="S255" s="211"/>
      <c r="T255" s="211"/>
      <c r="U255" s="211"/>
      <c r="AF255" s="11"/>
      <c r="AG255" s="11"/>
      <c r="AH255" s="11"/>
      <c r="AI255" s="11"/>
      <c r="AJ255" s="11"/>
      <c r="AK255" s="11"/>
      <c r="AL255" s="11"/>
    </row>
    <row r="256" spans="1:38" x14ac:dyDescent="0.25">
      <c r="A256" s="38">
        <f>+Données!A256</f>
        <v>5856</v>
      </c>
      <c r="B256" s="229" t="str">
        <f>+Données!B256</f>
        <v>Essertines-sur-Rolle</v>
      </c>
      <c r="C256" s="220">
        <f>+Ecrêtage!C256</f>
        <v>36460.812481203015</v>
      </c>
      <c r="D256" s="218"/>
      <c r="E256" s="220">
        <f>Données!AF256+Données!AG256+Données!AH256</f>
        <v>264838</v>
      </c>
      <c r="F256" s="218">
        <f t="shared" si="24"/>
        <v>291686.49984962412</v>
      </c>
      <c r="G256" s="8">
        <f t="shared" si="25"/>
        <v>0</v>
      </c>
      <c r="H256" s="289">
        <f t="shared" si="26"/>
        <v>0</v>
      </c>
      <c r="J256" s="8">
        <f>Données!AN256</f>
        <v>15474</v>
      </c>
      <c r="K256" s="198">
        <f t="shared" si="27"/>
        <v>36460.812481203015</v>
      </c>
      <c r="L256" s="12">
        <f t="shared" si="28"/>
        <v>0</v>
      </c>
      <c r="M256" s="289">
        <f t="shared" si="29"/>
        <v>0</v>
      </c>
      <c r="O256" s="42">
        <f t="shared" si="30"/>
        <v>0</v>
      </c>
      <c r="P256" s="247"/>
      <c r="Q256" s="211"/>
      <c r="R256" s="211"/>
      <c r="S256" s="211"/>
      <c r="T256" s="211"/>
      <c r="U256" s="211"/>
      <c r="AF256" s="11"/>
      <c r="AG256" s="11"/>
      <c r="AH256" s="11"/>
      <c r="AI256" s="11"/>
      <c r="AJ256" s="11"/>
      <c r="AK256" s="11"/>
      <c r="AL256" s="11"/>
    </row>
    <row r="257" spans="1:38" x14ac:dyDescent="0.25">
      <c r="A257" s="38">
        <f>+Données!A257</f>
        <v>5857</v>
      </c>
      <c r="B257" s="229" t="str">
        <f>+Données!B257</f>
        <v>Gilly</v>
      </c>
      <c r="C257" s="220">
        <f>+Ecrêtage!C257</f>
        <v>86828.689767441872</v>
      </c>
      <c r="D257" s="218"/>
      <c r="E257" s="220">
        <f>Données!AF257+Données!AG257+Données!AH257</f>
        <v>0</v>
      </c>
      <c r="F257" s="218">
        <f t="shared" si="24"/>
        <v>694629.51813953498</v>
      </c>
      <c r="G257" s="8">
        <f t="shared" si="25"/>
        <v>0</v>
      </c>
      <c r="H257" s="289">
        <f t="shared" si="26"/>
        <v>0</v>
      </c>
      <c r="J257" s="8">
        <f>Données!AN257</f>
        <v>0</v>
      </c>
      <c r="K257" s="198">
        <f t="shared" si="27"/>
        <v>86828.689767441872</v>
      </c>
      <c r="L257" s="12">
        <f t="shared" si="28"/>
        <v>0</v>
      </c>
      <c r="M257" s="289">
        <f t="shared" si="29"/>
        <v>0</v>
      </c>
      <c r="O257" s="42">
        <f t="shared" si="30"/>
        <v>0</v>
      </c>
      <c r="P257" s="247"/>
      <c r="Q257" s="211"/>
      <c r="R257" s="211"/>
      <c r="S257" s="211"/>
      <c r="T257" s="211"/>
      <c r="U257" s="211"/>
      <c r="AF257" s="11"/>
      <c r="AG257" s="11"/>
      <c r="AH257" s="11"/>
      <c r="AI257" s="11"/>
      <c r="AJ257" s="11"/>
      <c r="AK257" s="11"/>
      <c r="AL257" s="11"/>
    </row>
    <row r="258" spans="1:38" x14ac:dyDescent="0.25">
      <c r="A258" s="38">
        <f>+Données!A258</f>
        <v>5858</v>
      </c>
      <c r="B258" s="229" t="str">
        <f>+Données!B258</f>
        <v>Luins</v>
      </c>
      <c r="C258" s="220">
        <f>+Ecrêtage!C258</f>
        <v>41161.285925925928</v>
      </c>
      <c r="D258" s="218"/>
      <c r="E258" s="220">
        <f>Données!AF258+Données!AG258+Données!AH258</f>
        <v>0</v>
      </c>
      <c r="F258" s="218">
        <f t="shared" si="24"/>
        <v>329290.28740740742</v>
      </c>
      <c r="G258" s="8">
        <f t="shared" si="25"/>
        <v>0</v>
      </c>
      <c r="H258" s="289">
        <f t="shared" si="26"/>
        <v>0</v>
      </c>
      <c r="J258" s="8">
        <f>Données!AN258</f>
        <v>0</v>
      </c>
      <c r="K258" s="198">
        <f t="shared" si="27"/>
        <v>41161.285925925928</v>
      </c>
      <c r="L258" s="12">
        <f t="shared" si="28"/>
        <v>0</v>
      </c>
      <c r="M258" s="289">
        <f t="shared" si="29"/>
        <v>0</v>
      </c>
      <c r="O258" s="42">
        <f t="shared" si="30"/>
        <v>0</v>
      </c>
      <c r="P258" s="247"/>
      <c r="Q258" s="211"/>
      <c r="R258" s="211"/>
      <c r="S258" s="211"/>
      <c r="T258" s="211"/>
      <c r="U258" s="211"/>
      <c r="AF258" s="11"/>
      <c r="AG258" s="11"/>
      <c r="AH258" s="11"/>
      <c r="AI258" s="11"/>
      <c r="AJ258" s="11"/>
      <c r="AK258" s="11"/>
      <c r="AL258" s="11"/>
    </row>
    <row r="259" spans="1:38" x14ac:dyDescent="0.25">
      <c r="A259" s="38">
        <f>+Données!A259</f>
        <v>5859</v>
      </c>
      <c r="B259" s="229" t="str">
        <f>+Données!B259</f>
        <v>Mont-sur-Rolle</v>
      </c>
      <c r="C259" s="220">
        <f>+Ecrêtage!C259</f>
        <v>158436.40771653541</v>
      </c>
      <c r="D259" s="218"/>
      <c r="E259" s="220">
        <f>Données!AF259+Données!AG259+Données!AH259</f>
        <v>1573829</v>
      </c>
      <c r="F259" s="218">
        <f t="shared" si="24"/>
        <v>1267491.2617322833</v>
      </c>
      <c r="G259" s="8">
        <f t="shared" si="25"/>
        <v>306337.73826771672</v>
      </c>
      <c r="H259" s="289">
        <f t="shared" si="26"/>
        <v>-229753.30370078754</v>
      </c>
      <c r="J259" s="8">
        <f>Données!AN259</f>
        <v>0</v>
      </c>
      <c r="K259" s="198">
        <f t="shared" si="27"/>
        <v>158436.40771653541</v>
      </c>
      <c r="L259" s="12">
        <f t="shared" si="28"/>
        <v>0</v>
      </c>
      <c r="M259" s="289">
        <f t="shared" si="29"/>
        <v>0</v>
      </c>
      <c r="O259" s="42">
        <f t="shared" si="30"/>
        <v>-229753.30370078754</v>
      </c>
      <c r="P259" s="247"/>
      <c r="Q259" s="211"/>
      <c r="R259" s="211"/>
      <c r="S259" s="211"/>
      <c r="T259" s="211"/>
      <c r="U259" s="211"/>
      <c r="AF259" s="11"/>
      <c r="AG259" s="11"/>
      <c r="AH259" s="11"/>
      <c r="AI259" s="11"/>
      <c r="AJ259" s="11"/>
      <c r="AK259" s="11"/>
      <c r="AL259" s="11"/>
    </row>
    <row r="260" spans="1:38" x14ac:dyDescent="0.25">
      <c r="A260" s="38">
        <f>+Données!A260</f>
        <v>5860</v>
      </c>
      <c r="B260" s="229" t="str">
        <f>+Données!B260</f>
        <v>Perroy</v>
      </c>
      <c r="C260" s="220">
        <f>+Ecrêtage!C260</f>
        <v>132374.98733727811</v>
      </c>
      <c r="D260" s="218"/>
      <c r="E260" s="220">
        <f>Données!AF260+Données!AG260+Données!AH260</f>
        <v>0</v>
      </c>
      <c r="F260" s="218">
        <f t="shared" si="24"/>
        <v>1058999.8986982249</v>
      </c>
      <c r="G260" s="8">
        <f t="shared" si="25"/>
        <v>0</v>
      </c>
      <c r="H260" s="289">
        <f t="shared" si="26"/>
        <v>0</v>
      </c>
      <c r="J260" s="8">
        <f>Données!AN260</f>
        <v>0</v>
      </c>
      <c r="K260" s="198">
        <f t="shared" si="27"/>
        <v>132374.98733727811</v>
      </c>
      <c r="L260" s="12">
        <f t="shared" si="28"/>
        <v>0</v>
      </c>
      <c r="M260" s="289">
        <f t="shared" si="29"/>
        <v>0</v>
      </c>
      <c r="O260" s="42">
        <f t="shared" si="30"/>
        <v>0</v>
      </c>
      <c r="P260" s="247"/>
      <c r="Q260" s="211"/>
      <c r="R260" s="211"/>
      <c r="S260" s="211"/>
      <c r="T260" s="211"/>
      <c r="U260" s="211"/>
      <c r="AF260" s="11"/>
      <c r="AG260" s="11"/>
      <c r="AH260" s="11"/>
      <c r="AI260" s="11"/>
      <c r="AJ260" s="11"/>
      <c r="AK260" s="11"/>
      <c r="AL260" s="11"/>
    </row>
    <row r="261" spans="1:38" x14ac:dyDescent="0.25">
      <c r="A261" s="38">
        <f>+Données!A261</f>
        <v>5861</v>
      </c>
      <c r="B261" s="229" t="str">
        <f>+Données!B261</f>
        <v>Rolle</v>
      </c>
      <c r="C261" s="220">
        <f>+Ecrêtage!C261</f>
        <v>897513.79815126071</v>
      </c>
      <c r="D261" s="218"/>
      <c r="E261" s="220">
        <f>Données!AF261+Données!AG261+Données!AH261</f>
        <v>0</v>
      </c>
      <c r="F261" s="218">
        <f t="shared" si="24"/>
        <v>7180110.3852100857</v>
      </c>
      <c r="G261" s="8">
        <f t="shared" si="25"/>
        <v>0</v>
      </c>
      <c r="H261" s="289">
        <f t="shared" si="26"/>
        <v>0</v>
      </c>
      <c r="J261" s="8">
        <f>Données!AN261</f>
        <v>0</v>
      </c>
      <c r="K261" s="198">
        <f t="shared" si="27"/>
        <v>897513.79815126071</v>
      </c>
      <c r="L261" s="12">
        <f t="shared" si="28"/>
        <v>0</v>
      </c>
      <c r="M261" s="289">
        <f t="shared" si="29"/>
        <v>0</v>
      </c>
      <c r="O261" s="42">
        <f t="shared" si="30"/>
        <v>0</v>
      </c>
      <c r="P261" s="247"/>
      <c r="Q261" s="211"/>
      <c r="R261" s="211"/>
      <c r="S261" s="211"/>
      <c r="T261" s="211"/>
      <c r="U261" s="211"/>
      <c r="AF261" s="11"/>
      <c r="AG261" s="11"/>
      <c r="AH261" s="11"/>
      <c r="AI261" s="11"/>
      <c r="AJ261" s="11"/>
      <c r="AK261" s="11"/>
      <c r="AL261" s="11"/>
    </row>
    <row r="262" spans="1:38" x14ac:dyDescent="0.25">
      <c r="A262" s="38">
        <f>+Données!A262</f>
        <v>5862</v>
      </c>
      <c r="B262" s="229" t="str">
        <f>+Données!B262</f>
        <v>Tartegnin</v>
      </c>
      <c r="C262" s="220">
        <f>+Ecrêtage!C262</f>
        <v>10371.497468354431</v>
      </c>
      <c r="D262" s="218"/>
      <c r="E262" s="220">
        <f>Données!AF262+Données!AG262+Données!AH262</f>
        <v>66309</v>
      </c>
      <c r="F262" s="218">
        <f t="shared" si="24"/>
        <v>82971.979746835452</v>
      </c>
      <c r="G262" s="8">
        <f t="shared" si="25"/>
        <v>0</v>
      </c>
      <c r="H262" s="289">
        <f t="shared" si="26"/>
        <v>0</v>
      </c>
      <c r="J262" s="8">
        <f>Données!AN262</f>
        <v>4418</v>
      </c>
      <c r="K262" s="198">
        <f t="shared" si="27"/>
        <v>10371.497468354431</v>
      </c>
      <c r="L262" s="12">
        <f t="shared" si="28"/>
        <v>0</v>
      </c>
      <c r="M262" s="289">
        <f t="shared" si="29"/>
        <v>0</v>
      </c>
      <c r="O262" s="42">
        <f t="shared" si="30"/>
        <v>0</v>
      </c>
      <c r="P262" s="247"/>
      <c r="Q262" s="211"/>
      <c r="R262" s="211"/>
      <c r="S262" s="211"/>
      <c r="T262" s="211"/>
      <c r="U262" s="211"/>
      <c r="AF262" s="11"/>
      <c r="AG262" s="11"/>
      <c r="AH262" s="11"/>
      <c r="AI262" s="11"/>
      <c r="AJ262" s="11"/>
      <c r="AK262" s="11"/>
      <c r="AL262" s="11"/>
    </row>
    <row r="263" spans="1:38" x14ac:dyDescent="0.25">
      <c r="A263" s="38">
        <f>+Données!A263</f>
        <v>5863</v>
      </c>
      <c r="B263" s="229" t="str">
        <f>+Données!B263</f>
        <v>Vinzel</v>
      </c>
      <c r="C263" s="220">
        <f>+Ecrêtage!C263</f>
        <v>23661.929552238806</v>
      </c>
      <c r="D263" s="218"/>
      <c r="E263" s="220">
        <f>Données!AF263+Données!AG263+Données!AH263</f>
        <v>0</v>
      </c>
      <c r="F263" s="218">
        <f t="shared" ref="F263:F305" si="31">+C263*$G$5</f>
        <v>189295.43641791045</v>
      </c>
      <c r="G263" s="8">
        <f t="shared" ref="G263:G305" si="32">IF(E263&gt;F263,E263-F263,0)</f>
        <v>0</v>
      </c>
      <c r="H263" s="289">
        <f t="shared" ref="H263:H305" si="33">-G263*H$5</f>
        <v>0</v>
      </c>
      <c r="J263" s="8">
        <f>Données!AN263</f>
        <v>0</v>
      </c>
      <c r="K263" s="198">
        <f t="shared" ref="K263:K305" si="34">C263*L$5</f>
        <v>23661.929552238806</v>
      </c>
      <c r="L263" s="12">
        <f t="shared" ref="L263:L305" si="35">IF(J263&gt;K263,J263-K263,0)</f>
        <v>0</v>
      </c>
      <c r="M263" s="289">
        <f t="shared" ref="M263:M305" si="36">-L263*M$5</f>
        <v>0</v>
      </c>
      <c r="O263" s="42">
        <f t="shared" ref="O263:O305" si="37">M263+H263</f>
        <v>0</v>
      </c>
      <c r="P263" s="247"/>
      <c r="Q263" s="211"/>
      <c r="R263" s="211"/>
      <c r="S263" s="211"/>
      <c r="T263" s="211"/>
      <c r="U263" s="211"/>
      <c r="AF263" s="11"/>
      <c r="AG263" s="11"/>
      <c r="AH263" s="11"/>
      <c r="AI263" s="11"/>
      <c r="AJ263" s="11"/>
      <c r="AK263" s="11"/>
      <c r="AL263" s="11"/>
    </row>
    <row r="264" spans="1:38" x14ac:dyDescent="0.25">
      <c r="A264" s="38">
        <f>+Données!A264</f>
        <v>5871</v>
      </c>
      <c r="B264" s="229" t="str">
        <f>+Données!B264</f>
        <v>L'Abbaye</v>
      </c>
      <c r="C264" s="220">
        <f>+Ecrêtage!C264</f>
        <v>50236.516429495467</v>
      </c>
      <c r="D264" s="218"/>
      <c r="E264" s="220">
        <f>Données!AF264+Données!AG264+Données!AH264</f>
        <v>973823</v>
      </c>
      <c r="F264" s="218">
        <f t="shared" si="31"/>
        <v>401892.13143596373</v>
      </c>
      <c r="G264" s="8">
        <f t="shared" si="32"/>
        <v>571930.86856403621</v>
      </c>
      <c r="H264" s="289">
        <f t="shared" si="33"/>
        <v>-428948.15142302716</v>
      </c>
      <c r="J264" s="8">
        <f>Données!AN264</f>
        <v>-50370</v>
      </c>
      <c r="K264" s="198">
        <f t="shared" si="34"/>
        <v>50236.516429495467</v>
      </c>
      <c r="L264" s="12">
        <f t="shared" si="35"/>
        <v>0</v>
      </c>
      <c r="M264" s="289">
        <f t="shared" si="36"/>
        <v>0</v>
      </c>
      <c r="O264" s="42">
        <f t="shared" si="37"/>
        <v>-428948.15142302716</v>
      </c>
      <c r="P264" s="247"/>
      <c r="Q264" s="211"/>
      <c r="R264" s="211"/>
      <c r="S264" s="211"/>
      <c r="T264" s="211"/>
      <c r="U264" s="211"/>
      <c r="AF264" s="11"/>
      <c r="AG264" s="11"/>
      <c r="AH264" s="11"/>
      <c r="AI264" s="11"/>
      <c r="AJ264" s="11"/>
      <c r="AK264" s="11"/>
      <c r="AL264" s="11"/>
    </row>
    <row r="265" spans="1:38" x14ac:dyDescent="0.25">
      <c r="A265" s="38">
        <f>+Données!A265</f>
        <v>5872</v>
      </c>
      <c r="B265" s="229" t="str">
        <f>+Données!B265</f>
        <v>Le Chenit</v>
      </c>
      <c r="C265" s="220">
        <f>+Ecrêtage!C265</f>
        <v>317064.3538829867</v>
      </c>
      <c r="D265" s="218"/>
      <c r="E265" s="220">
        <f>Données!AF265+Données!AG265+Données!AH265</f>
        <v>3912325</v>
      </c>
      <c r="F265" s="218">
        <f t="shared" si="31"/>
        <v>2536514.8310638936</v>
      </c>
      <c r="G265" s="8">
        <f t="shared" si="32"/>
        <v>1375810.1689361064</v>
      </c>
      <c r="H265" s="289">
        <f t="shared" si="33"/>
        <v>-1031857.6267020798</v>
      </c>
      <c r="J265" s="8">
        <f>Données!AN265</f>
        <v>534298</v>
      </c>
      <c r="K265" s="198">
        <f t="shared" si="34"/>
        <v>317064.3538829867</v>
      </c>
      <c r="L265" s="12">
        <f t="shared" si="35"/>
        <v>217233.6461170133</v>
      </c>
      <c r="M265" s="289">
        <f t="shared" si="36"/>
        <v>-162925.23458775997</v>
      </c>
      <c r="O265" s="42">
        <f t="shared" si="37"/>
        <v>-1194782.8612898397</v>
      </c>
      <c r="P265" s="247"/>
      <c r="Q265" s="211"/>
      <c r="R265" s="211"/>
      <c r="S265" s="211"/>
      <c r="T265" s="211"/>
      <c r="U265" s="211"/>
      <c r="AF265" s="11"/>
      <c r="AG265" s="11"/>
      <c r="AH265" s="11"/>
      <c r="AI265" s="11"/>
      <c r="AJ265" s="11"/>
      <c r="AK265" s="11"/>
      <c r="AL265" s="11"/>
    </row>
    <row r="266" spans="1:38" x14ac:dyDescent="0.25">
      <c r="A266" s="38">
        <f>+Données!A266</f>
        <v>5873</v>
      </c>
      <c r="B266" s="229" t="str">
        <f>+Données!B266</f>
        <v>Le Lieu</v>
      </c>
      <c r="C266" s="220">
        <f>+Ecrêtage!C266</f>
        <v>35207.025785714286</v>
      </c>
      <c r="D266" s="218"/>
      <c r="E266" s="220">
        <f>Données!AF266+Données!AG266+Données!AH266</f>
        <v>1013573</v>
      </c>
      <c r="F266" s="218">
        <f t="shared" si="31"/>
        <v>281656.20628571429</v>
      </c>
      <c r="G266" s="8">
        <f t="shared" si="32"/>
        <v>731916.79371428571</v>
      </c>
      <c r="H266" s="289">
        <f t="shared" si="33"/>
        <v>-548937.59528571425</v>
      </c>
      <c r="J266" s="8">
        <f>Données!AN266</f>
        <v>186223</v>
      </c>
      <c r="K266" s="198">
        <f t="shared" si="34"/>
        <v>35207.025785714286</v>
      </c>
      <c r="L266" s="12">
        <f t="shared" si="35"/>
        <v>151015.97421428573</v>
      </c>
      <c r="M266" s="289">
        <f t="shared" si="36"/>
        <v>-113261.9806607143</v>
      </c>
      <c r="O266" s="42">
        <f t="shared" si="37"/>
        <v>-662199.57594642858</v>
      </c>
      <c r="P266" s="247"/>
      <c r="Q266" s="211"/>
      <c r="R266" s="211"/>
      <c r="S266" s="211"/>
      <c r="T266" s="211"/>
      <c r="U266" s="211"/>
      <c r="AF266" s="11"/>
      <c r="AG266" s="11"/>
      <c r="AH266" s="11"/>
      <c r="AI266" s="11"/>
      <c r="AJ266" s="11"/>
      <c r="AK266" s="11"/>
      <c r="AL266" s="11"/>
    </row>
    <row r="267" spans="1:38" x14ac:dyDescent="0.25">
      <c r="A267" s="38">
        <f>+Données!A267</f>
        <v>5882</v>
      </c>
      <c r="B267" s="229" t="str">
        <f>+Données!B267</f>
        <v>Chardonne</v>
      </c>
      <c r="C267" s="220">
        <f>+Ecrêtage!C267</f>
        <v>201756.91955882352</v>
      </c>
      <c r="D267" s="218"/>
      <c r="E267" s="220">
        <f>Données!AF267+Données!AG267+Données!AH267</f>
        <v>1975410</v>
      </c>
      <c r="F267" s="218">
        <f t="shared" si="31"/>
        <v>1614055.3564705881</v>
      </c>
      <c r="G267" s="8">
        <f t="shared" si="32"/>
        <v>361354.64352941187</v>
      </c>
      <c r="H267" s="289">
        <f t="shared" si="33"/>
        <v>-271015.9826470589</v>
      </c>
      <c r="J267" s="8">
        <f>Données!AN267</f>
        <v>1503</v>
      </c>
      <c r="K267" s="198">
        <f t="shared" si="34"/>
        <v>201756.91955882352</v>
      </c>
      <c r="L267" s="12">
        <f t="shared" si="35"/>
        <v>0</v>
      </c>
      <c r="M267" s="289">
        <f t="shared" si="36"/>
        <v>0</v>
      </c>
      <c r="O267" s="42">
        <f t="shared" si="37"/>
        <v>-271015.9826470589</v>
      </c>
      <c r="P267" s="247"/>
      <c r="Q267" s="211"/>
      <c r="R267" s="211"/>
      <c r="S267" s="211"/>
      <c r="T267" s="211"/>
      <c r="U267" s="211"/>
      <c r="AF267" s="11"/>
      <c r="AG267" s="11"/>
      <c r="AH267" s="11"/>
      <c r="AI267" s="11"/>
      <c r="AJ267" s="11"/>
      <c r="AK267" s="11"/>
      <c r="AL267" s="11"/>
    </row>
    <row r="268" spans="1:38" x14ac:dyDescent="0.25">
      <c r="A268" s="38">
        <f>+Données!A268</f>
        <v>5883</v>
      </c>
      <c r="B268" s="229" t="str">
        <f>+Données!B268</f>
        <v>Corseaux</v>
      </c>
      <c r="C268" s="220">
        <f>+Ecrêtage!C268</f>
        <v>180896.25407407407</v>
      </c>
      <c r="D268" s="218"/>
      <c r="E268" s="220">
        <f>Données!AF268+Données!AG268+Données!AH268</f>
        <v>1277807</v>
      </c>
      <c r="F268" s="218">
        <f t="shared" si="31"/>
        <v>1447170.0325925925</v>
      </c>
      <c r="G268" s="8">
        <f t="shared" si="32"/>
        <v>0</v>
      </c>
      <c r="H268" s="289">
        <f t="shared" si="33"/>
        <v>0</v>
      </c>
      <c r="J268" s="8">
        <f>Données!AN268</f>
        <v>2162</v>
      </c>
      <c r="K268" s="198">
        <f t="shared" si="34"/>
        <v>180896.25407407407</v>
      </c>
      <c r="L268" s="12">
        <f t="shared" si="35"/>
        <v>0</v>
      </c>
      <c r="M268" s="289">
        <f t="shared" si="36"/>
        <v>0</v>
      </c>
      <c r="O268" s="42">
        <f t="shared" si="37"/>
        <v>0</v>
      </c>
      <c r="P268" s="247"/>
      <c r="Q268" s="211"/>
      <c r="R268" s="211"/>
      <c r="S268" s="211"/>
      <c r="T268" s="211"/>
      <c r="U268" s="211"/>
      <c r="AF268" s="11"/>
      <c r="AG268" s="11"/>
      <c r="AH268" s="11"/>
      <c r="AI268" s="11"/>
      <c r="AJ268" s="11"/>
      <c r="AK268" s="11"/>
      <c r="AL268" s="11"/>
    </row>
    <row r="269" spans="1:38" x14ac:dyDescent="0.25">
      <c r="A269" s="38">
        <f>+Données!A269</f>
        <v>5884</v>
      </c>
      <c r="B269" s="229" t="str">
        <f>+Données!B269</f>
        <v>Corsier-sur-Vevey</v>
      </c>
      <c r="C269" s="220">
        <f>+Ecrêtage!C269</f>
        <v>128051.27881136951</v>
      </c>
      <c r="D269" s="218"/>
      <c r="E269" s="220">
        <f>Données!AF269+Données!AG269+Données!AH269</f>
        <v>2909178</v>
      </c>
      <c r="F269" s="218">
        <f t="shared" si="31"/>
        <v>1024410.2304909561</v>
      </c>
      <c r="G269" s="8">
        <f t="shared" si="32"/>
        <v>1884767.769509044</v>
      </c>
      <c r="H269" s="289">
        <f t="shared" si="33"/>
        <v>-1413575.8271317831</v>
      </c>
      <c r="J269" s="8">
        <f>Données!AN269</f>
        <v>32204</v>
      </c>
      <c r="K269" s="198">
        <f t="shared" si="34"/>
        <v>128051.27881136951</v>
      </c>
      <c r="L269" s="12">
        <f t="shared" si="35"/>
        <v>0</v>
      </c>
      <c r="M269" s="289">
        <f t="shared" si="36"/>
        <v>0</v>
      </c>
      <c r="O269" s="42">
        <f t="shared" si="37"/>
        <v>-1413575.8271317831</v>
      </c>
      <c r="P269" s="247"/>
      <c r="Q269" s="211"/>
      <c r="R269" s="211"/>
      <c r="S269" s="211"/>
      <c r="T269" s="211"/>
      <c r="U269" s="211"/>
      <c r="AF269" s="11"/>
      <c r="AG269" s="11"/>
      <c r="AH269" s="11"/>
      <c r="AI269" s="11"/>
      <c r="AJ269" s="11"/>
      <c r="AK269" s="11"/>
      <c r="AL269" s="11"/>
    </row>
    <row r="270" spans="1:38" x14ac:dyDescent="0.25">
      <c r="A270" s="38">
        <f>+Données!A270</f>
        <v>5885</v>
      </c>
      <c r="B270" s="229" t="str">
        <f>+Données!B270</f>
        <v>Jongny</v>
      </c>
      <c r="C270" s="220">
        <f>+Ecrêtage!C270</f>
        <v>104091.36242206233</v>
      </c>
      <c r="D270" s="218"/>
      <c r="E270" s="220">
        <f>Données!AF270+Données!AG270+Données!AH270</f>
        <v>915101</v>
      </c>
      <c r="F270" s="218">
        <f t="shared" si="31"/>
        <v>832730.89937649865</v>
      </c>
      <c r="G270" s="8">
        <f t="shared" si="32"/>
        <v>82370.100623501348</v>
      </c>
      <c r="H270" s="289">
        <f t="shared" si="33"/>
        <v>-61777.575467626011</v>
      </c>
      <c r="J270" s="8">
        <f>Données!AN270</f>
        <v>-7847</v>
      </c>
      <c r="K270" s="198">
        <f t="shared" si="34"/>
        <v>104091.36242206233</v>
      </c>
      <c r="L270" s="12">
        <f t="shared" si="35"/>
        <v>0</v>
      </c>
      <c r="M270" s="289">
        <f t="shared" si="36"/>
        <v>0</v>
      </c>
      <c r="O270" s="42">
        <f t="shared" si="37"/>
        <v>-61777.575467626011</v>
      </c>
      <c r="P270" s="247"/>
      <c r="Q270" s="211"/>
      <c r="R270" s="211"/>
      <c r="S270" s="211"/>
      <c r="T270" s="211"/>
      <c r="U270" s="211"/>
      <c r="AF270" s="11"/>
      <c r="AG270" s="11"/>
      <c r="AH270" s="11"/>
      <c r="AI270" s="11"/>
      <c r="AJ270" s="11"/>
      <c r="AK270" s="11"/>
      <c r="AL270" s="11"/>
    </row>
    <row r="271" spans="1:38" x14ac:dyDescent="0.25">
      <c r="A271" s="38">
        <f>+Données!A271</f>
        <v>5886</v>
      </c>
      <c r="B271" s="229" t="str">
        <f>+Données!B271</f>
        <v>Montreux</v>
      </c>
      <c r="C271" s="220">
        <f>+Ecrêtage!C271</f>
        <v>1153112.7161538461</v>
      </c>
      <c r="D271" s="218"/>
      <c r="E271" s="220">
        <f>Données!AF271+Données!AG271+Données!AH271</f>
        <v>17270869</v>
      </c>
      <c r="F271" s="218">
        <f t="shared" si="31"/>
        <v>9224901.729230769</v>
      </c>
      <c r="G271" s="8">
        <f t="shared" si="32"/>
        <v>8045967.270769231</v>
      </c>
      <c r="H271" s="289">
        <f t="shared" si="33"/>
        <v>-6034475.4530769233</v>
      </c>
      <c r="J271" s="8">
        <f>Données!AN271</f>
        <v>1892914</v>
      </c>
      <c r="K271" s="198">
        <f t="shared" si="34"/>
        <v>1153112.7161538461</v>
      </c>
      <c r="L271" s="12">
        <f t="shared" si="35"/>
        <v>739801.28384615388</v>
      </c>
      <c r="M271" s="289">
        <f t="shared" si="36"/>
        <v>-554850.96288461541</v>
      </c>
      <c r="O271" s="42">
        <f t="shared" si="37"/>
        <v>-6589326.4159615384</v>
      </c>
      <c r="P271" s="247"/>
      <c r="Q271" s="211"/>
      <c r="R271" s="211"/>
      <c r="S271" s="211"/>
      <c r="T271" s="211"/>
      <c r="U271" s="211"/>
      <c r="AF271" s="11"/>
      <c r="AG271" s="11"/>
      <c r="AH271" s="11"/>
      <c r="AI271" s="11"/>
      <c r="AJ271" s="11"/>
      <c r="AK271" s="11"/>
      <c r="AL271" s="11"/>
    </row>
    <row r="272" spans="1:38" x14ac:dyDescent="0.25">
      <c r="A272" s="38">
        <f>+Données!A272</f>
        <v>5889</v>
      </c>
      <c r="B272" s="229" t="str">
        <f>+Données!B272</f>
        <v>La Tour-de-Peilz</v>
      </c>
      <c r="C272" s="220">
        <f>+Ecrêtage!C272</f>
        <v>709179.36611979152</v>
      </c>
      <c r="D272" s="218"/>
      <c r="E272" s="220">
        <f>Données!AF272+Données!AG272+Données!AH272</f>
        <v>6691667</v>
      </c>
      <c r="F272" s="218">
        <f t="shared" si="31"/>
        <v>5673434.9289583322</v>
      </c>
      <c r="G272" s="8">
        <f t="shared" si="32"/>
        <v>1018232.0710416678</v>
      </c>
      <c r="H272" s="289">
        <f t="shared" si="33"/>
        <v>-763674.05328125088</v>
      </c>
      <c r="J272" s="8">
        <f>Données!AN272</f>
        <v>59082</v>
      </c>
      <c r="K272" s="198">
        <f t="shared" si="34"/>
        <v>709179.36611979152</v>
      </c>
      <c r="L272" s="12">
        <f t="shared" si="35"/>
        <v>0</v>
      </c>
      <c r="M272" s="289">
        <f t="shared" si="36"/>
        <v>0</v>
      </c>
      <c r="O272" s="42">
        <f t="shared" si="37"/>
        <v>-763674.05328125088</v>
      </c>
      <c r="P272" s="247"/>
      <c r="Q272" s="211"/>
      <c r="R272" s="211"/>
      <c r="S272" s="211"/>
      <c r="T272" s="211"/>
      <c r="U272" s="211"/>
      <c r="AF272" s="11"/>
      <c r="AG272" s="11"/>
      <c r="AH272" s="11"/>
      <c r="AI272" s="11"/>
      <c r="AJ272" s="11"/>
      <c r="AK272" s="11"/>
      <c r="AL272" s="11"/>
    </row>
    <row r="273" spans="1:38" x14ac:dyDescent="0.25">
      <c r="A273" s="38">
        <f>+Données!A273</f>
        <v>5890</v>
      </c>
      <c r="B273" s="229" t="str">
        <f>+Données!B273</f>
        <v>Vevey</v>
      </c>
      <c r="C273" s="220">
        <f>+Ecrêtage!C273</f>
        <v>945087.70393736032</v>
      </c>
      <c r="D273" s="218"/>
      <c r="E273" s="220">
        <f>Données!AF273+Données!AG273+Données!AH273</f>
        <v>12468610</v>
      </c>
      <c r="F273" s="218">
        <f t="shared" si="31"/>
        <v>7560701.6314988825</v>
      </c>
      <c r="G273" s="8">
        <f t="shared" si="32"/>
        <v>4907908.3685011175</v>
      </c>
      <c r="H273" s="289">
        <f t="shared" si="33"/>
        <v>-3680931.2763758381</v>
      </c>
      <c r="J273" s="8">
        <f>Données!AN273</f>
        <v>100000</v>
      </c>
      <c r="K273" s="198">
        <f t="shared" si="34"/>
        <v>945087.70393736032</v>
      </c>
      <c r="L273" s="12">
        <f t="shared" si="35"/>
        <v>0</v>
      </c>
      <c r="M273" s="289">
        <f t="shared" si="36"/>
        <v>0</v>
      </c>
      <c r="O273" s="42">
        <f t="shared" si="37"/>
        <v>-3680931.2763758381</v>
      </c>
      <c r="P273" s="247"/>
      <c r="Q273" s="211"/>
      <c r="R273" s="211"/>
      <c r="S273" s="211"/>
      <c r="T273" s="211"/>
      <c r="U273" s="211"/>
      <c r="AF273" s="11"/>
      <c r="AG273" s="11"/>
      <c r="AH273" s="11"/>
      <c r="AI273" s="11"/>
      <c r="AJ273" s="11"/>
      <c r="AK273" s="11"/>
      <c r="AL273" s="11"/>
    </row>
    <row r="274" spans="1:38" x14ac:dyDescent="0.25">
      <c r="A274" s="38">
        <f>+Données!A274</f>
        <v>5891</v>
      </c>
      <c r="B274" s="229" t="str">
        <f>+Données!B274</f>
        <v>Veytaux</v>
      </c>
      <c r="C274" s="220">
        <f>+Ecrêtage!C274</f>
        <v>41113.316211031175</v>
      </c>
      <c r="D274" s="218"/>
      <c r="E274" s="220">
        <f>Données!AF274+Données!AG274+Données!AH274</f>
        <v>854139</v>
      </c>
      <c r="F274" s="218">
        <f t="shared" si="31"/>
        <v>328906.5296882494</v>
      </c>
      <c r="G274" s="8">
        <f t="shared" si="32"/>
        <v>525232.47031175066</v>
      </c>
      <c r="H274" s="289">
        <f t="shared" si="33"/>
        <v>-393924.35273381299</v>
      </c>
      <c r="J274" s="8">
        <f>Données!AN274</f>
        <v>449637</v>
      </c>
      <c r="K274" s="198">
        <f t="shared" si="34"/>
        <v>41113.316211031175</v>
      </c>
      <c r="L274" s="12">
        <f t="shared" si="35"/>
        <v>408523.68378896883</v>
      </c>
      <c r="M274" s="289">
        <f t="shared" si="36"/>
        <v>-306392.76284172665</v>
      </c>
      <c r="O274" s="42">
        <f t="shared" si="37"/>
        <v>-700317.11557553965</v>
      </c>
      <c r="P274" s="247"/>
      <c r="Q274" s="211"/>
      <c r="R274" s="211"/>
      <c r="S274" s="211"/>
      <c r="T274" s="211"/>
      <c r="U274" s="211"/>
      <c r="AF274" s="11"/>
      <c r="AG274" s="11"/>
      <c r="AH274" s="11"/>
      <c r="AI274" s="11"/>
      <c r="AJ274" s="11"/>
      <c r="AK274" s="11"/>
      <c r="AL274" s="11"/>
    </row>
    <row r="275" spans="1:38" s="202" customFormat="1" x14ac:dyDescent="0.25">
      <c r="A275" s="38">
        <f>+Données!A275</f>
        <v>5892</v>
      </c>
      <c r="B275" s="229" t="str">
        <f>+Données!B275</f>
        <v>Blonay-Saint-Légier</v>
      </c>
      <c r="C275" s="220">
        <f>+Ecrêtage!C275</f>
        <v>749734.6567883211</v>
      </c>
      <c r="D275" s="218"/>
      <c r="E275" s="220">
        <f>Données!AF275+Données!AG275+Données!AH275</f>
        <v>8187833</v>
      </c>
      <c r="F275" s="218">
        <f t="shared" si="31"/>
        <v>5997877.2543065688</v>
      </c>
      <c r="G275" s="8">
        <f t="shared" si="32"/>
        <v>2189955.7456934312</v>
      </c>
      <c r="H275" s="289">
        <f t="shared" si="33"/>
        <v>-1642466.8092700734</v>
      </c>
      <c r="I275" s="221"/>
      <c r="J275" s="8">
        <f>Données!AN275</f>
        <v>1297072</v>
      </c>
      <c r="K275" s="198">
        <f t="shared" si="34"/>
        <v>749734.6567883211</v>
      </c>
      <c r="L275" s="221">
        <f t="shared" si="35"/>
        <v>547337.3432116789</v>
      </c>
      <c r="M275" s="289">
        <f t="shared" si="36"/>
        <v>-410503.00740875921</v>
      </c>
      <c r="N275" s="221"/>
      <c r="O275" s="42">
        <f t="shared" si="37"/>
        <v>-2052969.8166788328</v>
      </c>
      <c r="P275" s="247"/>
      <c r="Q275" s="211"/>
      <c r="R275" s="211"/>
      <c r="S275" s="211"/>
      <c r="T275" s="211"/>
      <c r="U275" s="211"/>
    </row>
    <row r="276" spans="1:38" x14ac:dyDescent="0.25">
      <c r="A276" s="38">
        <f>+Données!A276</f>
        <v>5902</v>
      </c>
      <c r="B276" s="229" t="str">
        <f>+Données!B276</f>
        <v>Belmont-sur-Yverdon</v>
      </c>
      <c r="C276" s="220">
        <f>+Ecrêtage!C276</f>
        <v>11918.01</v>
      </c>
      <c r="D276" s="218"/>
      <c r="E276" s="220">
        <f>Données!AF276+Données!AG276+Données!AH276</f>
        <v>70886</v>
      </c>
      <c r="F276" s="218">
        <f t="shared" si="31"/>
        <v>95344.08</v>
      </c>
      <c r="G276" s="8">
        <f t="shared" si="32"/>
        <v>0</v>
      </c>
      <c r="H276" s="289">
        <f t="shared" si="33"/>
        <v>0</v>
      </c>
      <c r="J276" s="8">
        <f>Données!AN276</f>
        <v>20377</v>
      </c>
      <c r="K276" s="198">
        <f t="shared" si="34"/>
        <v>11918.01</v>
      </c>
      <c r="L276" s="12">
        <f t="shared" si="35"/>
        <v>8458.99</v>
      </c>
      <c r="M276" s="289">
        <f t="shared" si="36"/>
        <v>-6344.2425000000003</v>
      </c>
      <c r="O276" s="42">
        <f t="shared" si="37"/>
        <v>-6344.2425000000003</v>
      </c>
      <c r="P276" s="247"/>
      <c r="Q276" s="211"/>
      <c r="R276" s="211"/>
      <c r="S276" s="211"/>
      <c r="T276" s="211"/>
      <c r="U276" s="211"/>
      <c r="AF276" s="11"/>
      <c r="AG276" s="11"/>
      <c r="AH276" s="11"/>
      <c r="AI276" s="11"/>
      <c r="AJ276" s="11"/>
      <c r="AK276" s="11"/>
      <c r="AL276" s="11"/>
    </row>
    <row r="277" spans="1:38" x14ac:dyDescent="0.25">
      <c r="A277" s="38">
        <f>+Données!A277</f>
        <v>5903</v>
      </c>
      <c r="B277" s="229" t="str">
        <f>+Données!B277</f>
        <v>Bioley-Magnoux</v>
      </c>
      <c r="C277" s="220">
        <f>+Ecrêtage!C277</f>
        <v>6275.4313293650803</v>
      </c>
      <c r="D277" s="218"/>
      <c r="E277" s="220">
        <f>Données!AF277+Données!AG277+Données!AH277</f>
        <v>220240</v>
      </c>
      <c r="F277" s="218">
        <f t="shared" si="31"/>
        <v>50203.450634920642</v>
      </c>
      <c r="G277" s="8">
        <f t="shared" si="32"/>
        <v>170036.54936507935</v>
      </c>
      <c r="H277" s="289">
        <f t="shared" si="33"/>
        <v>-127527.41202380951</v>
      </c>
      <c r="J277" s="8">
        <f>Données!AN277</f>
        <v>27357</v>
      </c>
      <c r="K277" s="198">
        <f t="shared" si="34"/>
        <v>6275.4313293650803</v>
      </c>
      <c r="L277" s="12">
        <f t="shared" si="35"/>
        <v>21081.568670634919</v>
      </c>
      <c r="M277" s="289">
        <f t="shared" si="36"/>
        <v>-15811.176502976188</v>
      </c>
      <c r="O277" s="42">
        <f t="shared" si="37"/>
        <v>-143338.58852678569</v>
      </c>
      <c r="P277" s="247"/>
      <c r="Q277" s="211"/>
      <c r="R277" s="211"/>
      <c r="S277" s="211"/>
      <c r="T277" s="211"/>
      <c r="U277" s="211"/>
      <c r="AF277" s="11"/>
      <c r="AG277" s="11"/>
      <c r="AH277" s="11"/>
      <c r="AI277" s="11"/>
      <c r="AJ277" s="11"/>
      <c r="AK277" s="11"/>
      <c r="AL277" s="11"/>
    </row>
    <row r="278" spans="1:38" x14ac:dyDescent="0.25">
      <c r="A278" s="38">
        <f>+Données!A278</f>
        <v>5904</v>
      </c>
      <c r="B278" s="229" t="str">
        <f>+Données!B278</f>
        <v>Chamblon</v>
      </c>
      <c r="C278" s="220">
        <f>+Ecrêtage!C278</f>
        <v>18890.250303030305</v>
      </c>
      <c r="D278" s="218"/>
      <c r="E278" s="220">
        <f>Données!AF278+Données!AG278+Données!AH278</f>
        <v>107227</v>
      </c>
      <c r="F278" s="218">
        <f t="shared" si="31"/>
        <v>151122.00242424244</v>
      </c>
      <c r="G278" s="8">
        <f t="shared" si="32"/>
        <v>0</v>
      </c>
      <c r="H278" s="289">
        <f t="shared" si="33"/>
        <v>0</v>
      </c>
      <c r="J278" s="8">
        <f>Données!AN278</f>
        <v>1940</v>
      </c>
      <c r="K278" s="198">
        <f t="shared" si="34"/>
        <v>18890.250303030305</v>
      </c>
      <c r="L278" s="12">
        <f t="shared" si="35"/>
        <v>0</v>
      </c>
      <c r="M278" s="289">
        <f t="shared" si="36"/>
        <v>0</v>
      </c>
      <c r="O278" s="42">
        <f t="shared" si="37"/>
        <v>0</v>
      </c>
      <c r="P278" s="247"/>
      <c r="Q278" s="211"/>
      <c r="R278" s="211"/>
      <c r="S278" s="211"/>
      <c r="T278" s="211"/>
      <c r="U278" s="211"/>
      <c r="AF278" s="11"/>
      <c r="AG278" s="11"/>
      <c r="AH278" s="11"/>
      <c r="AI278" s="11"/>
      <c r="AJ278" s="11"/>
      <c r="AK278" s="11"/>
      <c r="AL278" s="11"/>
    </row>
    <row r="279" spans="1:38" x14ac:dyDescent="0.25">
      <c r="A279" s="38">
        <f>+Données!A279</f>
        <v>5905</v>
      </c>
      <c r="B279" s="229" t="str">
        <f>+Données!B279</f>
        <v>Champvent</v>
      </c>
      <c r="C279" s="220">
        <f>+Ecrêtage!C279</f>
        <v>21534.177714285714</v>
      </c>
      <c r="D279" s="218"/>
      <c r="E279" s="220">
        <f>Données!AF279+Données!AG279+Données!AH279</f>
        <v>282318</v>
      </c>
      <c r="F279" s="218">
        <f t="shared" si="31"/>
        <v>172273.42171428571</v>
      </c>
      <c r="G279" s="8">
        <f t="shared" si="32"/>
        <v>110044.57828571429</v>
      </c>
      <c r="H279" s="289">
        <f t="shared" si="33"/>
        <v>-82533.433714285726</v>
      </c>
      <c r="J279" s="8">
        <f>Données!AN279</f>
        <v>-67192</v>
      </c>
      <c r="K279" s="198">
        <f t="shared" si="34"/>
        <v>21534.177714285714</v>
      </c>
      <c r="L279" s="12">
        <f t="shared" si="35"/>
        <v>0</v>
      </c>
      <c r="M279" s="289">
        <f t="shared" si="36"/>
        <v>0</v>
      </c>
      <c r="O279" s="42">
        <f t="shared" si="37"/>
        <v>-82533.433714285726</v>
      </c>
      <c r="P279" s="247"/>
      <c r="Q279" s="211"/>
      <c r="R279" s="211"/>
      <c r="S279" s="211"/>
      <c r="T279" s="211"/>
      <c r="U279" s="211"/>
      <c r="AF279" s="11"/>
      <c r="AG279" s="11"/>
      <c r="AH279" s="11"/>
      <c r="AI279" s="11"/>
      <c r="AJ279" s="11"/>
      <c r="AK279" s="11"/>
      <c r="AL279" s="11"/>
    </row>
    <row r="280" spans="1:38" x14ac:dyDescent="0.25">
      <c r="A280" s="38">
        <f>+Données!A280</f>
        <v>5907</v>
      </c>
      <c r="B280" s="229" t="str">
        <f>+Données!B280</f>
        <v>Chavannes-le-Chêne</v>
      </c>
      <c r="C280" s="220">
        <f>+Ecrêtage!C280</f>
        <v>8453.4726666666666</v>
      </c>
      <c r="D280" s="218"/>
      <c r="E280" s="220">
        <f>Données!AF280+Données!AG280+Données!AH280</f>
        <v>124439</v>
      </c>
      <c r="F280" s="218">
        <f t="shared" si="31"/>
        <v>67627.781333333332</v>
      </c>
      <c r="G280" s="8">
        <f t="shared" si="32"/>
        <v>56811.218666666668</v>
      </c>
      <c r="H280" s="289">
        <f t="shared" si="33"/>
        <v>-42608.414000000004</v>
      </c>
      <c r="J280" s="8">
        <f>Données!AN280</f>
        <v>12960</v>
      </c>
      <c r="K280" s="198">
        <f t="shared" si="34"/>
        <v>8453.4726666666666</v>
      </c>
      <c r="L280" s="12">
        <f t="shared" si="35"/>
        <v>4506.5273333333334</v>
      </c>
      <c r="M280" s="289">
        <f t="shared" si="36"/>
        <v>-3379.8955000000001</v>
      </c>
      <c r="O280" s="42">
        <f t="shared" si="37"/>
        <v>-45988.309500000003</v>
      </c>
      <c r="P280" s="247"/>
      <c r="Q280" s="211"/>
      <c r="R280" s="211"/>
      <c r="S280" s="211"/>
      <c r="T280" s="211"/>
      <c r="U280" s="211"/>
      <c r="AF280" s="11"/>
      <c r="AG280" s="11"/>
      <c r="AH280" s="11"/>
      <c r="AI280" s="11"/>
      <c r="AJ280" s="11"/>
      <c r="AK280" s="11"/>
      <c r="AL280" s="11"/>
    </row>
    <row r="281" spans="1:38" x14ac:dyDescent="0.25">
      <c r="A281" s="38">
        <f>+Données!A281</f>
        <v>5908</v>
      </c>
      <c r="B281" s="229" t="str">
        <f>+Données!B281</f>
        <v>Chêne-Pâquier</v>
      </c>
      <c r="C281" s="220">
        <f>+Ecrêtage!C281</f>
        <v>4917.9366666666683</v>
      </c>
      <c r="D281" s="218"/>
      <c r="E281" s="220">
        <f>Données!AF281+Données!AG281+Données!AH281</f>
        <v>80171</v>
      </c>
      <c r="F281" s="218">
        <f t="shared" si="31"/>
        <v>39343.493333333347</v>
      </c>
      <c r="G281" s="8">
        <f t="shared" si="32"/>
        <v>40827.506666666653</v>
      </c>
      <c r="H281" s="289">
        <f t="shared" si="33"/>
        <v>-30620.62999999999</v>
      </c>
      <c r="J281" s="8">
        <f>Données!AN281</f>
        <v>16827</v>
      </c>
      <c r="K281" s="198">
        <f t="shared" si="34"/>
        <v>4917.9366666666683</v>
      </c>
      <c r="L281" s="12">
        <f t="shared" si="35"/>
        <v>11909.063333333332</v>
      </c>
      <c r="M281" s="289">
        <f t="shared" si="36"/>
        <v>-8931.7974999999988</v>
      </c>
      <c r="O281" s="42">
        <f t="shared" si="37"/>
        <v>-39552.427499999991</v>
      </c>
      <c r="P281" s="247"/>
      <c r="Q281" s="211"/>
      <c r="R281" s="211"/>
      <c r="S281" s="211"/>
      <c r="T281" s="211"/>
      <c r="U281" s="211"/>
      <c r="AF281" s="11"/>
      <c r="AG281" s="11"/>
      <c r="AH281" s="11"/>
      <c r="AI281" s="11"/>
      <c r="AJ281" s="11"/>
      <c r="AK281" s="11"/>
      <c r="AL281" s="11"/>
    </row>
    <row r="282" spans="1:38" x14ac:dyDescent="0.25">
      <c r="A282" s="38">
        <f>+Données!A282</f>
        <v>5909</v>
      </c>
      <c r="B282" s="229" t="str">
        <f>+Données!B282</f>
        <v>Cheseaux-Noréaz</v>
      </c>
      <c r="C282" s="220">
        <f>+Ecrêtage!C282</f>
        <v>34179.649850746275</v>
      </c>
      <c r="D282" s="218"/>
      <c r="E282" s="220">
        <f>Données!AF282+Données!AG282+Données!AH282</f>
        <v>342116</v>
      </c>
      <c r="F282" s="218">
        <f t="shared" si="31"/>
        <v>273437.1988059702</v>
      </c>
      <c r="G282" s="8">
        <f t="shared" si="32"/>
        <v>68678.801194029802</v>
      </c>
      <c r="H282" s="289">
        <f t="shared" si="33"/>
        <v>-51509.100895522351</v>
      </c>
      <c r="J282" s="8">
        <f>Données!AN282</f>
        <v>2141</v>
      </c>
      <c r="K282" s="198">
        <f t="shared" si="34"/>
        <v>34179.649850746275</v>
      </c>
      <c r="L282" s="12">
        <f t="shared" si="35"/>
        <v>0</v>
      </c>
      <c r="M282" s="289">
        <f t="shared" si="36"/>
        <v>0</v>
      </c>
      <c r="O282" s="42">
        <f t="shared" si="37"/>
        <v>-51509.100895522351</v>
      </c>
      <c r="P282" s="247"/>
      <c r="Q282" s="211"/>
      <c r="R282" s="211"/>
      <c r="S282" s="211"/>
      <c r="T282" s="211"/>
      <c r="U282" s="211"/>
      <c r="AF282" s="11"/>
      <c r="AG282" s="11"/>
      <c r="AH282" s="11"/>
      <c r="AI282" s="11"/>
      <c r="AJ282" s="11"/>
      <c r="AK282" s="11"/>
      <c r="AL282" s="11"/>
    </row>
    <row r="283" spans="1:38" x14ac:dyDescent="0.25">
      <c r="A283" s="38">
        <f>+Données!A283</f>
        <v>5910</v>
      </c>
      <c r="B283" s="229" t="str">
        <f>+Données!B283</f>
        <v>Cronay</v>
      </c>
      <c r="C283" s="220">
        <f>+Ecrêtage!C283</f>
        <v>10620.023506493504</v>
      </c>
      <c r="D283" s="218"/>
      <c r="E283" s="220">
        <f>Données!AF283+Données!AG283+Données!AH283</f>
        <v>109366</v>
      </c>
      <c r="F283" s="218">
        <f t="shared" si="31"/>
        <v>84960.188051948033</v>
      </c>
      <c r="G283" s="8">
        <f t="shared" si="32"/>
        <v>24405.811948051967</v>
      </c>
      <c r="H283" s="289">
        <f t="shared" si="33"/>
        <v>-18304.358961038975</v>
      </c>
      <c r="J283" s="8">
        <f>Données!AN283</f>
        <v>60087</v>
      </c>
      <c r="K283" s="198">
        <f t="shared" si="34"/>
        <v>10620.023506493504</v>
      </c>
      <c r="L283" s="12">
        <f t="shared" si="35"/>
        <v>49466.976493506496</v>
      </c>
      <c r="M283" s="289">
        <f t="shared" si="36"/>
        <v>-37100.232370129874</v>
      </c>
      <c r="O283" s="42">
        <f t="shared" si="37"/>
        <v>-55404.591331168849</v>
      </c>
      <c r="P283" s="247"/>
      <c r="Q283" s="211"/>
      <c r="R283" s="211"/>
      <c r="S283" s="211"/>
      <c r="T283" s="211"/>
      <c r="U283" s="211"/>
      <c r="AF283" s="11"/>
      <c r="AG283" s="11"/>
      <c r="AH283" s="11"/>
      <c r="AI283" s="11"/>
      <c r="AJ283" s="11"/>
      <c r="AK283" s="11"/>
      <c r="AL283" s="11"/>
    </row>
    <row r="284" spans="1:38" x14ac:dyDescent="0.25">
      <c r="A284" s="38">
        <f>+Données!A284</f>
        <v>5911</v>
      </c>
      <c r="B284" s="229" t="str">
        <f>+Données!B284</f>
        <v>Cuarny</v>
      </c>
      <c r="C284" s="220">
        <f>+Ecrêtage!C284</f>
        <v>7630.7251948051926</v>
      </c>
      <c r="D284" s="218"/>
      <c r="E284" s="220">
        <f>Données!AF284+Données!AG284+Données!AH284</f>
        <v>44546</v>
      </c>
      <c r="F284" s="218">
        <f t="shared" si="31"/>
        <v>61045.801558441541</v>
      </c>
      <c r="G284" s="8">
        <f t="shared" si="32"/>
        <v>0</v>
      </c>
      <c r="H284" s="289">
        <f t="shared" si="33"/>
        <v>0</v>
      </c>
      <c r="J284" s="8">
        <f>Données!AN284</f>
        <v>18605</v>
      </c>
      <c r="K284" s="198">
        <f t="shared" si="34"/>
        <v>7630.7251948051926</v>
      </c>
      <c r="L284" s="12">
        <f t="shared" si="35"/>
        <v>10974.274805194807</v>
      </c>
      <c r="M284" s="289">
        <f t="shared" si="36"/>
        <v>-8230.7061038961056</v>
      </c>
      <c r="O284" s="42">
        <f t="shared" si="37"/>
        <v>-8230.7061038961056</v>
      </c>
      <c r="P284" s="247"/>
      <c r="Q284" s="211"/>
      <c r="R284" s="211"/>
      <c r="S284" s="211"/>
      <c r="T284" s="211"/>
      <c r="U284" s="211"/>
      <c r="AF284" s="11"/>
      <c r="AG284" s="11"/>
      <c r="AH284" s="11"/>
      <c r="AI284" s="11"/>
      <c r="AJ284" s="11"/>
      <c r="AK284" s="11"/>
      <c r="AL284" s="11"/>
    </row>
    <row r="285" spans="1:38" x14ac:dyDescent="0.25">
      <c r="A285" s="38">
        <f>+Données!A285</f>
        <v>5912</v>
      </c>
      <c r="B285" s="229" t="str">
        <f>+Données!B285</f>
        <v>Démoret</v>
      </c>
      <c r="C285" s="220">
        <f>+Ecrêtage!C285</f>
        <v>3035.5994871794869</v>
      </c>
      <c r="D285" s="218"/>
      <c r="E285" s="220">
        <f>Données!AF285+Données!AG285+Données!AH285</f>
        <v>29762</v>
      </c>
      <c r="F285" s="218">
        <f t="shared" si="31"/>
        <v>24284.795897435895</v>
      </c>
      <c r="G285" s="8">
        <f t="shared" si="32"/>
        <v>5477.2041025641047</v>
      </c>
      <c r="H285" s="289">
        <f t="shared" si="33"/>
        <v>-4107.9030769230785</v>
      </c>
      <c r="J285" s="8">
        <f>Données!AN285</f>
        <v>17783</v>
      </c>
      <c r="K285" s="198">
        <f t="shared" si="34"/>
        <v>3035.5994871794869</v>
      </c>
      <c r="L285" s="12">
        <f t="shared" si="35"/>
        <v>14747.400512820514</v>
      </c>
      <c r="M285" s="289">
        <f t="shared" si="36"/>
        <v>-11060.550384615384</v>
      </c>
      <c r="O285" s="42">
        <f t="shared" si="37"/>
        <v>-15168.453461538462</v>
      </c>
      <c r="P285" s="247"/>
      <c r="Q285" s="211"/>
      <c r="R285" s="211"/>
      <c r="S285" s="211"/>
      <c r="T285" s="211"/>
      <c r="U285" s="211"/>
      <c r="AF285" s="11"/>
      <c r="AG285" s="11"/>
      <c r="AH285" s="11"/>
      <c r="AI285" s="11"/>
      <c r="AJ285" s="11"/>
      <c r="AK285" s="11"/>
      <c r="AL285" s="11"/>
    </row>
    <row r="286" spans="1:38" x14ac:dyDescent="0.25">
      <c r="A286" s="38">
        <f>+Données!A286</f>
        <v>5913</v>
      </c>
      <c r="B286" s="229" t="str">
        <f>+Données!B286</f>
        <v>Donneloye</v>
      </c>
      <c r="C286" s="220">
        <f>+Ecrêtage!C286</f>
        <v>21868.165342465756</v>
      </c>
      <c r="D286" s="218"/>
      <c r="E286" s="220">
        <f>Données!AF286+Données!AG286+Données!AH286</f>
        <v>266430</v>
      </c>
      <c r="F286" s="218">
        <f t="shared" si="31"/>
        <v>174945.32273972605</v>
      </c>
      <c r="G286" s="8">
        <f t="shared" si="32"/>
        <v>91484.677260273951</v>
      </c>
      <c r="H286" s="289">
        <f t="shared" si="33"/>
        <v>-68613.507945205463</v>
      </c>
      <c r="J286" s="8">
        <f>Données!AN286</f>
        <v>55501</v>
      </c>
      <c r="K286" s="198">
        <f t="shared" si="34"/>
        <v>21868.165342465756</v>
      </c>
      <c r="L286" s="12">
        <f t="shared" si="35"/>
        <v>33632.834657534244</v>
      </c>
      <c r="M286" s="289">
        <f t="shared" si="36"/>
        <v>-25224.625993150683</v>
      </c>
      <c r="O286" s="42">
        <f t="shared" si="37"/>
        <v>-93838.133938356143</v>
      </c>
      <c r="P286" s="247"/>
      <c r="Q286" s="211"/>
      <c r="R286" s="211"/>
      <c r="S286" s="211"/>
      <c r="T286" s="211"/>
      <c r="U286" s="211"/>
      <c r="AF286" s="11"/>
      <c r="AG286" s="11"/>
      <c r="AH286" s="11"/>
      <c r="AI286" s="11"/>
      <c r="AJ286" s="11"/>
      <c r="AK286" s="11"/>
      <c r="AL286" s="11"/>
    </row>
    <row r="287" spans="1:38" x14ac:dyDescent="0.25">
      <c r="A287" s="38">
        <f>+Données!A287</f>
        <v>5914</v>
      </c>
      <c r="B287" s="229" t="str">
        <f>+Données!B287</f>
        <v>Ependes</v>
      </c>
      <c r="C287" s="220">
        <f>+Ecrêtage!C287</f>
        <v>9826.1438095238063</v>
      </c>
      <c r="D287" s="218"/>
      <c r="E287" s="220">
        <f>Données!AF287+Données!AG287+Données!AH287</f>
        <v>170270</v>
      </c>
      <c r="F287" s="218">
        <f t="shared" si="31"/>
        <v>78609.150476190451</v>
      </c>
      <c r="G287" s="8">
        <f t="shared" si="32"/>
        <v>91660.849523809549</v>
      </c>
      <c r="H287" s="289">
        <f t="shared" si="33"/>
        <v>-68745.637142857158</v>
      </c>
      <c r="J287" s="8">
        <f>Données!AN287</f>
        <v>16155</v>
      </c>
      <c r="K287" s="198">
        <f t="shared" si="34"/>
        <v>9826.1438095238063</v>
      </c>
      <c r="L287" s="12">
        <f t="shared" si="35"/>
        <v>6328.8561904761937</v>
      </c>
      <c r="M287" s="289">
        <f t="shared" si="36"/>
        <v>-4746.6421428571448</v>
      </c>
      <c r="O287" s="42">
        <f t="shared" si="37"/>
        <v>-73492.279285714307</v>
      </c>
      <c r="P287" s="247"/>
      <c r="Q287" s="211"/>
      <c r="R287" s="211"/>
      <c r="S287" s="211"/>
      <c r="T287" s="211"/>
      <c r="U287" s="211"/>
      <c r="AF287" s="11"/>
      <c r="AG287" s="11"/>
      <c r="AH287" s="11"/>
      <c r="AI287" s="11"/>
      <c r="AJ287" s="11"/>
      <c r="AK287" s="11"/>
      <c r="AL287" s="11"/>
    </row>
    <row r="288" spans="1:38" x14ac:dyDescent="0.25">
      <c r="A288" s="38">
        <f>+Données!A288</f>
        <v>5919</v>
      </c>
      <c r="B288" s="229" t="str">
        <f>+Données!B288</f>
        <v>Mathod</v>
      </c>
      <c r="C288" s="220">
        <f>+Ecrêtage!C288</f>
        <v>20854.383912037036</v>
      </c>
      <c r="D288" s="218"/>
      <c r="E288" s="220">
        <f>Données!AF288+Données!AG288+Données!AH288</f>
        <v>298560</v>
      </c>
      <c r="F288" s="218">
        <f t="shared" si="31"/>
        <v>166835.07129629629</v>
      </c>
      <c r="G288" s="8">
        <f t="shared" si="32"/>
        <v>131724.92870370371</v>
      </c>
      <c r="H288" s="289">
        <f t="shared" si="33"/>
        <v>-98793.696527777793</v>
      </c>
      <c r="J288" s="8">
        <f>Données!AN288</f>
        <v>-52965</v>
      </c>
      <c r="K288" s="198">
        <f t="shared" si="34"/>
        <v>20854.383912037036</v>
      </c>
      <c r="L288" s="12">
        <f t="shared" si="35"/>
        <v>0</v>
      </c>
      <c r="M288" s="289">
        <f t="shared" si="36"/>
        <v>0</v>
      </c>
      <c r="O288" s="42">
        <f t="shared" si="37"/>
        <v>-98793.696527777793</v>
      </c>
      <c r="P288" s="247"/>
      <c r="Q288" s="211"/>
      <c r="R288" s="211"/>
      <c r="S288" s="211"/>
      <c r="T288" s="211"/>
      <c r="U288" s="211"/>
      <c r="AF288" s="11"/>
      <c r="AG288" s="11"/>
      <c r="AH288" s="11"/>
      <c r="AI288" s="11"/>
      <c r="AJ288" s="11"/>
      <c r="AK288" s="11"/>
      <c r="AL288" s="11"/>
    </row>
    <row r="289" spans="1:38" x14ac:dyDescent="0.25">
      <c r="A289" s="38">
        <f>+Données!A289</f>
        <v>5921</v>
      </c>
      <c r="B289" s="229" t="str">
        <f>+Données!B289</f>
        <v>Molondin</v>
      </c>
      <c r="C289" s="220">
        <f>+Ecrêtage!C289</f>
        <v>5090.9675308641981</v>
      </c>
      <c r="D289" s="218"/>
      <c r="E289" s="220">
        <f>Données!AF289+Données!AG289+Données!AH289</f>
        <v>47652</v>
      </c>
      <c r="F289" s="218">
        <f t="shared" si="31"/>
        <v>40727.740246913585</v>
      </c>
      <c r="G289" s="8">
        <f t="shared" si="32"/>
        <v>6924.259753086415</v>
      </c>
      <c r="H289" s="289">
        <f t="shared" si="33"/>
        <v>-5193.1948148148113</v>
      </c>
      <c r="J289" s="8">
        <f>Données!AN289</f>
        <v>10787</v>
      </c>
      <c r="K289" s="198">
        <f t="shared" si="34"/>
        <v>5090.9675308641981</v>
      </c>
      <c r="L289" s="12">
        <f t="shared" si="35"/>
        <v>5696.0324691358019</v>
      </c>
      <c r="M289" s="289">
        <f t="shared" si="36"/>
        <v>-4272.024351851851</v>
      </c>
      <c r="O289" s="42">
        <f t="shared" si="37"/>
        <v>-9465.2191666666622</v>
      </c>
      <c r="P289" s="247"/>
      <c r="Q289" s="211"/>
      <c r="R289" s="211"/>
      <c r="S289" s="211"/>
      <c r="T289" s="211"/>
      <c r="U289" s="211"/>
      <c r="AF289" s="11"/>
      <c r="AG289" s="11"/>
      <c r="AH289" s="11"/>
      <c r="AI289" s="11"/>
      <c r="AJ289" s="11"/>
      <c r="AK289" s="11"/>
      <c r="AL289" s="11"/>
    </row>
    <row r="290" spans="1:38" x14ac:dyDescent="0.25">
      <c r="A290" s="38">
        <f>+Données!A290</f>
        <v>5922</v>
      </c>
      <c r="B290" s="229" t="str">
        <f>+Données!B290</f>
        <v>Montagny-près-Yverdon</v>
      </c>
      <c r="C290" s="220">
        <f>+Ecrêtage!C290</f>
        <v>39799.996472868217</v>
      </c>
      <c r="D290" s="218"/>
      <c r="E290" s="220">
        <f>Données!AF290+Données!AG290+Données!AH290</f>
        <v>532717</v>
      </c>
      <c r="F290" s="218">
        <f t="shared" si="31"/>
        <v>318399.97178294574</v>
      </c>
      <c r="G290" s="8">
        <f t="shared" si="32"/>
        <v>214317.02821705426</v>
      </c>
      <c r="H290" s="289">
        <f t="shared" si="33"/>
        <v>-160737.77116279071</v>
      </c>
      <c r="J290" s="8">
        <f>Données!AN290</f>
        <v>2492</v>
      </c>
      <c r="K290" s="198">
        <f t="shared" si="34"/>
        <v>39799.996472868217</v>
      </c>
      <c r="L290" s="12">
        <f t="shared" si="35"/>
        <v>0</v>
      </c>
      <c r="M290" s="289">
        <f t="shared" si="36"/>
        <v>0</v>
      </c>
      <c r="O290" s="42">
        <f t="shared" si="37"/>
        <v>-160737.77116279071</v>
      </c>
      <c r="P290" s="247"/>
      <c r="Q290" s="211"/>
      <c r="R290" s="211"/>
      <c r="S290" s="211"/>
      <c r="T290" s="211"/>
      <c r="U290" s="211"/>
      <c r="AF290" s="11"/>
      <c r="AG290" s="11"/>
      <c r="AH290" s="11"/>
      <c r="AI290" s="11"/>
      <c r="AJ290" s="11"/>
      <c r="AK290" s="11"/>
      <c r="AL290" s="11"/>
    </row>
    <row r="291" spans="1:38" x14ac:dyDescent="0.25">
      <c r="A291" s="38">
        <f>+Données!A291</f>
        <v>5923</v>
      </c>
      <c r="B291" s="229" t="str">
        <f>+Données!B291</f>
        <v>Oppens</v>
      </c>
      <c r="C291" s="220">
        <f>+Ecrêtage!C291</f>
        <v>4459.4095061728403</v>
      </c>
      <c r="D291" s="218"/>
      <c r="E291" s="220">
        <f>Données!AF291+Données!AG291+Données!AH291</f>
        <v>65373</v>
      </c>
      <c r="F291" s="218">
        <f t="shared" si="31"/>
        <v>35675.276049382723</v>
      </c>
      <c r="G291" s="8">
        <f t="shared" si="32"/>
        <v>29697.723950617277</v>
      </c>
      <c r="H291" s="289">
        <f t="shared" si="33"/>
        <v>-22273.292962962958</v>
      </c>
      <c r="J291" s="8">
        <f>Données!AN291</f>
        <v>28692</v>
      </c>
      <c r="K291" s="198">
        <f t="shared" si="34"/>
        <v>4459.4095061728403</v>
      </c>
      <c r="L291" s="12">
        <f t="shared" si="35"/>
        <v>24232.59049382716</v>
      </c>
      <c r="M291" s="289">
        <f t="shared" si="36"/>
        <v>-18174.442870370371</v>
      </c>
      <c r="O291" s="42">
        <f t="shared" si="37"/>
        <v>-40447.735833333325</v>
      </c>
      <c r="P291" s="247"/>
      <c r="Q291" s="211"/>
      <c r="R291" s="211"/>
      <c r="S291" s="211"/>
      <c r="T291" s="211"/>
      <c r="U291" s="211"/>
      <c r="AF291" s="11"/>
      <c r="AG291" s="11"/>
      <c r="AH291" s="11"/>
      <c r="AI291" s="11"/>
      <c r="AJ291" s="11"/>
      <c r="AK291" s="11"/>
      <c r="AL291" s="11"/>
    </row>
    <row r="292" spans="1:38" x14ac:dyDescent="0.25">
      <c r="A292" s="38">
        <f>+Données!A292</f>
        <v>5924</v>
      </c>
      <c r="B292" s="229" t="str">
        <f>+Données!B292</f>
        <v>Orges</v>
      </c>
      <c r="C292" s="220">
        <f>+Ecrêtage!C292</f>
        <v>11637.592027027025</v>
      </c>
      <c r="D292" s="218"/>
      <c r="E292" s="220">
        <f>Données!AF292+Données!AG292+Données!AH292</f>
        <v>137837</v>
      </c>
      <c r="F292" s="218">
        <f t="shared" si="31"/>
        <v>93100.736216216203</v>
      </c>
      <c r="G292" s="8">
        <f t="shared" si="32"/>
        <v>44736.263783783797</v>
      </c>
      <c r="H292" s="289">
        <f t="shared" si="33"/>
        <v>-33552.197837837848</v>
      </c>
      <c r="J292" s="8">
        <f>Données!AN292</f>
        <v>7458</v>
      </c>
      <c r="K292" s="198">
        <f t="shared" si="34"/>
        <v>11637.592027027025</v>
      </c>
      <c r="L292" s="12">
        <f t="shared" si="35"/>
        <v>0</v>
      </c>
      <c r="M292" s="289">
        <f t="shared" si="36"/>
        <v>0</v>
      </c>
      <c r="O292" s="42">
        <f t="shared" si="37"/>
        <v>-33552.197837837848</v>
      </c>
      <c r="P292" s="247"/>
      <c r="Q292" s="211"/>
      <c r="R292" s="211"/>
      <c r="S292" s="211"/>
      <c r="T292" s="211"/>
      <c r="U292" s="211"/>
      <c r="AF292" s="11"/>
      <c r="AG292" s="11"/>
      <c r="AH292" s="11"/>
      <c r="AI292" s="11"/>
      <c r="AJ292" s="11"/>
      <c r="AK292" s="11"/>
      <c r="AL292" s="11"/>
    </row>
    <row r="293" spans="1:38" x14ac:dyDescent="0.25">
      <c r="A293" s="38">
        <f>+Données!A293</f>
        <v>5925</v>
      </c>
      <c r="B293" s="229" t="str">
        <f>+Données!B293</f>
        <v>Orzens</v>
      </c>
      <c r="C293" s="220">
        <f>+Ecrêtage!C293</f>
        <v>5255.7360759493668</v>
      </c>
      <c r="D293" s="218"/>
      <c r="E293" s="220">
        <f>Données!AF293+Données!AG293+Données!AH293</f>
        <v>105883</v>
      </c>
      <c r="F293" s="218">
        <f t="shared" si="31"/>
        <v>42045.888607594934</v>
      </c>
      <c r="G293" s="8">
        <f t="shared" si="32"/>
        <v>63837.111392405066</v>
      </c>
      <c r="H293" s="289">
        <f t="shared" si="33"/>
        <v>-47877.833544303801</v>
      </c>
      <c r="J293" s="8">
        <f>Données!AN293</f>
        <v>10619</v>
      </c>
      <c r="K293" s="198">
        <f t="shared" si="34"/>
        <v>5255.7360759493668</v>
      </c>
      <c r="L293" s="12">
        <f t="shared" si="35"/>
        <v>5363.2639240506332</v>
      </c>
      <c r="M293" s="289">
        <f t="shared" si="36"/>
        <v>-4022.4479430379752</v>
      </c>
      <c r="O293" s="42">
        <f t="shared" si="37"/>
        <v>-51900.281487341774</v>
      </c>
      <c r="P293" s="247"/>
      <c r="Q293" s="211"/>
      <c r="R293" s="211"/>
      <c r="S293" s="211"/>
      <c r="T293" s="211"/>
      <c r="U293" s="211"/>
      <c r="AF293" s="11"/>
      <c r="AG293" s="11"/>
      <c r="AH293" s="11"/>
      <c r="AI293" s="11"/>
      <c r="AJ293" s="11"/>
      <c r="AK293" s="11"/>
      <c r="AL293" s="11"/>
    </row>
    <row r="294" spans="1:38" x14ac:dyDescent="0.25">
      <c r="A294" s="38">
        <f>+Données!A294</f>
        <v>5926</v>
      </c>
      <c r="B294" s="229" t="str">
        <f>+Données!B294</f>
        <v>Pomy</v>
      </c>
      <c r="C294" s="220">
        <f>+Ecrêtage!C294</f>
        <v>26782.680140845066</v>
      </c>
      <c r="D294" s="218"/>
      <c r="E294" s="220">
        <f>Données!AF294+Données!AG294+Données!AH294</f>
        <v>273949</v>
      </c>
      <c r="F294" s="218">
        <f t="shared" si="31"/>
        <v>214261.44112676053</v>
      </c>
      <c r="G294" s="8">
        <f t="shared" si="32"/>
        <v>59687.558873239468</v>
      </c>
      <c r="H294" s="289">
        <f t="shared" si="33"/>
        <v>-44765.669154929601</v>
      </c>
      <c r="J294" s="8">
        <f>Données!AN294</f>
        <v>38901</v>
      </c>
      <c r="K294" s="198">
        <f t="shared" si="34"/>
        <v>26782.680140845066</v>
      </c>
      <c r="L294" s="12">
        <f t="shared" si="35"/>
        <v>12118.319859154934</v>
      </c>
      <c r="M294" s="289">
        <f t="shared" si="36"/>
        <v>-9088.739894366201</v>
      </c>
      <c r="O294" s="42">
        <f t="shared" si="37"/>
        <v>-53854.409049295806</v>
      </c>
      <c r="P294" s="247"/>
      <c r="Q294" s="211"/>
      <c r="R294" s="211"/>
      <c r="S294" s="211"/>
      <c r="T294" s="211"/>
      <c r="U294" s="211"/>
      <c r="AF294" s="11"/>
      <c r="AG294" s="11"/>
      <c r="AH294" s="11"/>
      <c r="AI294" s="11"/>
      <c r="AJ294" s="11"/>
      <c r="AK294" s="11"/>
      <c r="AL294" s="11"/>
    </row>
    <row r="295" spans="1:38" x14ac:dyDescent="0.25">
      <c r="A295" s="38">
        <f>+Données!A295</f>
        <v>5928</v>
      </c>
      <c r="B295" s="229" t="str">
        <f>+Données!B295</f>
        <v>Rovray</v>
      </c>
      <c r="C295" s="220">
        <f>+Ecrêtage!C295</f>
        <v>5095.519580419581</v>
      </c>
      <c r="D295" s="218"/>
      <c r="E295" s="220">
        <f>Données!AF295+Données!AG295+Données!AH295</f>
        <v>48321</v>
      </c>
      <c r="F295" s="218">
        <f t="shared" si="31"/>
        <v>40764.156643356648</v>
      </c>
      <c r="G295" s="8">
        <f t="shared" si="32"/>
        <v>7556.8433566433523</v>
      </c>
      <c r="H295" s="289">
        <f t="shared" si="33"/>
        <v>-5667.6325174825142</v>
      </c>
      <c r="J295" s="8">
        <f>Données!AN295</f>
        <v>-9633</v>
      </c>
      <c r="K295" s="198">
        <f t="shared" si="34"/>
        <v>5095.519580419581</v>
      </c>
      <c r="L295" s="12">
        <f t="shared" si="35"/>
        <v>0</v>
      </c>
      <c r="M295" s="289">
        <f t="shared" si="36"/>
        <v>0</v>
      </c>
      <c r="O295" s="42">
        <f t="shared" si="37"/>
        <v>-5667.6325174825142</v>
      </c>
      <c r="P295" s="247"/>
      <c r="Q295" s="211"/>
      <c r="R295" s="211"/>
      <c r="S295" s="211"/>
      <c r="T295" s="211"/>
      <c r="U295" s="211"/>
      <c r="AF295" s="11"/>
      <c r="AG295" s="11"/>
      <c r="AH295" s="11"/>
      <c r="AI295" s="11"/>
      <c r="AJ295" s="11"/>
      <c r="AK295" s="11"/>
      <c r="AL295" s="11"/>
    </row>
    <row r="296" spans="1:38" x14ac:dyDescent="0.25">
      <c r="A296" s="38">
        <f>+Données!A296</f>
        <v>5929</v>
      </c>
      <c r="B296" s="229" t="str">
        <f>+Données!B296</f>
        <v>Suchy</v>
      </c>
      <c r="C296" s="220">
        <f>+Ecrêtage!C296</f>
        <v>21603.071857142855</v>
      </c>
      <c r="D296" s="218"/>
      <c r="E296" s="220">
        <f>Données!AF296+Données!AG296+Données!AH296</f>
        <v>162591</v>
      </c>
      <c r="F296" s="218">
        <f t="shared" si="31"/>
        <v>172824.57485714284</v>
      </c>
      <c r="G296" s="8">
        <f t="shared" si="32"/>
        <v>0</v>
      </c>
      <c r="H296" s="289">
        <f t="shared" si="33"/>
        <v>0</v>
      </c>
      <c r="J296" s="8">
        <f>Données!AN296</f>
        <v>37695</v>
      </c>
      <c r="K296" s="198">
        <f t="shared" si="34"/>
        <v>21603.071857142855</v>
      </c>
      <c r="L296" s="12">
        <f t="shared" si="35"/>
        <v>16091.928142857145</v>
      </c>
      <c r="M296" s="289">
        <f t="shared" si="36"/>
        <v>-12068.94610714286</v>
      </c>
      <c r="O296" s="42">
        <f t="shared" si="37"/>
        <v>-12068.94610714286</v>
      </c>
      <c r="P296" s="247"/>
      <c r="Q296" s="211"/>
      <c r="R296" s="211"/>
      <c r="S296" s="211"/>
      <c r="T296" s="211"/>
      <c r="U296" s="211"/>
      <c r="AF296" s="11"/>
      <c r="AG296" s="11"/>
      <c r="AH296" s="11"/>
      <c r="AI296" s="11"/>
      <c r="AJ296" s="11"/>
      <c r="AK296" s="11"/>
      <c r="AL296" s="11"/>
    </row>
    <row r="297" spans="1:38" x14ac:dyDescent="0.25">
      <c r="A297" s="38">
        <f>+Données!A297</f>
        <v>5930</v>
      </c>
      <c r="B297" s="229" t="str">
        <f>+Données!B297</f>
        <v>Suscévaz</v>
      </c>
      <c r="C297" s="220">
        <f>+Ecrêtage!C297</f>
        <v>5749.1651388888886</v>
      </c>
      <c r="D297" s="218"/>
      <c r="E297" s="220">
        <f>Données!AF297+Données!AG297+Données!AH297</f>
        <v>95852</v>
      </c>
      <c r="F297" s="218">
        <f t="shared" si="31"/>
        <v>45993.321111111109</v>
      </c>
      <c r="G297" s="8">
        <f t="shared" si="32"/>
        <v>49858.678888888891</v>
      </c>
      <c r="H297" s="289">
        <f t="shared" si="33"/>
        <v>-37394.00916666667</v>
      </c>
      <c r="J297" s="8">
        <f>Données!AN297</f>
        <v>5070</v>
      </c>
      <c r="K297" s="198">
        <f t="shared" si="34"/>
        <v>5749.1651388888886</v>
      </c>
      <c r="L297" s="12">
        <f t="shared" si="35"/>
        <v>0</v>
      </c>
      <c r="M297" s="289">
        <f t="shared" si="36"/>
        <v>0</v>
      </c>
      <c r="O297" s="42">
        <f t="shared" si="37"/>
        <v>-37394.00916666667</v>
      </c>
      <c r="P297" s="247"/>
      <c r="Q297" s="211"/>
      <c r="R297" s="211"/>
      <c r="S297" s="211"/>
      <c r="T297" s="211"/>
      <c r="U297" s="211"/>
      <c r="AF297" s="11"/>
      <c r="AG297" s="11"/>
      <c r="AH297" s="11"/>
      <c r="AI297" s="11"/>
      <c r="AJ297" s="11"/>
      <c r="AK297" s="11"/>
      <c r="AL297" s="11"/>
    </row>
    <row r="298" spans="1:38" x14ac:dyDescent="0.25">
      <c r="A298" s="38">
        <f>+Données!A298</f>
        <v>5931</v>
      </c>
      <c r="B298" s="229" t="str">
        <f>+Données!B298</f>
        <v>Treycovagnes</v>
      </c>
      <c r="C298" s="220">
        <f>+Ecrêtage!C298</f>
        <v>16306.743466666663</v>
      </c>
      <c r="D298" s="218"/>
      <c r="E298" s="220">
        <f>Données!AF298+Données!AG298+Données!AH298</f>
        <v>199809</v>
      </c>
      <c r="F298" s="218">
        <f t="shared" si="31"/>
        <v>130453.94773333331</v>
      </c>
      <c r="G298" s="8">
        <f t="shared" si="32"/>
        <v>69355.052266666695</v>
      </c>
      <c r="H298" s="289">
        <f t="shared" si="33"/>
        <v>-52016.289200000021</v>
      </c>
      <c r="J298" s="8">
        <f>Données!AN298</f>
        <v>1851</v>
      </c>
      <c r="K298" s="198">
        <f t="shared" si="34"/>
        <v>16306.743466666663</v>
      </c>
      <c r="L298" s="12">
        <f t="shared" si="35"/>
        <v>0</v>
      </c>
      <c r="M298" s="289">
        <f t="shared" si="36"/>
        <v>0</v>
      </c>
      <c r="O298" s="42">
        <f t="shared" si="37"/>
        <v>-52016.289200000021</v>
      </c>
      <c r="P298" s="247"/>
      <c r="Q298" s="211"/>
      <c r="R298" s="211"/>
      <c r="S298" s="211"/>
      <c r="T298" s="211"/>
      <c r="U298" s="211"/>
      <c r="AF298" s="11"/>
      <c r="AG298" s="11"/>
      <c r="AH298" s="11"/>
      <c r="AI298" s="11"/>
      <c r="AJ298" s="11"/>
      <c r="AK298" s="11"/>
      <c r="AL298" s="11"/>
    </row>
    <row r="299" spans="1:38" x14ac:dyDescent="0.25">
      <c r="A299" s="38">
        <f>+Données!A299</f>
        <v>5932</v>
      </c>
      <c r="B299" s="229" t="str">
        <f>+Données!B299</f>
        <v>Ursins</v>
      </c>
      <c r="C299" s="220">
        <f>+Ecrêtage!C299</f>
        <v>7945.6340000000009</v>
      </c>
      <c r="D299" s="218"/>
      <c r="E299" s="220">
        <f>Données!AF299+Données!AG299+Données!AH299</f>
        <v>35049</v>
      </c>
      <c r="F299" s="218">
        <f t="shared" si="31"/>
        <v>63565.072000000007</v>
      </c>
      <c r="G299" s="8">
        <f t="shared" si="32"/>
        <v>0</v>
      </c>
      <c r="H299" s="289">
        <f t="shared" si="33"/>
        <v>0</v>
      </c>
      <c r="J299" s="8">
        <f>Données!AN299</f>
        <v>18908</v>
      </c>
      <c r="K299" s="198">
        <f t="shared" si="34"/>
        <v>7945.6340000000009</v>
      </c>
      <c r="L299" s="12">
        <f t="shared" si="35"/>
        <v>10962.365999999998</v>
      </c>
      <c r="M299" s="289">
        <f t="shared" si="36"/>
        <v>-8221.7744999999995</v>
      </c>
      <c r="O299" s="42">
        <f t="shared" si="37"/>
        <v>-8221.7744999999995</v>
      </c>
      <c r="P299" s="247"/>
      <c r="Q299" s="211"/>
      <c r="R299" s="211"/>
      <c r="S299" s="211"/>
      <c r="T299" s="211"/>
      <c r="U299" s="211"/>
      <c r="AF299" s="11"/>
      <c r="AG299" s="11"/>
      <c r="AH299" s="11"/>
      <c r="AI299" s="11"/>
      <c r="AJ299" s="11"/>
      <c r="AK299" s="11"/>
      <c r="AL299" s="11"/>
    </row>
    <row r="300" spans="1:38" x14ac:dyDescent="0.25">
      <c r="A300" s="38">
        <f>+Données!A300</f>
        <v>5933</v>
      </c>
      <c r="B300" s="229" t="str">
        <f>+Données!B300</f>
        <v>Valeyres-sous-Montagny</v>
      </c>
      <c r="C300" s="220">
        <f>+Ecrêtage!C300</f>
        <v>23478.314609929079</v>
      </c>
      <c r="D300" s="218"/>
      <c r="E300" s="220">
        <f>Données!AF300+Données!AG300+Données!AH300</f>
        <v>640471</v>
      </c>
      <c r="F300" s="218">
        <f t="shared" si="31"/>
        <v>187826.51687943263</v>
      </c>
      <c r="G300" s="8">
        <f t="shared" si="32"/>
        <v>452644.4831205674</v>
      </c>
      <c r="H300" s="289">
        <f t="shared" si="33"/>
        <v>-339483.36234042555</v>
      </c>
      <c r="J300" s="8">
        <f>Données!AN300</f>
        <v>-25017</v>
      </c>
      <c r="K300" s="198">
        <f t="shared" si="34"/>
        <v>23478.314609929079</v>
      </c>
      <c r="L300" s="12">
        <f t="shared" si="35"/>
        <v>0</v>
      </c>
      <c r="M300" s="289">
        <f t="shared" si="36"/>
        <v>0</v>
      </c>
      <c r="O300" s="42">
        <f t="shared" si="37"/>
        <v>-339483.36234042555</v>
      </c>
      <c r="P300" s="247"/>
      <c r="Q300" s="211"/>
      <c r="R300" s="211"/>
      <c r="S300" s="211"/>
      <c r="T300" s="211"/>
      <c r="U300" s="211"/>
      <c r="AF300" s="11"/>
      <c r="AG300" s="11"/>
      <c r="AH300" s="11"/>
      <c r="AI300" s="11"/>
      <c r="AJ300" s="11"/>
      <c r="AK300" s="11"/>
      <c r="AL300" s="11"/>
    </row>
    <row r="301" spans="1:38" x14ac:dyDescent="0.25">
      <c r="A301" s="38">
        <f>+Données!A301</f>
        <v>5934</v>
      </c>
      <c r="B301" s="229" t="str">
        <f>+Données!B301</f>
        <v>Valeyres-sous-Ursins</v>
      </c>
      <c r="C301" s="220">
        <f>+Ecrêtage!C301</f>
        <v>16787.585844155841</v>
      </c>
      <c r="D301" s="218"/>
      <c r="E301" s="220">
        <f>Données!AF301+Données!AG301+Données!AH301</f>
        <v>34434</v>
      </c>
      <c r="F301" s="218">
        <f t="shared" si="31"/>
        <v>134300.68675324673</v>
      </c>
      <c r="G301" s="8">
        <f t="shared" si="32"/>
        <v>0</v>
      </c>
      <c r="H301" s="289">
        <f t="shared" si="33"/>
        <v>0</v>
      </c>
      <c r="J301" s="8">
        <f>Données!AN301</f>
        <v>12495</v>
      </c>
      <c r="K301" s="198">
        <f t="shared" si="34"/>
        <v>16787.585844155841</v>
      </c>
      <c r="L301" s="12">
        <f t="shared" si="35"/>
        <v>0</v>
      </c>
      <c r="M301" s="289">
        <f t="shared" si="36"/>
        <v>0</v>
      </c>
      <c r="O301" s="42">
        <f t="shared" si="37"/>
        <v>0</v>
      </c>
      <c r="P301" s="247"/>
      <c r="Q301" s="211"/>
      <c r="R301" s="211"/>
      <c r="S301" s="211"/>
      <c r="T301" s="211"/>
      <c r="U301" s="211"/>
      <c r="AF301" s="11"/>
      <c r="AG301" s="11"/>
      <c r="AH301" s="11"/>
      <c r="AI301" s="11"/>
      <c r="AJ301" s="11"/>
      <c r="AK301" s="11"/>
      <c r="AL301" s="11"/>
    </row>
    <row r="302" spans="1:38" x14ac:dyDescent="0.25">
      <c r="A302" s="38">
        <f>+Données!A302</f>
        <v>5935</v>
      </c>
      <c r="B302" s="229" t="str">
        <f>+Données!B302</f>
        <v>Villars-Epeney</v>
      </c>
      <c r="C302" s="220">
        <f>+Ecrêtage!C302</f>
        <v>6724.4138235294122</v>
      </c>
      <c r="D302" s="218"/>
      <c r="E302" s="220">
        <f>Données!AF302+Données!AG302+Données!AH302</f>
        <v>23217</v>
      </c>
      <c r="F302" s="218">
        <f t="shared" si="31"/>
        <v>53795.310588235297</v>
      </c>
      <c r="G302" s="8">
        <f t="shared" si="32"/>
        <v>0</v>
      </c>
      <c r="H302" s="289">
        <f t="shared" si="33"/>
        <v>0</v>
      </c>
      <c r="J302" s="8">
        <f>Données!AN302</f>
        <v>11116</v>
      </c>
      <c r="K302" s="198">
        <f t="shared" si="34"/>
        <v>6724.4138235294122</v>
      </c>
      <c r="L302" s="12">
        <f t="shared" si="35"/>
        <v>4391.5861764705878</v>
      </c>
      <c r="M302" s="289">
        <f t="shared" si="36"/>
        <v>-3293.6896323529409</v>
      </c>
      <c r="O302" s="42">
        <f t="shared" si="37"/>
        <v>-3293.6896323529409</v>
      </c>
      <c r="P302" s="247"/>
      <c r="Q302" s="211"/>
      <c r="R302" s="211"/>
      <c r="S302" s="211"/>
      <c r="T302" s="211"/>
      <c r="U302" s="211"/>
      <c r="AF302" s="11"/>
      <c r="AG302" s="11"/>
      <c r="AH302" s="11"/>
      <c r="AI302" s="11"/>
      <c r="AJ302" s="11"/>
      <c r="AK302" s="11"/>
      <c r="AL302" s="11"/>
    </row>
    <row r="303" spans="1:38" x14ac:dyDescent="0.25">
      <c r="A303" s="38">
        <f>+Données!A303</f>
        <v>5937</v>
      </c>
      <c r="B303" s="229" t="str">
        <f>+Données!B303</f>
        <v>Vugelles-La Mothe</v>
      </c>
      <c r="C303" s="220">
        <f>+Ecrêtage!C303</f>
        <v>3343.8941428571434</v>
      </c>
      <c r="D303" s="218"/>
      <c r="E303" s="220">
        <f>Données!AF303+Données!AG303+Données!AH303</f>
        <v>49490</v>
      </c>
      <c r="F303" s="218">
        <f t="shared" si="31"/>
        <v>26751.153142857147</v>
      </c>
      <c r="G303" s="8">
        <f t="shared" si="32"/>
        <v>22738.846857142853</v>
      </c>
      <c r="H303" s="289">
        <f t="shared" si="33"/>
        <v>-17054.13514285714</v>
      </c>
      <c r="J303" s="8">
        <f>Données!AN303</f>
        <v>11587</v>
      </c>
      <c r="K303" s="198">
        <f t="shared" si="34"/>
        <v>3343.8941428571434</v>
      </c>
      <c r="L303" s="12">
        <f t="shared" si="35"/>
        <v>8243.1058571428566</v>
      </c>
      <c r="M303" s="289">
        <f t="shared" si="36"/>
        <v>-6182.329392857142</v>
      </c>
      <c r="O303" s="42">
        <f t="shared" si="37"/>
        <v>-23236.46453571428</v>
      </c>
      <c r="P303" s="247"/>
      <c r="Q303" s="211"/>
      <c r="R303" s="211"/>
      <c r="S303" s="211"/>
      <c r="T303" s="211"/>
      <c r="U303" s="211"/>
      <c r="AF303" s="11"/>
      <c r="AG303" s="11"/>
      <c r="AH303" s="11"/>
      <c r="AI303" s="11"/>
      <c r="AJ303" s="11"/>
      <c r="AK303" s="11"/>
      <c r="AL303" s="11"/>
    </row>
    <row r="304" spans="1:38" x14ac:dyDescent="0.25">
      <c r="A304" s="38">
        <f>+Données!A304</f>
        <v>5938</v>
      </c>
      <c r="B304" s="229" t="str">
        <f>+Données!B304</f>
        <v>Yverdon-les-Bains</v>
      </c>
      <c r="C304" s="220">
        <f>+Ecrêtage!C304</f>
        <v>780594.69946666679</v>
      </c>
      <c r="D304" s="218"/>
      <c r="E304" s="220">
        <f>Données!AF304+Données!AG304+Données!AH304</f>
        <v>19763354</v>
      </c>
      <c r="F304" s="218">
        <f t="shared" si="31"/>
        <v>6244757.5957333343</v>
      </c>
      <c r="G304" s="8">
        <f t="shared" si="32"/>
        <v>13518596.404266667</v>
      </c>
      <c r="H304" s="289">
        <f t="shared" si="33"/>
        <v>-10138947.303199999</v>
      </c>
      <c r="J304" s="8">
        <f>Données!AN304</f>
        <v>210577</v>
      </c>
      <c r="K304" s="198">
        <f t="shared" si="34"/>
        <v>780594.69946666679</v>
      </c>
      <c r="L304" s="12">
        <f t="shared" si="35"/>
        <v>0</v>
      </c>
      <c r="M304" s="289">
        <f t="shared" si="36"/>
        <v>0</v>
      </c>
      <c r="O304" s="42">
        <f t="shared" si="37"/>
        <v>-10138947.303199999</v>
      </c>
      <c r="P304" s="247"/>
      <c r="Q304" s="211"/>
      <c r="R304" s="211"/>
      <c r="S304" s="211"/>
      <c r="T304" s="211"/>
      <c r="U304" s="211"/>
      <c r="AF304" s="11"/>
      <c r="AG304" s="11"/>
      <c r="AH304" s="11"/>
      <c r="AI304" s="11"/>
      <c r="AJ304" s="11"/>
      <c r="AK304" s="11"/>
      <c r="AL304" s="11"/>
    </row>
    <row r="305" spans="1:38" x14ac:dyDescent="0.25">
      <c r="A305" s="38">
        <f>+Données!A305</f>
        <v>5939</v>
      </c>
      <c r="B305" s="229" t="str">
        <f>+Données!B305</f>
        <v>Yvonand</v>
      </c>
      <c r="C305" s="220">
        <f>+Ecrêtage!C305</f>
        <v>97394.348251748248</v>
      </c>
      <c r="D305" s="218"/>
      <c r="E305" s="140">
        <f>Données!AF305+Données!AG305+Données!AH305</f>
        <v>1501995</v>
      </c>
      <c r="F305" s="218">
        <f t="shared" si="31"/>
        <v>779154.78601398598</v>
      </c>
      <c r="G305" s="8">
        <f t="shared" si="32"/>
        <v>722840.21398601402</v>
      </c>
      <c r="H305" s="289">
        <f t="shared" si="33"/>
        <v>-542130.16048951051</v>
      </c>
      <c r="J305" s="210">
        <f>Données!AN305</f>
        <v>112832</v>
      </c>
      <c r="K305" s="200">
        <f t="shared" si="34"/>
        <v>97394.348251748248</v>
      </c>
      <c r="L305" s="51">
        <f t="shared" si="35"/>
        <v>15437.651748251752</v>
      </c>
      <c r="M305" s="305">
        <f t="shared" si="36"/>
        <v>-11578.238811188814</v>
      </c>
      <c r="O305" s="65">
        <f t="shared" si="37"/>
        <v>-553708.39930069936</v>
      </c>
      <c r="P305" s="247"/>
      <c r="Q305" s="211"/>
      <c r="R305" s="211"/>
      <c r="S305" s="211"/>
      <c r="T305" s="211"/>
      <c r="U305" s="211"/>
      <c r="AF305" s="11"/>
      <c r="AG305" s="11"/>
      <c r="AH305" s="11"/>
      <c r="AI305" s="11"/>
      <c r="AJ305" s="11"/>
      <c r="AK305" s="11"/>
      <c r="AL305" s="11"/>
    </row>
    <row r="306" spans="1:38" x14ac:dyDescent="0.25">
      <c r="A306" s="56"/>
      <c r="B306" s="171">
        <f>COUNTA(B6:B305)</f>
        <v>300</v>
      </c>
      <c r="C306" s="9">
        <f t="shared" ref="C306:M306" si="38">SUM(C6:C305)</f>
        <v>40269073.341943532</v>
      </c>
      <c r="E306" s="210">
        <f t="shared" si="38"/>
        <v>497793413.31</v>
      </c>
      <c r="F306" s="172">
        <f t="shared" si="38"/>
        <v>322152586.73554826</v>
      </c>
      <c r="G306" s="9">
        <f t="shared" si="38"/>
        <v>229696044.56148553</v>
      </c>
      <c r="H306" s="290">
        <f t="shared" si="38"/>
        <v>-172272033.42111424</v>
      </c>
      <c r="J306" s="210">
        <f t="shared" si="38"/>
        <v>20318947.509999998</v>
      </c>
      <c r="K306" s="16">
        <f t="shared" si="38"/>
        <v>40269073.341943532</v>
      </c>
      <c r="L306" s="9">
        <f t="shared" si="38"/>
        <v>7908782.5110689215</v>
      </c>
      <c r="M306" s="305">
        <f t="shared" si="38"/>
        <v>-5931586.8833016874</v>
      </c>
      <c r="O306" s="30">
        <f>SUM(O6:O305)</f>
        <v>-178203620.30441591</v>
      </c>
      <c r="P306" s="247"/>
      <c r="Q306" s="202"/>
      <c r="AF306" s="11"/>
      <c r="AG306" s="11"/>
      <c r="AH306" s="11"/>
      <c r="AI306" s="11"/>
      <c r="AJ306" s="11"/>
      <c r="AK306" s="11"/>
      <c r="AL306" s="11"/>
    </row>
    <row r="307" spans="1:38" x14ac:dyDescent="0.25">
      <c r="O307" s="224"/>
    </row>
    <row r="308" spans="1:38" x14ac:dyDescent="0.25">
      <c r="O308" s="222"/>
    </row>
  </sheetData>
  <sheetProtection sheet="1" objects="1" scenarios="1"/>
  <mergeCells count="9">
    <mergeCell ref="O4:O5"/>
    <mergeCell ref="I1:J1"/>
    <mergeCell ref="C4:C5"/>
    <mergeCell ref="B4:B5"/>
    <mergeCell ref="A4:A5"/>
    <mergeCell ref="K4:K5"/>
    <mergeCell ref="J4:J5"/>
    <mergeCell ref="F4:F5"/>
    <mergeCell ref="E4:E5"/>
  </mergeCells>
  <phoneticPr fontId="0" type="noConversion"/>
  <hyperlinks>
    <hyperlink ref="G1" location="Solidarité!A1" display="← Précédent" xr:uid="{5A8E4973-17D6-4687-9CE6-45B0575EDBAD}"/>
    <hyperlink ref="H1" location="'Table des matières'!A1" display="Table des             matières" xr:uid="{04BE0D59-7790-474E-8080-9D72D4E0F66D}"/>
    <hyperlink ref="I1" location="'6.4. Financement'!A1" display="Suivant →" xr:uid="{E345551C-124C-4CBD-9876-7C5AAF6D130D}"/>
    <hyperlink ref="I1:J1" location="Effort!A1" display="Suivant →" xr:uid="{309F21F1-9A18-4F3D-BDE2-8C55C3D34BC3}"/>
  </hyperlinks>
  <printOptions horizontalCentered="1"/>
  <pageMargins left="0" right="0" top="0" bottom="0" header="0.51181102362204722" footer="0.51181102362204722"/>
  <pageSetup paperSize="9" scale="64" orientation="landscape" horizontalDpi="1200" verticalDpi="1200"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3">
    <tabColor theme="6" tint="0.39997558519241921"/>
  </sheetPr>
  <dimension ref="A1:X312"/>
  <sheetViews>
    <sheetView workbookViewId="0">
      <pane ySplit="5" topLeftCell="A6" activePane="bottomLeft" state="frozen"/>
      <selection activeCell="D32" sqref="D32"/>
      <selection pane="bottomLeft" activeCell="A6" sqref="A6"/>
    </sheetView>
  </sheetViews>
  <sheetFormatPr baseColWidth="10" defaultColWidth="10.75" defaultRowHeight="15" x14ac:dyDescent="0.25"/>
  <cols>
    <col min="1" max="1" width="7.25" style="11" customWidth="1"/>
    <col min="2" max="2" width="21.375" style="11" customWidth="1"/>
    <col min="3" max="3" width="12.625" style="11" bestFit="1" customWidth="1"/>
    <col min="4" max="4" width="13.25" style="11" customWidth="1"/>
    <col min="5" max="6" width="13.125" style="11" customWidth="1"/>
    <col min="7" max="7" width="13.125" style="202" customWidth="1"/>
    <col min="8" max="9" width="13.125" style="11" customWidth="1"/>
    <col min="10" max="10" width="9.125" style="13" customWidth="1"/>
    <col min="11" max="11" width="10.625" style="13" customWidth="1"/>
    <col min="12" max="13" width="12.125" style="11" customWidth="1"/>
    <col min="14" max="16" width="8.125" style="11" customWidth="1"/>
    <col min="17" max="16384" width="10.75" style="11"/>
  </cols>
  <sheetData>
    <row r="1" spans="1:24" s="267" customFormat="1" ht="26.25" x14ac:dyDescent="0.4">
      <c r="A1" s="254" t="s">
        <v>401</v>
      </c>
      <c r="B1" s="259"/>
      <c r="C1" s="374" t="s">
        <v>405</v>
      </c>
      <c r="D1" s="278" t="s">
        <v>397</v>
      </c>
      <c r="E1" s="439" t="s">
        <v>406</v>
      </c>
      <c r="H1" s="268"/>
      <c r="I1" s="269"/>
      <c r="J1" s="266"/>
      <c r="K1" s="270"/>
      <c r="L1" s="261"/>
      <c r="M1" s="261"/>
      <c r="N1" s="261"/>
      <c r="O1" s="261"/>
      <c r="P1" s="261"/>
      <c r="W1" s="261"/>
    </row>
    <row r="2" spans="1:24" s="33" customFormat="1" ht="15.75" x14ac:dyDescent="0.25">
      <c r="A2" s="327" t="str">
        <f>Paramètres!B4</f>
        <v>Décompte 2022</v>
      </c>
      <c r="B2" s="32"/>
      <c r="C2" s="204"/>
      <c r="D2" s="204"/>
      <c r="E2" s="204"/>
      <c r="F2" s="204"/>
      <c r="G2" s="204"/>
      <c r="H2" s="204"/>
      <c r="I2" s="204"/>
      <c r="J2" s="79"/>
      <c r="K2" s="80"/>
      <c r="M2" s="202"/>
      <c r="N2" s="202"/>
      <c r="O2" s="202"/>
      <c r="P2" s="202"/>
      <c r="Q2" s="202"/>
      <c r="X2" s="202"/>
    </row>
    <row r="3" spans="1:24" ht="20.100000000000001" customHeight="1" x14ac:dyDescent="0.25"/>
    <row r="4" spans="1:24" s="285" customFormat="1" ht="43.5" customHeight="1" x14ac:dyDescent="0.2">
      <c r="A4" s="762" t="s">
        <v>44</v>
      </c>
      <c r="B4" s="762" t="s">
        <v>84</v>
      </c>
      <c r="C4" s="762" t="s">
        <v>496</v>
      </c>
      <c r="D4" s="762" t="s">
        <v>533</v>
      </c>
      <c r="E4" s="762" t="s">
        <v>502</v>
      </c>
      <c r="F4" s="762" t="s">
        <v>503</v>
      </c>
      <c r="G4" s="774" t="s">
        <v>504</v>
      </c>
      <c r="H4" s="762" t="s">
        <v>434</v>
      </c>
      <c r="I4" s="776" t="s">
        <v>435</v>
      </c>
      <c r="J4" s="453" t="s">
        <v>433</v>
      </c>
      <c r="K4" s="774" t="s">
        <v>437</v>
      </c>
      <c r="L4" s="80"/>
    </row>
    <row r="5" spans="1:24" x14ac:dyDescent="0.25">
      <c r="A5" s="764"/>
      <c r="B5" s="764"/>
      <c r="C5" s="764"/>
      <c r="D5" s="763"/>
      <c r="E5" s="764"/>
      <c r="F5" s="764"/>
      <c r="G5" s="775"/>
      <c r="H5" s="764"/>
      <c r="I5" s="777"/>
      <c r="J5" s="341">
        <f>Paramètres!B44</f>
        <v>48</v>
      </c>
      <c r="K5" s="775"/>
      <c r="L5" s="13"/>
    </row>
    <row r="6" spans="1:24" x14ac:dyDescent="0.25">
      <c r="A6" s="38">
        <f>Données!A6</f>
        <v>5401</v>
      </c>
      <c r="B6" s="167" t="str">
        <f>Données!B6</f>
        <v>Aigle</v>
      </c>
      <c r="C6" s="321">
        <f>VPI!R6</f>
        <v>294634.51575757569</v>
      </c>
      <c r="D6" s="192">
        <f>(PCS!I12-PCS!F12)/C6</f>
        <v>11.657506598737129</v>
      </c>
      <c r="E6" s="447">
        <f>'Péréquation directe'!E12/C6</f>
        <v>-20.569451978685915</v>
      </c>
      <c r="F6" s="192">
        <f>'Péréquation directe'!F12/Effort!C6</f>
        <v>-13.914973285417203</v>
      </c>
      <c r="G6" s="192">
        <f>'Péréquation directe'!G12/Effort!C6</f>
        <v>-12.881617955987146</v>
      </c>
      <c r="H6" s="192">
        <f>'Péréquation directe'!J12/Effort!C6</f>
        <v>19.118483643972599</v>
      </c>
      <c r="I6" s="386">
        <f>SUM(D6:H6)</f>
        <v>-16.590052977380534</v>
      </c>
      <c r="J6" s="208">
        <f>IF(I6&gt;J$5,I6-J$5,0)</f>
        <v>0</v>
      </c>
      <c r="K6" s="42">
        <f>-J6*C6</f>
        <v>0</v>
      </c>
      <c r="L6" s="13"/>
    </row>
    <row r="7" spans="1:24" x14ac:dyDescent="0.25">
      <c r="A7" s="38">
        <f>Données!A7</f>
        <v>5402</v>
      </c>
      <c r="B7" s="167" t="str">
        <f>Données!B7</f>
        <v>Bex</v>
      </c>
      <c r="C7" s="321">
        <f>VPI!R7</f>
        <v>191961.18746478873</v>
      </c>
      <c r="D7" s="191">
        <f>(PCS!I13-PCS!F13)/C7</f>
        <v>11.657506598737129</v>
      </c>
      <c r="E7" s="448">
        <f>'Péréquation directe'!E13/C7</f>
        <v>-19.979126781094433</v>
      </c>
      <c r="F7" s="191">
        <f>'Péréquation directe'!F13/Effort!C7</f>
        <v>-21.319144277498296</v>
      </c>
      <c r="G7" s="191">
        <f>'Péréquation directe'!G13/Effort!C7</f>
        <v>-15.112798440803649</v>
      </c>
      <c r="H7" s="191">
        <f>'Péréquation directe'!J13/Effort!C7</f>
        <v>19.118483643972599</v>
      </c>
      <c r="I7" s="341">
        <f t="shared" ref="I7:I70" si="0">SUM(D7:H7)</f>
        <v>-25.635079256686648</v>
      </c>
      <c r="J7" s="208">
        <f t="shared" ref="J7:J70" si="1">IF(I7&gt;J$5,I7-J$5,0)</f>
        <v>0</v>
      </c>
      <c r="K7" s="42">
        <f t="shared" ref="K7:K70" si="2">-J7*C7</f>
        <v>0</v>
      </c>
      <c r="L7" s="222"/>
    </row>
    <row r="8" spans="1:24" x14ac:dyDescent="0.25">
      <c r="A8" s="38">
        <f>Données!A8</f>
        <v>5403</v>
      </c>
      <c r="B8" s="167" t="str">
        <f>Données!B8</f>
        <v>Chessel</v>
      </c>
      <c r="C8" s="321">
        <f>VPI!R8</f>
        <v>13521.430615384616</v>
      </c>
      <c r="D8" s="191">
        <f>(PCS!I14-PCS!F14)/C8</f>
        <v>11.657506598737129</v>
      </c>
      <c r="E8" s="448">
        <f>'Péréquation directe'!E14/C8</f>
        <v>-5.0382796339193323</v>
      </c>
      <c r="F8" s="191">
        <f>'Péréquation directe'!F14/Effort!C8</f>
        <v>-15.075000380976389</v>
      </c>
      <c r="G8" s="191">
        <f>'Péréquation directe'!G14/Effort!C8</f>
        <v>-1.7018855247667863</v>
      </c>
      <c r="H8" s="191">
        <f>'Péréquation directe'!J14/Effort!C8</f>
        <v>19.118483643972599</v>
      </c>
      <c r="I8" s="341">
        <f t="shared" si="0"/>
        <v>8.9608247030472192</v>
      </c>
      <c r="J8" s="208">
        <f t="shared" si="1"/>
        <v>0</v>
      </c>
      <c r="K8" s="42">
        <f t="shared" si="2"/>
        <v>0</v>
      </c>
      <c r="L8" s="222"/>
    </row>
    <row r="9" spans="1:24" x14ac:dyDescent="0.25">
      <c r="A9" s="38">
        <f>Données!A9</f>
        <v>5404</v>
      </c>
      <c r="B9" s="167" t="str">
        <f>Données!B9</f>
        <v>Corbeyrier</v>
      </c>
      <c r="C9" s="321">
        <f>VPI!R9</f>
        <v>11663.247882882884</v>
      </c>
      <c r="D9" s="191">
        <f>(PCS!I15-PCS!F15)/C9</f>
        <v>11.657506598737131</v>
      </c>
      <c r="E9" s="448">
        <f>'Péréquation directe'!E15/C9</f>
        <v>-4.8674798231607452</v>
      </c>
      <c r="F9" s="191">
        <f>'Péréquation directe'!F15/Effort!C9</f>
        <v>-18.134311370614636</v>
      </c>
      <c r="G9" s="191">
        <f>'Péréquation directe'!G15/Effort!C9</f>
        <v>-16.528635824799981</v>
      </c>
      <c r="H9" s="191">
        <f>'Péréquation directe'!J15/Effort!C9</f>
        <v>19.118483643972599</v>
      </c>
      <c r="I9" s="341">
        <f t="shared" si="0"/>
        <v>-8.7544367758656314</v>
      </c>
      <c r="J9" s="208">
        <f t="shared" si="1"/>
        <v>0</v>
      </c>
      <c r="K9" s="42">
        <f t="shared" si="2"/>
        <v>0</v>
      </c>
      <c r="L9" s="222"/>
    </row>
    <row r="10" spans="1:24" x14ac:dyDescent="0.25">
      <c r="A10" s="38">
        <f>Données!A10</f>
        <v>5405</v>
      </c>
      <c r="B10" s="167" t="str">
        <f>Données!B10</f>
        <v>Gryon</v>
      </c>
      <c r="C10" s="321">
        <f>VPI!R10</f>
        <v>73286.214467120197</v>
      </c>
      <c r="D10" s="191">
        <f>(PCS!I16-PCS!F16)/C10</f>
        <v>12.853049048903671</v>
      </c>
      <c r="E10" s="448">
        <f>'Péréquation directe'!E16/C10</f>
        <v>-3.6781439104308107</v>
      </c>
      <c r="F10" s="191">
        <f>'Péréquation directe'!F16/Effort!C10</f>
        <v>0</v>
      </c>
      <c r="G10" s="191">
        <f>'Péréquation directe'!G16/Effort!C10</f>
        <v>-8.2289072724290282</v>
      </c>
      <c r="H10" s="191">
        <f>'Péréquation directe'!J16/Effort!C10</f>
        <v>19.118483643972599</v>
      </c>
      <c r="I10" s="341">
        <f t="shared" si="0"/>
        <v>20.064481510016432</v>
      </c>
      <c r="J10" s="208">
        <f t="shared" si="1"/>
        <v>0</v>
      </c>
      <c r="K10" s="42">
        <f t="shared" si="2"/>
        <v>0</v>
      </c>
      <c r="L10" s="222"/>
    </row>
    <row r="11" spans="1:24" x14ac:dyDescent="0.25">
      <c r="A11" s="38">
        <f>Données!A11</f>
        <v>5406</v>
      </c>
      <c r="B11" s="167" t="str">
        <f>Données!B11</f>
        <v>Lavey-Morcles</v>
      </c>
      <c r="C11" s="321">
        <f>VPI!R11</f>
        <v>22111.529381387842</v>
      </c>
      <c r="D11" s="191">
        <f>(PCS!I17-PCS!F17)/C11</f>
        <v>11.657506598737129</v>
      </c>
      <c r="E11" s="448">
        <f>'Péréquation directe'!E17/C11</f>
        <v>-5.7126142497083814</v>
      </c>
      <c r="F11" s="191">
        <f>'Péréquation directe'!F17/Effort!C11</f>
        <v>-23.416838597789212</v>
      </c>
      <c r="G11" s="191">
        <f>'Péréquation directe'!G17/Effort!C11</f>
        <v>-7.7323767943228878</v>
      </c>
      <c r="H11" s="191">
        <f>'Péréquation directe'!J17/Effort!C11</f>
        <v>19.118483643972599</v>
      </c>
      <c r="I11" s="341">
        <f t="shared" si="0"/>
        <v>-6.0858393991107533</v>
      </c>
      <c r="J11" s="208">
        <f t="shared" si="1"/>
        <v>0</v>
      </c>
      <c r="K11" s="42">
        <f t="shared" si="2"/>
        <v>0</v>
      </c>
      <c r="L11" s="222"/>
    </row>
    <row r="12" spans="1:24" x14ac:dyDescent="0.25">
      <c r="A12" s="38">
        <f>Données!A12</f>
        <v>5407</v>
      </c>
      <c r="B12" s="167" t="str">
        <f>Données!B12</f>
        <v>Leysin</v>
      </c>
      <c r="C12" s="321">
        <f>VPI!R12</f>
        <v>89841.412521367529</v>
      </c>
      <c r="D12" s="191">
        <f>(PCS!I18-PCS!F18)/C12</f>
        <v>11.657506598737127</v>
      </c>
      <c r="E12" s="448">
        <f>'Péréquation directe'!E18/C12</f>
        <v>-13.746657360205644</v>
      </c>
      <c r="F12" s="191">
        <f>'Péréquation directe'!F18/Effort!C12</f>
        <v>-24.787949059775187</v>
      </c>
      <c r="G12" s="191">
        <f>'Péréquation directe'!G18/Effort!C12</f>
        <v>-17.738529261132957</v>
      </c>
      <c r="H12" s="191">
        <f>'Péréquation directe'!J18/Effort!C12</f>
        <v>19.118483643972599</v>
      </c>
      <c r="I12" s="341">
        <f t="shared" si="0"/>
        <v>-25.497145438404058</v>
      </c>
      <c r="J12" s="208">
        <f t="shared" si="1"/>
        <v>0</v>
      </c>
      <c r="K12" s="42">
        <f t="shared" si="2"/>
        <v>0</v>
      </c>
      <c r="L12" s="222"/>
    </row>
    <row r="13" spans="1:24" x14ac:dyDescent="0.25">
      <c r="A13" s="38">
        <f>Données!A13</f>
        <v>5408</v>
      </c>
      <c r="B13" s="167" t="str">
        <f>Données!B13</f>
        <v>Noville</v>
      </c>
      <c r="C13" s="321">
        <f>VPI!R13</f>
        <v>41973.380088888902</v>
      </c>
      <c r="D13" s="191">
        <f>(PCS!I19-PCS!F19)/C13</f>
        <v>11.657506598737129</v>
      </c>
      <c r="E13" s="448">
        <f>'Péréquation directe'!E19/C13</f>
        <v>-4.5285457072742412</v>
      </c>
      <c r="F13" s="191">
        <f>'Péréquation directe'!F19/Effort!C13</f>
        <v>-7.86763752320884</v>
      </c>
      <c r="G13" s="191">
        <f>'Péréquation directe'!G19/Effort!C13</f>
        <v>-3.0700990515203248</v>
      </c>
      <c r="H13" s="191">
        <f>'Péréquation directe'!J19/Effort!C13</f>
        <v>19.118483643972599</v>
      </c>
      <c r="I13" s="341">
        <f t="shared" si="0"/>
        <v>15.309707960706323</v>
      </c>
      <c r="J13" s="208">
        <f t="shared" si="1"/>
        <v>0</v>
      </c>
      <c r="K13" s="42">
        <f t="shared" si="2"/>
        <v>0</v>
      </c>
      <c r="L13" s="222"/>
    </row>
    <row r="14" spans="1:24" x14ac:dyDescent="0.25">
      <c r="A14" s="38">
        <f>Données!A14</f>
        <v>5409</v>
      </c>
      <c r="B14" s="167" t="str">
        <f>Données!B14</f>
        <v>Ollon</v>
      </c>
      <c r="C14" s="321">
        <f>VPI!R14</f>
        <v>405938.29721719451</v>
      </c>
      <c r="D14" s="191">
        <f>(PCS!I20-PCS!F20)/C14</f>
        <v>12.319911574993544</v>
      </c>
      <c r="E14" s="448">
        <f>'Péréquation directe'!E20/C14</f>
        <v>-9.1670650494671673</v>
      </c>
      <c r="F14" s="191">
        <f>'Péréquation directe'!F20/Effort!C14</f>
        <v>0</v>
      </c>
      <c r="G14" s="191">
        <f>'Péréquation directe'!G20/Effort!C14</f>
        <v>-8.6813160225146309</v>
      </c>
      <c r="H14" s="191">
        <f>'Péréquation directe'!J20/Effort!C14</f>
        <v>19.118483643972599</v>
      </c>
      <c r="I14" s="341">
        <f t="shared" si="0"/>
        <v>13.590014146984345</v>
      </c>
      <c r="J14" s="208">
        <f t="shared" si="1"/>
        <v>0</v>
      </c>
      <c r="K14" s="42">
        <f t="shared" si="2"/>
        <v>0</v>
      </c>
      <c r="L14" s="222"/>
    </row>
    <row r="15" spans="1:24" x14ac:dyDescent="0.25">
      <c r="A15" s="38">
        <f>Données!A15</f>
        <v>5410</v>
      </c>
      <c r="B15" s="167" t="str">
        <f>Données!B15</f>
        <v>Ormont-Dessous</v>
      </c>
      <c r="C15" s="321">
        <f>VPI!R15</f>
        <v>38413.35632034632</v>
      </c>
      <c r="D15" s="191">
        <f>(PCS!I21-PCS!F21)/C15</f>
        <v>11.657506598737129</v>
      </c>
      <c r="E15" s="448">
        <f>'Péréquation directe'!E21/C15</f>
        <v>-5.0328791126650803</v>
      </c>
      <c r="F15" s="191">
        <f>'Péréquation directe'!F21/Effort!C15</f>
        <v>-11.526627419594194</v>
      </c>
      <c r="G15" s="191">
        <f>'Péréquation directe'!G21/Effort!C15</f>
        <v>-23.600049089110396</v>
      </c>
      <c r="H15" s="191">
        <f>'Péréquation directe'!J21/Effort!C15</f>
        <v>19.118483643972599</v>
      </c>
      <c r="I15" s="341">
        <f t="shared" si="0"/>
        <v>-9.3835653786599416</v>
      </c>
      <c r="J15" s="208">
        <f t="shared" si="1"/>
        <v>0</v>
      </c>
      <c r="K15" s="42">
        <f t="shared" si="2"/>
        <v>0</v>
      </c>
      <c r="L15" s="222"/>
    </row>
    <row r="16" spans="1:24" x14ac:dyDescent="0.25">
      <c r="A16" s="38">
        <f>Données!A16</f>
        <v>5411</v>
      </c>
      <c r="B16" s="167" t="str">
        <f>Données!B16</f>
        <v>Ormont-Dessus</v>
      </c>
      <c r="C16" s="321">
        <f>VPI!R16</f>
        <v>76161.465657894747</v>
      </c>
      <c r="D16" s="191">
        <f>(PCS!I22-PCS!F22)/C16</f>
        <v>13.07262589657801</v>
      </c>
      <c r="E16" s="448">
        <f>'Péréquation directe'!E22/C16</f>
        <v>-3.7100504149015352</v>
      </c>
      <c r="F16" s="191">
        <f>'Péréquation directe'!F22/Effort!C16</f>
        <v>0</v>
      </c>
      <c r="G16" s="191">
        <f>'Péréquation directe'!G22/Effort!C16</f>
        <v>-9.0715245674581233</v>
      </c>
      <c r="H16" s="191">
        <f>'Péréquation directe'!J22/Effort!C16</f>
        <v>19.118483643972599</v>
      </c>
      <c r="I16" s="341">
        <f t="shared" si="0"/>
        <v>19.409534558190952</v>
      </c>
      <c r="J16" s="208">
        <f t="shared" si="1"/>
        <v>0</v>
      </c>
      <c r="K16" s="42">
        <f t="shared" si="2"/>
        <v>0</v>
      </c>
      <c r="L16" s="222"/>
    </row>
    <row r="17" spans="1:12" x14ac:dyDescent="0.25">
      <c r="A17" s="38">
        <f>Données!A17</f>
        <v>5412</v>
      </c>
      <c r="B17" s="167" t="str">
        <f>Données!B17</f>
        <v>Rennaz</v>
      </c>
      <c r="C17" s="321">
        <f>VPI!R17</f>
        <v>32240.440579710143</v>
      </c>
      <c r="D17" s="191">
        <f>(PCS!I23-PCS!F23)/C17</f>
        <v>11.657506598737129</v>
      </c>
      <c r="E17" s="448">
        <f>'Péréquation directe'!E23/C17</f>
        <v>-3.7177975371383281</v>
      </c>
      <c r="F17" s="191">
        <f>'Péréquation directe'!F23/Effort!C17</f>
        <v>-7.5480643680162878</v>
      </c>
      <c r="G17" s="191">
        <f>'Péréquation directe'!G23/Effort!C17</f>
        <v>-1.8627855267198858</v>
      </c>
      <c r="H17" s="191">
        <f>'Péréquation directe'!J23/Effort!C17</f>
        <v>19.118483643972599</v>
      </c>
      <c r="I17" s="341">
        <f t="shared" si="0"/>
        <v>17.647342810835227</v>
      </c>
      <c r="J17" s="208">
        <f t="shared" si="1"/>
        <v>0</v>
      </c>
      <c r="K17" s="42">
        <f t="shared" si="2"/>
        <v>0</v>
      </c>
      <c r="L17" s="222"/>
    </row>
    <row r="18" spans="1:12" x14ac:dyDescent="0.25">
      <c r="A18" s="38">
        <f>Données!A18</f>
        <v>5413</v>
      </c>
      <c r="B18" s="167" t="str">
        <f>Données!B18</f>
        <v>Roche</v>
      </c>
      <c r="C18" s="321">
        <f>VPI!R18</f>
        <v>42596.643504901964</v>
      </c>
      <c r="D18" s="191">
        <f>(PCS!I24-PCS!F24)/C18</f>
        <v>11.657506598737127</v>
      </c>
      <c r="E18" s="448">
        <f>'Péréquation directe'!E24/C18</f>
        <v>-11.001235205564077</v>
      </c>
      <c r="F18" s="191">
        <f>'Péréquation directe'!F24/Effort!C18</f>
        <v>-22.316201043810207</v>
      </c>
      <c r="G18" s="191">
        <f>'Péréquation directe'!G24/Effort!C18</f>
        <v>-2.2728877442995388</v>
      </c>
      <c r="H18" s="191">
        <f>'Péréquation directe'!J24/Effort!C18</f>
        <v>19.118483643972599</v>
      </c>
      <c r="I18" s="341">
        <f t="shared" si="0"/>
        <v>-4.8143337509640958</v>
      </c>
      <c r="J18" s="208">
        <f t="shared" si="1"/>
        <v>0</v>
      </c>
      <c r="K18" s="42">
        <f t="shared" si="2"/>
        <v>0</v>
      </c>
      <c r="L18" s="222"/>
    </row>
    <row r="19" spans="1:12" x14ac:dyDescent="0.25">
      <c r="A19" s="38">
        <f>Données!A19</f>
        <v>5414</v>
      </c>
      <c r="B19" s="167" t="str">
        <f>Données!B19</f>
        <v>Villeneuve</v>
      </c>
      <c r="C19" s="321">
        <f>VPI!R19</f>
        <v>165881.46711111109</v>
      </c>
      <c r="D19" s="191">
        <f>(PCS!I25-PCS!F25)/C19</f>
        <v>11.657506598737127</v>
      </c>
      <c r="E19" s="448">
        <f>'Péréquation directe'!E25/C19</f>
        <v>-15.011096899643766</v>
      </c>
      <c r="F19" s="191">
        <f>'Péréquation directe'!F25/Effort!C19</f>
        <v>-13.604251347883077</v>
      </c>
      <c r="G19" s="191">
        <f>'Péréquation directe'!G25/Effort!C19</f>
        <v>-11.546960192064965</v>
      </c>
      <c r="H19" s="191">
        <f>'Péréquation directe'!J25/Effort!C19</f>
        <v>19.118483643972599</v>
      </c>
      <c r="I19" s="341">
        <f t="shared" si="0"/>
        <v>-9.3863181968820832</v>
      </c>
      <c r="J19" s="208">
        <f t="shared" si="1"/>
        <v>0</v>
      </c>
      <c r="K19" s="42">
        <f t="shared" si="2"/>
        <v>0</v>
      </c>
      <c r="L19" s="222"/>
    </row>
    <row r="20" spans="1:12" x14ac:dyDescent="0.25">
      <c r="A20" s="38">
        <f>Données!A20</f>
        <v>5415</v>
      </c>
      <c r="B20" s="167" t="str">
        <f>Données!B20</f>
        <v>Yvorne</v>
      </c>
      <c r="C20" s="321">
        <f>VPI!R20</f>
        <v>33675.515990675995</v>
      </c>
      <c r="D20" s="191">
        <f>(PCS!I26-PCS!F26)/C20</f>
        <v>11.657506598737131</v>
      </c>
      <c r="E20" s="448">
        <f>'Péréquation directe'!E26/C20</f>
        <v>-4.7754485546566299</v>
      </c>
      <c r="F20" s="191">
        <f>'Péréquation directe'!F26/Effort!C20</f>
        <v>-11.564885410776554</v>
      </c>
      <c r="G20" s="191">
        <f>'Péréquation directe'!G26/Effort!C20</f>
        <v>-10.807013830573576</v>
      </c>
      <c r="H20" s="191">
        <f>'Péréquation directe'!J26/Effort!C20</f>
        <v>19.118483643972599</v>
      </c>
      <c r="I20" s="341">
        <f t="shared" si="0"/>
        <v>3.628642446702969</v>
      </c>
      <c r="J20" s="208">
        <f t="shared" si="1"/>
        <v>0</v>
      </c>
      <c r="K20" s="42">
        <f t="shared" si="2"/>
        <v>0</v>
      </c>
      <c r="L20" s="222"/>
    </row>
    <row r="21" spans="1:12" x14ac:dyDescent="0.25">
      <c r="A21" s="38">
        <f>Données!A21</f>
        <v>5422</v>
      </c>
      <c r="B21" s="167" t="str">
        <f>Données!B21</f>
        <v>Aubonne</v>
      </c>
      <c r="C21" s="321">
        <f>VPI!R21</f>
        <v>297608.37742857152</v>
      </c>
      <c r="D21" s="191">
        <f>(PCS!I27-PCS!F27)/C21</f>
        <v>19.338665814096085</v>
      </c>
      <c r="E21" s="448">
        <f>'Péréquation directe'!E27/C21</f>
        <v>-4.2347861910741376</v>
      </c>
      <c r="F21" s="191">
        <f>'Péréquation directe'!F27/Effort!C21</f>
        <v>0</v>
      </c>
      <c r="G21" s="191">
        <f>'Péréquation directe'!G27/Effort!C21</f>
        <v>0</v>
      </c>
      <c r="H21" s="191">
        <f>'Péréquation directe'!J27/Effort!C21</f>
        <v>19.118483643972599</v>
      </c>
      <c r="I21" s="341">
        <f t="shared" si="0"/>
        <v>34.222363266994549</v>
      </c>
      <c r="J21" s="208">
        <f t="shared" si="1"/>
        <v>0</v>
      </c>
      <c r="K21" s="42">
        <f t="shared" si="2"/>
        <v>0</v>
      </c>
      <c r="L21" s="222"/>
    </row>
    <row r="22" spans="1:12" x14ac:dyDescent="0.25">
      <c r="A22" s="38">
        <f>Données!A22</f>
        <v>5423</v>
      </c>
      <c r="B22" s="167" t="str">
        <f>Données!B22</f>
        <v>Ballens</v>
      </c>
      <c r="C22" s="321">
        <f>VPI!R22</f>
        <v>17345.890547945211</v>
      </c>
      <c r="D22" s="191">
        <f>(PCS!I28-PCS!F28)/C22</f>
        <v>11.657506598737131</v>
      </c>
      <c r="E22" s="448">
        <f>'Péréquation directe'!E28/C22</f>
        <v>-4.3886040478823762</v>
      </c>
      <c r="F22" s="191">
        <f>'Péréquation directe'!F28/Effort!C22</f>
        <v>-13.815883957232192</v>
      </c>
      <c r="G22" s="191">
        <f>'Péréquation directe'!G28/Effort!C22</f>
        <v>-4.2843570698175117</v>
      </c>
      <c r="H22" s="191">
        <f>'Péréquation directe'!J28/Effort!C22</f>
        <v>19.118483643972599</v>
      </c>
      <c r="I22" s="341">
        <f t="shared" si="0"/>
        <v>8.2871451677776502</v>
      </c>
      <c r="J22" s="208">
        <f t="shared" si="1"/>
        <v>0</v>
      </c>
      <c r="K22" s="42">
        <f t="shared" si="2"/>
        <v>0</v>
      </c>
      <c r="L22" s="222"/>
    </row>
    <row r="23" spans="1:12" x14ac:dyDescent="0.25">
      <c r="A23" s="38">
        <f>Données!A23</f>
        <v>5424</v>
      </c>
      <c r="B23" s="167" t="str">
        <f>Données!B23</f>
        <v>Berolle</v>
      </c>
      <c r="C23" s="321">
        <f>VPI!R23</f>
        <v>10263.254304635762</v>
      </c>
      <c r="D23" s="191">
        <f>(PCS!I29-PCS!F29)/C23</f>
        <v>11.657506598737129</v>
      </c>
      <c r="E23" s="448">
        <f>'Péréquation directe'!E29/C23</f>
        <v>-3.8091539715345348</v>
      </c>
      <c r="F23" s="191">
        <f>'Péréquation directe'!F29/Effort!C23</f>
        <v>-9.8190390992862842</v>
      </c>
      <c r="G23" s="191">
        <f>'Péréquation directe'!G29/Effort!C23</f>
        <v>-8.2220055100450296</v>
      </c>
      <c r="H23" s="191">
        <f>'Péréquation directe'!J29/Effort!C23</f>
        <v>19.118483643972599</v>
      </c>
      <c r="I23" s="341">
        <f t="shared" si="0"/>
        <v>8.9257916618438795</v>
      </c>
      <c r="J23" s="208">
        <f t="shared" si="1"/>
        <v>0</v>
      </c>
      <c r="K23" s="42">
        <f t="shared" si="2"/>
        <v>0</v>
      </c>
      <c r="L23" s="222"/>
    </row>
    <row r="24" spans="1:12" x14ac:dyDescent="0.25">
      <c r="A24" s="38">
        <f>Données!A24</f>
        <v>5425</v>
      </c>
      <c r="B24" s="167" t="str">
        <f>Données!B24</f>
        <v>Bière</v>
      </c>
      <c r="C24" s="321">
        <f>VPI!R24</f>
        <v>42247.955252373817</v>
      </c>
      <c r="D24" s="191">
        <f>(PCS!I30-PCS!F30)/C24</f>
        <v>11.657506598737127</v>
      </c>
      <c r="E24" s="448">
        <f>'Péréquation directe'!E30/C24</f>
        <v>-8.894393048666867</v>
      </c>
      <c r="F24" s="191">
        <f>'Péréquation directe'!F30/Effort!C24</f>
        <v>-17.71345771653268</v>
      </c>
      <c r="G24" s="191">
        <f>'Péréquation directe'!G30/Effort!C24</f>
        <v>-12.793886682033122</v>
      </c>
      <c r="H24" s="191">
        <f>'Péréquation directe'!J30/Effort!C24</f>
        <v>19.118483643972599</v>
      </c>
      <c r="I24" s="341">
        <f t="shared" si="0"/>
        <v>-8.6257472045229413</v>
      </c>
      <c r="J24" s="208">
        <f t="shared" si="1"/>
        <v>0</v>
      </c>
      <c r="K24" s="42">
        <f t="shared" si="2"/>
        <v>0</v>
      </c>
      <c r="L24" s="222"/>
    </row>
    <row r="25" spans="1:12" x14ac:dyDescent="0.25">
      <c r="A25" s="38">
        <f>Données!A25</f>
        <v>5426</v>
      </c>
      <c r="B25" s="167" t="str">
        <f>Données!B25</f>
        <v>Bougy-Villars</v>
      </c>
      <c r="C25" s="321">
        <f>VPI!R25</f>
        <v>61945.082222222212</v>
      </c>
      <c r="D25" s="191">
        <f>(PCS!I31-PCS!F31)/C25</f>
        <v>26.797189699098517</v>
      </c>
      <c r="E25" s="448">
        <f>'Péréquation directe'!E31/C25</f>
        <v>-1.053937051364541</v>
      </c>
      <c r="F25" s="191">
        <f>'Péréquation directe'!F31/Effort!C25</f>
        <v>0</v>
      </c>
      <c r="G25" s="191">
        <f>'Péréquation directe'!G31/Effort!C25</f>
        <v>0</v>
      </c>
      <c r="H25" s="191">
        <f>'Péréquation directe'!J31/Effort!C25</f>
        <v>19.118483643972599</v>
      </c>
      <c r="I25" s="341">
        <f t="shared" si="0"/>
        <v>44.861736291706578</v>
      </c>
      <c r="J25" s="208">
        <f t="shared" si="1"/>
        <v>0</v>
      </c>
      <c r="K25" s="42">
        <f t="shared" si="2"/>
        <v>0</v>
      </c>
      <c r="L25" s="222"/>
    </row>
    <row r="26" spans="1:12" x14ac:dyDescent="0.25">
      <c r="A26" s="38">
        <f>Données!A26</f>
        <v>5427</v>
      </c>
      <c r="B26" s="167" t="str">
        <f>Données!B26</f>
        <v>Féchy</v>
      </c>
      <c r="C26" s="321">
        <f>VPI!R26</f>
        <v>86922.106418269221</v>
      </c>
      <c r="D26" s="191">
        <f>(PCS!I32-PCS!F32)/C26</f>
        <v>22.448124948742187</v>
      </c>
      <c r="E26" s="448">
        <f>'Péréquation directe'!E32/C26</f>
        <v>-1.3166318812879125</v>
      </c>
      <c r="F26" s="191">
        <f>'Péréquation directe'!F32/Effort!C26</f>
        <v>0</v>
      </c>
      <c r="G26" s="191">
        <f>'Péréquation directe'!G32/Effort!C26</f>
        <v>0</v>
      </c>
      <c r="H26" s="191">
        <f>'Péréquation directe'!J32/Effort!C26</f>
        <v>19.118483643972599</v>
      </c>
      <c r="I26" s="341">
        <f t="shared" si="0"/>
        <v>40.249976711426875</v>
      </c>
      <c r="J26" s="208">
        <f t="shared" si="1"/>
        <v>0</v>
      </c>
      <c r="K26" s="42">
        <f t="shared" si="2"/>
        <v>0</v>
      </c>
      <c r="L26" s="222"/>
    </row>
    <row r="27" spans="1:12" x14ac:dyDescent="0.25">
      <c r="A27" s="38">
        <f>Données!A27</f>
        <v>5428</v>
      </c>
      <c r="B27" s="167" t="str">
        <f>Données!B27</f>
        <v>Gimel</v>
      </c>
      <c r="C27" s="321">
        <f>VPI!R27</f>
        <v>71357.587986577171</v>
      </c>
      <c r="D27" s="191">
        <f>(PCS!I33-PCS!F33)/C27</f>
        <v>11.657506598737127</v>
      </c>
      <c r="E27" s="448">
        <f>'Péréquation directe'!E33/C27</f>
        <v>-8.9669025718158188</v>
      </c>
      <c r="F27" s="191">
        <f>'Péréquation directe'!F33/Effort!C27</f>
        <v>-14.191436289779686</v>
      </c>
      <c r="G27" s="191">
        <f>'Péréquation directe'!G33/Effort!C27</f>
        <v>-7.5334906524819445</v>
      </c>
      <c r="H27" s="191">
        <f>'Péréquation directe'!J33/Effort!C27</f>
        <v>19.118483643972599</v>
      </c>
      <c r="I27" s="341">
        <f t="shared" si="0"/>
        <v>8.4160728632276971E-2</v>
      </c>
      <c r="J27" s="208">
        <f t="shared" si="1"/>
        <v>0</v>
      </c>
      <c r="K27" s="42">
        <f t="shared" si="2"/>
        <v>0</v>
      </c>
      <c r="L27" s="222"/>
    </row>
    <row r="28" spans="1:12" x14ac:dyDescent="0.25">
      <c r="A28" s="38">
        <f>Données!A28</f>
        <v>5429</v>
      </c>
      <c r="B28" s="167" t="str">
        <f>Données!B28</f>
        <v>Longirod</v>
      </c>
      <c r="C28" s="321">
        <f>VPI!R28</f>
        <v>17142.381290322584</v>
      </c>
      <c r="D28" s="191">
        <f>(PCS!I34-PCS!F34)/C28</f>
        <v>11.657506598737129</v>
      </c>
      <c r="E28" s="448">
        <f>'Péréquation directe'!E34/C28</f>
        <v>-4.0718999998938843</v>
      </c>
      <c r="F28" s="191">
        <f>'Péréquation directe'!F34/Effort!C28</f>
        <v>-12.71562685022216</v>
      </c>
      <c r="G28" s="191">
        <f>'Péréquation directe'!G34/Effort!C28</f>
        <v>-3.9210962089770245</v>
      </c>
      <c r="H28" s="191">
        <f>'Péréquation directe'!J34/Effort!C28</f>
        <v>19.118483643972599</v>
      </c>
      <c r="I28" s="341">
        <f t="shared" si="0"/>
        <v>10.06736718361666</v>
      </c>
      <c r="J28" s="208">
        <f t="shared" si="1"/>
        <v>0</v>
      </c>
      <c r="K28" s="42">
        <f t="shared" si="2"/>
        <v>0</v>
      </c>
      <c r="L28" s="222"/>
    </row>
    <row r="29" spans="1:12" x14ac:dyDescent="0.25">
      <c r="A29" s="38">
        <f>Données!A29</f>
        <v>5430</v>
      </c>
      <c r="B29" s="167" t="str">
        <f>Données!B29</f>
        <v>Marchissy</v>
      </c>
      <c r="C29" s="321">
        <f>VPI!R29</f>
        <v>17121.715483870968</v>
      </c>
      <c r="D29" s="191">
        <f>(PCS!I35-PCS!F35)/C29</f>
        <v>11.657506598737129</v>
      </c>
      <c r="E29" s="448">
        <f>'Péréquation directe'!E35/C29</f>
        <v>-3.7603152762577241</v>
      </c>
      <c r="F29" s="191">
        <f>'Péréquation directe'!F35/Effort!C29</f>
        <v>-9.9057085865107126</v>
      </c>
      <c r="G29" s="191">
        <f>'Péréquation directe'!G35/Effort!C29</f>
        <v>-3.4826946606458145</v>
      </c>
      <c r="H29" s="191">
        <f>'Péréquation directe'!J35/Effort!C29</f>
        <v>19.118483643972599</v>
      </c>
      <c r="I29" s="341">
        <f t="shared" si="0"/>
        <v>13.627271719295477</v>
      </c>
      <c r="J29" s="208">
        <f t="shared" si="1"/>
        <v>0</v>
      </c>
      <c r="K29" s="42">
        <f t="shared" si="2"/>
        <v>0</v>
      </c>
      <c r="L29" s="222"/>
    </row>
    <row r="30" spans="1:12" x14ac:dyDescent="0.25">
      <c r="A30" s="38">
        <f>Données!A30</f>
        <v>5431</v>
      </c>
      <c r="B30" s="167" t="str">
        <f>Données!B30</f>
        <v>Mollens</v>
      </c>
      <c r="C30" s="321">
        <f>VPI!R30</f>
        <v>9475.049594594595</v>
      </c>
      <c r="D30" s="191">
        <f>(PCS!I36-PCS!F36)/C30</f>
        <v>11.657506598737131</v>
      </c>
      <c r="E30" s="448">
        <f>'Péréquation directe'!E36/C30</f>
        <v>-4.4119898814539544</v>
      </c>
      <c r="F30" s="191">
        <f>'Péréquation directe'!F36/Effort!C30</f>
        <v>-14.389272275074202</v>
      </c>
      <c r="G30" s="191">
        <f>'Péréquation directe'!G36/Effort!C30</f>
        <v>-6.0385610297097925</v>
      </c>
      <c r="H30" s="191">
        <f>'Péréquation directe'!J36/Effort!C30</f>
        <v>19.118483643972599</v>
      </c>
      <c r="I30" s="341">
        <f t="shared" si="0"/>
        <v>5.9361670564717812</v>
      </c>
      <c r="J30" s="208">
        <f t="shared" si="1"/>
        <v>0</v>
      </c>
      <c r="K30" s="42">
        <f t="shared" si="2"/>
        <v>0</v>
      </c>
      <c r="L30" s="222"/>
    </row>
    <row r="31" spans="1:12" x14ac:dyDescent="0.25">
      <c r="A31" s="38">
        <f>Données!A31</f>
        <v>5434</v>
      </c>
      <c r="B31" s="167" t="str">
        <f>Données!B31</f>
        <v>Saint-George</v>
      </c>
      <c r="C31" s="321">
        <f>VPI!R31</f>
        <v>40910.448657074339</v>
      </c>
      <c r="D31" s="191">
        <f>(PCS!I37-PCS!F37)/C31</f>
        <v>11.657506598737129</v>
      </c>
      <c r="E31" s="448">
        <f>'Péréquation directe'!E37/C31</f>
        <v>-3.763136673186446</v>
      </c>
      <c r="F31" s="191">
        <f>'Péréquation directe'!F37/Effort!C31</f>
        <v>-5.1458627322953623</v>
      </c>
      <c r="G31" s="191">
        <f>'Péréquation directe'!G37/Effort!C31</f>
        <v>-3.8350852461360931</v>
      </c>
      <c r="H31" s="191">
        <f>'Péréquation directe'!J37/Effort!C31</f>
        <v>19.118483643972599</v>
      </c>
      <c r="I31" s="341">
        <f t="shared" si="0"/>
        <v>18.031905591091828</v>
      </c>
      <c r="J31" s="208">
        <f t="shared" si="1"/>
        <v>0</v>
      </c>
      <c r="K31" s="42">
        <f t="shared" si="2"/>
        <v>0</v>
      </c>
      <c r="L31" s="222"/>
    </row>
    <row r="32" spans="1:12" x14ac:dyDescent="0.25">
      <c r="A32" s="38">
        <f>Données!A32</f>
        <v>5435</v>
      </c>
      <c r="B32" s="167" t="str">
        <f>Données!B32</f>
        <v>Saint-Livres</v>
      </c>
      <c r="C32" s="321">
        <f>VPI!R32</f>
        <v>25462.29188405797</v>
      </c>
      <c r="D32" s="191">
        <f>(PCS!I38-PCS!F38)/C32</f>
        <v>11.657506598737129</v>
      </c>
      <c r="E32" s="448">
        <f>'Péréquation directe'!E38/C32</f>
        <v>-3.5318827300910964</v>
      </c>
      <c r="F32" s="191">
        <f>'Péréquation directe'!F38/Effort!C32</f>
        <v>-6.219060371783689</v>
      </c>
      <c r="G32" s="191">
        <f>'Péréquation directe'!G38/Effort!C32</f>
        <v>-1.3287196945862785</v>
      </c>
      <c r="H32" s="191">
        <f>'Péréquation directe'!J38/Effort!C32</f>
        <v>19.118483643972599</v>
      </c>
      <c r="I32" s="341">
        <f t="shared" si="0"/>
        <v>19.696327446248663</v>
      </c>
      <c r="J32" s="208">
        <f t="shared" si="1"/>
        <v>0</v>
      </c>
      <c r="K32" s="42">
        <f t="shared" si="2"/>
        <v>0</v>
      </c>
      <c r="L32" s="222"/>
    </row>
    <row r="33" spans="1:12" x14ac:dyDescent="0.25">
      <c r="A33" s="38">
        <f>Données!A33</f>
        <v>5436</v>
      </c>
      <c r="B33" s="167" t="str">
        <f>Données!B33</f>
        <v>Saint-Oyens</v>
      </c>
      <c r="C33" s="321">
        <f>VPI!R33</f>
        <v>16425.371772151899</v>
      </c>
      <c r="D33" s="191">
        <f>(PCS!I39-PCS!F39)/C33</f>
        <v>11.657506598737129</v>
      </c>
      <c r="E33" s="448">
        <f>'Péréquation directe'!E39/C33</f>
        <v>-3.5819591103632078</v>
      </c>
      <c r="F33" s="191">
        <f>'Péréquation directe'!F39/Effort!C33</f>
        <v>-8.6215583631949055</v>
      </c>
      <c r="G33" s="191">
        <f>'Péréquation directe'!G39/Effort!C33</f>
        <v>0</v>
      </c>
      <c r="H33" s="191">
        <f>'Péréquation directe'!J39/Effort!C33</f>
        <v>19.118483643972599</v>
      </c>
      <c r="I33" s="341">
        <f t="shared" si="0"/>
        <v>18.572472769151616</v>
      </c>
      <c r="J33" s="208">
        <f t="shared" si="1"/>
        <v>0</v>
      </c>
      <c r="K33" s="42">
        <f t="shared" si="2"/>
        <v>0</v>
      </c>
      <c r="L33" s="222"/>
    </row>
    <row r="34" spans="1:12" x14ac:dyDescent="0.25">
      <c r="A34" s="38">
        <f>Données!A34</f>
        <v>5437</v>
      </c>
      <c r="B34" s="167" t="str">
        <f>Données!B34</f>
        <v>Saubraz</v>
      </c>
      <c r="C34" s="321">
        <f>VPI!R34</f>
        <v>12127.91725</v>
      </c>
      <c r="D34" s="191">
        <f>(PCS!I40-PCS!F40)/C34</f>
        <v>11.657506598737129</v>
      </c>
      <c r="E34" s="448">
        <f>'Péréquation directe'!E40/C34</f>
        <v>-4.7767345251533317</v>
      </c>
      <c r="F34" s="191">
        <f>'Péréquation directe'!F40/Effort!C34</f>
        <v>-20.322224540011909</v>
      </c>
      <c r="G34" s="191">
        <f>'Péréquation directe'!G40/Effort!C34</f>
        <v>-0.29928852787975591</v>
      </c>
      <c r="H34" s="191">
        <f>'Péréquation directe'!J40/Effort!C34</f>
        <v>19.118483643972599</v>
      </c>
      <c r="I34" s="341">
        <f t="shared" si="0"/>
        <v>5.3777426496647305</v>
      </c>
      <c r="J34" s="208">
        <f t="shared" si="1"/>
        <v>0</v>
      </c>
      <c r="K34" s="42">
        <f t="shared" si="2"/>
        <v>0</v>
      </c>
      <c r="L34" s="222"/>
    </row>
    <row r="35" spans="1:12" x14ac:dyDescent="0.25">
      <c r="A35" s="38">
        <f>Données!A35</f>
        <v>5451</v>
      </c>
      <c r="B35" s="167" t="str">
        <f>Données!B35</f>
        <v>Avenches</v>
      </c>
      <c r="C35" s="321">
        <f>VPI!R35</f>
        <v>142633.11649122802</v>
      </c>
      <c r="D35" s="191">
        <f>(PCS!I41-PCS!F41)/C35</f>
        <v>11.657506598737129</v>
      </c>
      <c r="E35" s="448">
        <f>'Péréquation directe'!E41/C35</f>
        <v>-12.107000095141155</v>
      </c>
      <c r="F35" s="191">
        <f>'Péréquation directe'!F41/Effort!C35</f>
        <v>-10.531092994255026</v>
      </c>
      <c r="G35" s="191">
        <f>'Péréquation directe'!G41/Effort!C35</f>
        <v>-8.77458778045842</v>
      </c>
      <c r="H35" s="191">
        <f>'Péréquation directe'!J41/Effort!C35</f>
        <v>19.118483643972599</v>
      </c>
      <c r="I35" s="341">
        <f t="shared" si="0"/>
        <v>-0.63669062714487268</v>
      </c>
      <c r="J35" s="208">
        <f t="shared" si="1"/>
        <v>0</v>
      </c>
      <c r="K35" s="42">
        <f t="shared" si="2"/>
        <v>0</v>
      </c>
      <c r="L35" s="222"/>
    </row>
    <row r="36" spans="1:12" x14ac:dyDescent="0.25">
      <c r="A36" s="38">
        <f>Données!A36</f>
        <v>5456</v>
      </c>
      <c r="B36" s="167" t="str">
        <f>Données!B36</f>
        <v>Cudrefin</v>
      </c>
      <c r="C36" s="321">
        <f>VPI!R36</f>
        <v>64060.385932203382</v>
      </c>
      <c r="D36" s="191">
        <f>(PCS!I42-PCS!F42)/C36</f>
        <v>11.657506598737131</v>
      </c>
      <c r="E36" s="448">
        <f>'Péréquation directe'!E42/C36</f>
        <v>-6.9542910321505689</v>
      </c>
      <c r="F36" s="191">
        <f>'Péréquation directe'!F42/Effort!C36</f>
        <v>-5.8357914148953478</v>
      </c>
      <c r="G36" s="191">
        <f>'Péréquation directe'!G42/Effort!C36</f>
        <v>-2.3926672026140219</v>
      </c>
      <c r="H36" s="191">
        <f>'Péréquation directe'!J42/Effort!C36</f>
        <v>19.118483643972599</v>
      </c>
      <c r="I36" s="341">
        <f t="shared" si="0"/>
        <v>15.593240593049792</v>
      </c>
      <c r="J36" s="208">
        <f t="shared" si="1"/>
        <v>0</v>
      </c>
      <c r="K36" s="42">
        <f t="shared" si="2"/>
        <v>0</v>
      </c>
      <c r="L36" s="222"/>
    </row>
    <row r="37" spans="1:12" x14ac:dyDescent="0.25">
      <c r="A37" s="38">
        <f>Données!A37</f>
        <v>5458</v>
      </c>
      <c r="B37" s="167" t="str">
        <f>Données!B37</f>
        <v>Faoug</v>
      </c>
      <c r="C37" s="321">
        <f>VPI!R37</f>
        <v>32630.920512820507</v>
      </c>
      <c r="D37" s="191">
        <f>(PCS!I43-PCS!F43)/C37</f>
        <v>11.657506598737129</v>
      </c>
      <c r="E37" s="448">
        <f>'Péréquation directe'!E43/C37</f>
        <v>-3.5705030990813063</v>
      </c>
      <c r="F37" s="191">
        <f>'Péréquation directe'!F43/Effort!C37</f>
        <v>-5.7639049281449122</v>
      </c>
      <c r="G37" s="191">
        <f>'Péréquation directe'!G43/Effort!C37</f>
        <v>-3.4102463299910855</v>
      </c>
      <c r="H37" s="191">
        <f>'Péréquation directe'!J43/Effort!C37</f>
        <v>19.118483643972599</v>
      </c>
      <c r="I37" s="341">
        <f t="shared" si="0"/>
        <v>18.031335885492425</v>
      </c>
      <c r="J37" s="208">
        <f t="shared" si="1"/>
        <v>0</v>
      </c>
      <c r="K37" s="42">
        <f t="shared" si="2"/>
        <v>0</v>
      </c>
      <c r="L37" s="222"/>
    </row>
    <row r="38" spans="1:12" x14ac:dyDescent="0.25">
      <c r="A38" s="38">
        <f>Données!A38</f>
        <v>5464</v>
      </c>
      <c r="B38" s="167" t="str">
        <f>Données!B38</f>
        <v>Vully-les-Lacs</v>
      </c>
      <c r="C38" s="321">
        <f>VPI!R38</f>
        <v>117933.44731343284</v>
      </c>
      <c r="D38" s="191">
        <f>(PCS!I44-PCS!F44)/C38</f>
        <v>11.657506598737131</v>
      </c>
      <c r="E38" s="448">
        <f>'Péréquation directe'!E44/C38</f>
        <v>-9.5838079425461515</v>
      </c>
      <c r="F38" s="191">
        <f>'Péréquation directe'!F44/Effort!C38</f>
        <v>-8.1622953918444985</v>
      </c>
      <c r="G38" s="191">
        <f>'Péréquation directe'!G44/Effort!C38</f>
        <v>-3.3080718405741552</v>
      </c>
      <c r="H38" s="191">
        <f>'Péréquation directe'!J44/Effort!C38</f>
        <v>19.118483643972603</v>
      </c>
      <c r="I38" s="341">
        <f t="shared" si="0"/>
        <v>9.7218150677449273</v>
      </c>
      <c r="J38" s="208">
        <f t="shared" si="1"/>
        <v>0</v>
      </c>
      <c r="K38" s="42">
        <f t="shared" si="2"/>
        <v>0</v>
      </c>
      <c r="L38" s="222"/>
    </row>
    <row r="39" spans="1:12" x14ac:dyDescent="0.25">
      <c r="A39" s="38">
        <f>Données!A39</f>
        <v>5471</v>
      </c>
      <c r="B39" s="167" t="str">
        <f>Données!B39</f>
        <v>Bettens</v>
      </c>
      <c r="C39" s="321">
        <f>VPI!R39</f>
        <v>22692.287412698413</v>
      </c>
      <c r="D39" s="191">
        <f>(PCS!I45-PCS!F45)/C39</f>
        <v>11.657506598737129</v>
      </c>
      <c r="E39" s="448">
        <f>'Péréquation directe'!E45/C39</f>
        <v>-3.6957796558693059</v>
      </c>
      <c r="F39" s="191">
        <f>'Péréquation directe'!F45/Effort!C39</f>
        <v>-7.6064451602666248</v>
      </c>
      <c r="G39" s="191">
        <f>'Péréquation directe'!G45/Effort!C39</f>
        <v>0</v>
      </c>
      <c r="H39" s="191">
        <f>'Péréquation directe'!J45/Effort!C39</f>
        <v>19.118483643972599</v>
      </c>
      <c r="I39" s="341">
        <f t="shared" si="0"/>
        <v>19.473765426573799</v>
      </c>
      <c r="J39" s="208">
        <f t="shared" si="1"/>
        <v>0</v>
      </c>
      <c r="K39" s="42">
        <f t="shared" si="2"/>
        <v>0</v>
      </c>
      <c r="L39" s="222"/>
    </row>
    <row r="40" spans="1:12" x14ac:dyDescent="0.25">
      <c r="A40" s="38">
        <f>Données!A40</f>
        <v>5472</v>
      </c>
      <c r="B40" s="167" t="str">
        <f>Données!B40</f>
        <v>Bournens</v>
      </c>
      <c r="C40" s="321">
        <f>VPI!R40</f>
        <v>19974.836617647059</v>
      </c>
      <c r="D40" s="191">
        <f>(PCS!I46-PCS!F46)/C40</f>
        <v>11.657506598737127</v>
      </c>
      <c r="E40" s="448">
        <f>'Péréquation directe'!E46/C40</f>
        <v>-3.320097767617618</v>
      </c>
      <c r="F40" s="191">
        <f>'Péréquation directe'!F46/Effort!C40</f>
        <v>-4.5697325213223472</v>
      </c>
      <c r="G40" s="191">
        <f>'Péréquation directe'!G46/Effort!C40</f>
        <v>-0.38448988013146451</v>
      </c>
      <c r="H40" s="191">
        <f>'Péréquation directe'!J46/Effort!C40</f>
        <v>19.118483643972599</v>
      </c>
      <c r="I40" s="341">
        <f t="shared" si="0"/>
        <v>22.501670073638298</v>
      </c>
      <c r="J40" s="208">
        <f t="shared" si="1"/>
        <v>0</v>
      </c>
      <c r="K40" s="42">
        <f t="shared" si="2"/>
        <v>0</v>
      </c>
      <c r="L40" s="222"/>
    </row>
    <row r="41" spans="1:12" x14ac:dyDescent="0.25">
      <c r="A41" s="38">
        <f>Données!A41</f>
        <v>5473</v>
      </c>
      <c r="B41" s="167" t="str">
        <f>Données!B41</f>
        <v>Boussens</v>
      </c>
      <c r="C41" s="321">
        <f>VPI!R41</f>
        <v>40043.184999999998</v>
      </c>
      <c r="D41" s="191">
        <f>(PCS!I47-PCS!F47)/C41</f>
        <v>11.657506598737131</v>
      </c>
      <c r="E41" s="448">
        <f>'Péréquation directe'!E47/C41</f>
        <v>-3.3033224834617796</v>
      </c>
      <c r="F41" s="191">
        <f>'Péréquation directe'!F47/Effort!C41</f>
        <v>-3.8537645445111277</v>
      </c>
      <c r="G41" s="191">
        <f>'Péréquation directe'!G47/Effort!C41</f>
        <v>0</v>
      </c>
      <c r="H41" s="191">
        <f>'Péréquation directe'!J47/Effort!C41</f>
        <v>19.118483643972599</v>
      </c>
      <c r="I41" s="341">
        <f t="shared" si="0"/>
        <v>23.618903214736825</v>
      </c>
      <c r="J41" s="208">
        <f t="shared" si="1"/>
        <v>0</v>
      </c>
      <c r="K41" s="42">
        <f t="shared" si="2"/>
        <v>0</v>
      </c>
      <c r="L41" s="222"/>
    </row>
    <row r="42" spans="1:12" x14ac:dyDescent="0.25">
      <c r="A42" s="38">
        <f>Données!A42</f>
        <v>5474</v>
      </c>
      <c r="B42" s="167" t="str">
        <f>Données!B42</f>
        <v>La Chaux (Cossonay)</v>
      </c>
      <c r="C42" s="321">
        <f>VPI!R42</f>
        <v>13862.516425438596</v>
      </c>
      <c r="D42" s="191">
        <f>(PCS!I48-PCS!F48)/C42</f>
        <v>11.657506598737129</v>
      </c>
      <c r="E42" s="448">
        <f>'Péréquation directe'!E48/C42</f>
        <v>-3.8346535401443052</v>
      </c>
      <c r="F42" s="191">
        <f>'Péréquation directe'!F48/Effort!C42</f>
        <v>-10.170666719782025</v>
      </c>
      <c r="G42" s="191">
        <f>'Péréquation directe'!G48/Effort!C42</f>
        <v>-12.598192571075199</v>
      </c>
      <c r="H42" s="191">
        <f>'Péréquation directe'!J48/Effort!C42</f>
        <v>19.118483643972599</v>
      </c>
      <c r="I42" s="341">
        <f t="shared" si="0"/>
        <v>4.1724774117081989</v>
      </c>
      <c r="J42" s="208">
        <f t="shared" si="1"/>
        <v>0</v>
      </c>
      <c r="K42" s="42">
        <f t="shared" si="2"/>
        <v>0</v>
      </c>
      <c r="L42" s="222"/>
    </row>
    <row r="43" spans="1:12" x14ac:dyDescent="0.25">
      <c r="A43" s="38">
        <f>Données!A43</f>
        <v>5475</v>
      </c>
      <c r="B43" s="167" t="str">
        <f>Données!B43</f>
        <v>Chavannes-le-Veyron</v>
      </c>
      <c r="C43" s="321">
        <f>VPI!R43</f>
        <v>4297.2048000000004</v>
      </c>
      <c r="D43" s="191">
        <f>(PCS!I49-PCS!F49)/C43</f>
        <v>11.657506598737129</v>
      </c>
      <c r="E43" s="448">
        <f>'Péréquation directe'!E49/C43</f>
        <v>-4.8940966494503781</v>
      </c>
      <c r="F43" s="191">
        <f>'Péréquation directe'!F49/Effort!C43</f>
        <v>-18.852537740290341</v>
      </c>
      <c r="G43" s="191">
        <f>'Péréquation directe'!G49/Effort!C43</f>
        <v>-11.601522366353121</v>
      </c>
      <c r="H43" s="191">
        <f>'Péréquation directe'!J49/Effort!C43</f>
        <v>19.118483643972599</v>
      </c>
      <c r="I43" s="341">
        <f t="shared" si="0"/>
        <v>-4.5721665133841149</v>
      </c>
      <c r="J43" s="208">
        <f t="shared" si="1"/>
        <v>0</v>
      </c>
      <c r="K43" s="42">
        <f t="shared" si="2"/>
        <v>0</v>
      </c>
      <c r="L43" s="222"/>
    </row>
    <row r="44" spans="1:12" x14ac:dyDescent="0.25">
      <c r="A44" s="38">
        <f>Données!A44</f>
        <v>5476</v>
      </c>
      <c r="B44" s="167" t="str">
        <f>Données!B44</f>
        <v>Chevilly</v>
      </c>
      <c r="C44" s="321">
        <f>VPI!R44</f>
        <v>13558.452965517243</v>
      </c>
      <c r="D44" s="191">
        <f>(PCS!I50-PCS!F50)/C44</f>
        <v>11.657506598737129</v>
      </c>
      <c r="E44" s="448">
        <f>'Péréquation directe'!E50/C44</f>
        <v>-3.149842541794813</v>
      </c>
      <c r="F44" s="191">
        <f>'Péréquation directe'!F50/Effort!C44</f>
        <v>-3.8508986911637675</v>
      </c>
      <c r="G44" s="191">
        <f>'Péréquation directe'!G50/Effort!C44</f>
        <v>0</v>
      </c>
      <c r="H44" s="191">
        <f>'Péréquation directe'!J50/Effort!C44</f>
        <v>19.118483643972599</v>
      </c>
      <c r="I44" s="341">
        <f t="shared" si="0"/>
        <v>23.77524900975115</v>
      </c>
      <c r="J44" s="208">
        <f t="shared" si="1"/>
        <v>0</v>
      </c>
      <c r="K44" s="42">
        <f t="shared" si="2"/>
        <v>0</v>
      </c>
      <c r="L44" s="222"/>
    </row>
    <row r="45" spans="1:12" x14ac:dyDescent="0.25">
      <c r="A45" s="38">
        <f>Données!A45</f>
        <v>5477</v>
      </c>
      <c r="B45" s="167" t="str">
        <f>Données!B45</f>
        <v>Cossonay</v>
      </c>
      <c r="C45" s="321">
        <f>VPI!R45</f>
        <v>151490.5288235294</v>
      </c>
      <c r="D45" s="191">
        <f>(PCS!I51-PCS!F51)/C45</f>
        <v>11.657506598737127</v>
      </c>
      <c r="E45" s="448">
        <f>'Péréquation directe'!E51/C45</f>
        <v>-10.353238035476283</v>
      </c>
      <c r="F45" s="191">
        <f>'Péréquation directe'!F51/Effort!C45</f>
        <v>-7.471830708927893</v>
      </c>
      <c r="G45" s="191">
        <f>'Péréquation directe'!G51/Effort!C45</f>
        <v>-6.1948366300313733</v>
      </c>
      <c r="H45" s="191">
        <f>'Péréquation directe'!J51/Effort!C45</f>
        <v>19.118483643972599</v>
      </c>
      <c r="I45" s="341">
        <f t="shared" si="0"/>
        <v>6.7560848682741774</v>
      </c>
      <c r="J45" s="208">
        <f t="shared" si="1"/>
        <v>0</v>
      </c>
      <c r="K45" s="42">
        <f t="shared" si="2"/>
        <v>0</v>
      </c>
      <c r="L45" s="222"/>
    </row>
    <row r="46" spans="1:12" x14ac:dyDescent="0.25">
      <c r="A46" s="38">
        <f>Données!A46</f>
        <v>5479</v>
      </c>
      <c r="B46" s="167" t="str">
        <f>Données!B46</f>
        <v>Cuarnens</v>
      </c>
      <c r="C46" s="321">
        <f>VPI!R46</f>
        <v>14331.337792207793</v>
      </c>
      <c r="D46" s="191">
        <f>(PCS!I52-PCS!F52)/C46</f>
        <v>11.657506598737129</v>
      </c>
      <c r="E46" s="448">
        <f>'Péréquation directe'!E52/C46</f>
        <v>-4.9066011821977691</v>
      </c>
      <c r="F46" s="191">
        <f>'Péréquation directe'!F52/Effort!C46</f>
        <v>-19.982730066169974</v>
      </c>
      <c r="G46" s="191">
        <f>'Péréquation directe'!G52/Effort!C46</f>
        <v>-17.108763568179409</v>
      </c>
      <c r="H46" s="191">
        <f>'Péréquation directe'!J52/Effort!C46</f>
        <v>19.118483643972599</v>
      </c>
      <c r="I46" s="341">
        <f t="shared" si="0"/>
        <v>-11.222104573837424</v>
      </c>
      <c r="J46" s="208">
        <f t="shared" si="1"/>
        <v>0</v>
      </c>
      <c r="K46" s="42">
        <f t="shared" si="2"/>
        <v>0</v>
      </c>
      <c r="L46" s="222"/>
    </row>
    <row r="47" spans="1:12" x14ac:dyDescent="0.25">
      <c r="A47" s="38">
        <f>Données!A47</f>
        <v>5480</v>
      </c>
      <c r="B47" s="167" t="str">
        <f>Données!B47</f>
        <v>Daillens</v>
      </c>
      <c r="C47" s="321">
        <f>VPI!R47</f>
        <v>42720.265505050505</v>
      </c>
      <c r="D47" s="191">
        <f>(PCS!I53-PCS!F53)/C47</f>
        <v>11.657506598737129</v>
      </c>
      <c r="E47" s="448">
        <f>'Péréquation directe'!E53/C47</f>
        <v>-3.5022347502183466</v>
      </c>
      <c r="F47" s="191">
        <f>'Péréquation directe'!F53/Effort!C47</f>
        <v>-3.4694344563443908</v>
      </c>
      <c r="G47" s="191">
        <f>'Péréquation directe'!G53/Effort!C47</f>
        <v>-2.285740893379161</v>
      </c>
      <c r="H47" s="191">
        <f>'Péréquation directe'!J53/Effort!C47</f>
        <v>19.118483643972599</v>
      </c>
      <c r="I47" s="341">
        <f t="shared" si="0"/>
        <v>21.518580142767831</v>
      </c>
      <c r="J47" s="208">
        <f t="shared" si="1"/>
        <v>0</v>
      </c>
      <c r="K47" s="42">
        <f t="shared" si="2"/>
        <v>0</v>
      </c>
      <c r="L47" s="222"/>
    </row>
    <row r="48" spans="1:12" x14ac:dyDescent="0.25">
      <c r="A48" s="38">
        <f>Données!A48</f>
        <v>5481</v>
      </c>
      <c r="B48" s="167" t="str">
        <f>Données!B48</f>
        <v>Dizy</v>
      </c>
      <c r="C48" s="321">
        <f>VPI!R48</f>
        <v>8552.7156000000014</v>
      </c>
      <c r="D48" s="191">
        <f>(PCS!I54-PCS!F54)/C48</f>
        <v>11.657506598737129</v>
      </c>
      <c r="E48" s="448">
        <f>'Péréquation directe'!E54/C48</f>
        <v>-3.4998944206279856</v>
      </c>
      <c r="F48" s="191">
        <f>'Péréquation directe'!F54/Effort!C48</f>
        <v>-7.0774968317496931</v>
      </c>
      <c r="G48" s="191">
        <f>'Péréquation directe'!G54/Effort!C48</f>
        <v>-3.7213860355651236</v>
      </c>
      <c r="H48" s="191">
        <f>'Péréquation directe'!J54/Effort!C48</f>
        <v>19.118483643972599</v>
      </c>
      <c r="I48" s="341">
        <f t="shared" si="0"/>
        <v>16.477212954766927</v>
      </c>
      <c r="J48" s="208">
        <f t="shared" si="1"/>
        <v>0</v>
      </c>
      <c r="K48" s="42">
        <f t="shared" si="2"/>
        <v>0</v>
      </c>
      <c r="L48" s="222"/>
    </row>
    <row r="49" spans="1:12" x14ac:dyDescent="0.25">
      <c r="A49" s="38">
        <f>Données!A49</f>
        <v>5482</v>
      </c>
      <c r="B49" s="167" t="str">
        <f>Données!B49</f>
        <v>Eclépens</v>
      </c>
      <c r="C49" s="321">
        <f>VPI!R49</f>
        <v>48314.544130434791</v>
      </c>
      <c r="D49" s="191">
        <f>(PCS!I55-PCS!F55)/C49</f>
        <v>11.657506598737129</v>
      </c>
      <c r="E49" s="448">
        <f>'Péréquation directe'!E55/C49</f>
        <v>-4.1585075882725491</v>
      </c>
      <c r="F49" s="191">
        <f>'Péréquation directe'!F55/Effort!C49</f>
        <v>-1.7157472728749323</v>
      </c>
      <c r="G49" s="191">
        <f>'Péréquation directe'!G55/Effort!C49</f>
        <v>-2.9766052791745747</v>
      </c>
      <c r="H49" s="191">
        <f>'Péréquation directe'!J55/Effort!C49</f>
        <v>19.118483643972599</v>
      </c>
      <c r="I49" s="341">
        <f t="shared" si="0"/>
        <v>21.925130102387673</v>
      </c>
      <c r="J49" s="208">
        <f t="shared" si="1"/>
        <v>0</v>
      </c>
      <c r="K49" s="42">
        <f t="shared" si="2"/>
        <v>0</v>
      </c>
      <c r="L49" s="222"/>
    </row>
    <row r="50" spans="1:12" x14ac:dyDescent="0.25">
      <c r="A50" s="38">
        <f>Données!A50</f>
        <v>5483</v>
      </c>
      <c r="B50" s="167" t="str">
        <f>Données!B50</f>
        <v>Ferreyres</v>
      </c>
      <c r="C50" s="321">
        <f>VPI!R50</f>
        <v>10284.283289473684</v>
      </c>
      <c r="D50" s="191">
        <f>(PCS!I56-PCS!F56)/C50</f>
        <v>11.657506598737129</v>
      </c>
      <c r="E50" s="448">
        <f>'Péréquation directe'!E56/C50</f>
        <v>-3.8640939286836815</v>
      </c>
      <c r="F50" s="191">
        <f>'Péréquation directe'!F56/Effort!C50</f>
        <v>-10.425986726402343</v>
      </c>
      <c r="G50" s="191">
        <f>'Péréquation directe'!G56/Effort!C50</f>
        <v>-4.395544642576945E-2</v>
      </c>
      <c r="H50" s="191">
        <f>'Péréquation directe'!J56/Effort!C50</f>
        <v>19.118483643972599</v>
      </c>
      <c r="I50" s="341">
        <f t="shared" si="0"/>
        <v>16.441954141197932</v>
      </c>
      <c r="J50" s="208">
        <f t="shared" si="1"/>
        <v>0</v>
      </c>
      <c r="K50" s="42">
        <f t="shared" si="2"/>
        <v>0</v>
      </c>
      <c r="L50" s="222"/>
    </row>
    <row r="51" spans="1:12" x14ac:dyDescent="0.25">
      <c r="A51" s="38">
        <f>Données!A51</f>
        <v>5484</v>
      </c>
      <c r="B51" s="167" t="str">
        <f>Données!B51</f>
        <v>Gollion</v>
      </c>
      <c r="C51" s="321">
        <f>VPI!R51</f>
        <v>32601.670945945945</v>
      </c>
      <c r="D51" s="191">
        <f>(PCS!I57-PCS!F57)/C51</f>
        <v>11.657506598737129</v>
      </c>
      <c r="E51" s="448">
        <f>'Péréquation directe'!E57/C51</f>
        <v>-4.3232745980665008</v>
      </c>
      <c r="F51" s="191">
        <f>'Péréquation directe'!F57/Effort!C51</f>
        <v>-11.727018466891852</v>
      </c>
      <c r="G51" s="191">
        <f>'Péréquation directe'!G57/Effort!C51</f>
        <v>-8.5615004696430645</v>
      </c>
      <c r="H51" s="191">
        <f>'Péréquation directe'!J57/Effort!C51</f>
        <v>19.118483643972599</v>
      </c>
      <c r="I51" s="341">
        <f t="shared" si="0"/>
        <v>6.1641967081083102</v>
      </c>
      <c r="J51" s="383">
        <f t="shared" si="1"/>
        <v>0</v>
      </c>
      <c r="K51" s="42">
        <f t="shared" si="2"/>
        <v>0</v>
      </c>
      <c r="L51" s="222"/>
    </row>
    <row r="52" spans="1:12" x14ac:dyDescent="0.25">
      <c r="A52" s="38">
        <f>Données!A52</f>
        <v>5485</v>
      </c>
      <c r="B52" s="167" t="str">
        <f>Données!B52</f>
        <v>Grancy</v>
      </c>
      <c r="C52" s="321">
        <f>VPI!R52</f>
        <v>18961.380428571429</v>
      </c>
      <c r="D52" s="191">
        <f>(PCS!I58-PCS!F58)/C52</f>
        <v>11.657506598737129</v>
      </c>
      <c r="E52" s="448">
        <f>'Péréquation directe'!E58/C52</f>
        <v>-3.3274374235947834</v>
      </c>
      <c r="F52" s="191">
        <f>'Péréquation directe'!F58/Effort!C52</f>
        <v>-4.8964923964008689</v>
      </c>
      <c r="G52" s="191">
        <f>'Péréquation directe'!G58/Effort!C52</f>
        <v>-3.9098647056008873</v>
      </c>
      <c r="H52" s="191">
        <f>'Péréquation directe'!J58/Effort!C52</f>
        <v>19.118483643972599</v>
      </c>
      <c r="I52" s="341">
        <f t="shared" si="0"/>
        <v>18.642195717113189</v>
      </c>
      <c r="J52" s="208">
        <f t="shared" si="1"/>
        <v>0</v>
      </c>
      <c r="K52" s="42">
        <f t="shared" si="2"/>
        <v>0</v>
      </c>
      <c r="L52" s="222"/>
    </row>
    <row r="53" spans="1:12" x14ac:dyDescent="0.25">
      <c r="A53" s="38">
        <f>Données!A53</f>
        <v>5486</v>
      </c>
      <c r="B53" s="167" t="str">
        <f>Données!B53</f>
        <v>L'Isle</v>
      </c>
      <c r="C53" s="31">
        <f>VPI!R53</f>
        <v>34756.215466666676</v>
      </c>
      <c r="D53" s="223">
        <f>(PCS!I59-PCS!F59)/C53</f>
        <v>11.657506598737129</v>
      </c>
      <c r="E53" s="379">
        <f>'Péréquation directe'!E59/C53</f>
        <v>-4.699722487365861</v>
      </c>
      <c r="F53" s="223">
        <f>'Péréquation directe'!F59/Effort!C53</f>
        <v>-11.849593759498962</v>
      </c>
      <c r="G53" s="223">
        <f>'Péréquation directe'!G59/Effort!C53</f>
        <v>-10.239479207433153</v>
      </c>
      <c r="H53" s="223">
        <f>'Péréquation directe'!J59/Effort!C53</f>
        <v>19.118483643972599</v>
      </c>
      <c r="I53" s="468">
        <f t="shared" si="0"/>
        <v>3.9871947884117525</v>
      </c>
      <c r="J53" s="224">
        <f t="shared" si="1"/>
        <v>0</v>
      </c>
      <c r="K53" s="42">
        <f t="shared" si="2"/>
        <v>0</v>
      </c>
      <c r="L53" s="469"/>
    </row>
    <row r="54" spans="1:12" x14ac:dyDescent="0.25">
      <c r="A54" s="38">
        <f>Données!A54</f>
        <v>5487</v>
      </c>
      <c r="B54" s="167" t="str">
        <f>Données!B54</f>
        <v>Lussery-Villars</v>
      </c>
      <c r="C54" s="321">
        <f>VPI!R54</f>
        <v>12042.619866666666</v>
      </c>
      <c r="D54" s="191">
        <f>(PCS!I60-PCS!F60)/C54</f>
        <v>11.657506598737127</v>
      </c>
      <c r="E54" s="448">
        <f>'Péréquation directe'!E60/C54</f>
        <v>-5.1641286128360973</v>
      </c>
      <c r="F54" s="191">
        <f>'Péréquation directe'!F60/Effort!C54</f>
        <v>-21.133151950874446</v>
      </c>
      <c r="G54" s="191">
        <f>'Péréquation directe'!G60/Effort!C54</f>
        <v>-0.38114885721046182</v>
      </c>
      <c r="H54" s="191">
        <f>'Péréquation directe'!J60/Effort!C54</f>
        <v>19.118483643972599</v>
      </c>
      <c r="I54" s="341">
        <f t="shared" si="0"/>
        <v>4.0975608217887221</v>
      </c>
      <c r="J54" s="208">
        <f t="shared" si="1"/>
        <v>0</v>
      </c>
      <c r="K54" s="42">
        <f t="shared" si="2"/>
        <v>0</v>
      </c>
      <c r="L54" s="222"/>
    </row>
    <row r="55" spans="1:12" x14ac:dyDescent="0.25">
      <c r="A55" s="38">
        <f>Données!A55</f>
        <v>5488</v>
      </c>
      <c r="B55" s="167" t="str">
        <f>Données!B55</f>
        <v>Mauraz</v>
      </c>
      <c r="C55" s="321">
        <f>VPI!R55</f>
        <v>2131.6062337662343</v>
      </c>
      <c r="D55" s="191">
        <f>(PCS!I61-PCS!F61)/C55</f>
        <v>11.657506598737127</v>
      </c>
      <c r="E55" s="448">
        <f>'Péréquation directe'!E61/C55</f>
        <v>-3.9343896089481594</v>
      </c>
      <c r="F55" s="191">
        <f>'Péréquation directe'!F61/Effort!C55</f>
        <v>-11.327943503406152</v>
      </c>
      <c r="G55" s="191">
        <f>'Péréquation directe'!G61/Effort!C55</f>
        <v>0</v>
      </c>
      <c r="H55" s="191">
        <f>'Péréquation directe'!J61/Effort!C55</f>
        <v>19.118483643972599</v>
      </c>
      <c r="I55" s="341">
        <f t="shared" si="0"/>
        <v>15.513657130355416</v>
      </c>
      <c r="J55" s="208">
        <f t="shared" si="1"/>
        <v>0</v>
      </c>
      <c r="K55" s="42">
        <f t="shared" si="2"/>
        <v>0</v>
      </c>
      <c r="L55" s="222"/>
    </row>
    <row r="56" spans="1:12" x14ac:dyDescent="0.25">
      <c r="A56" s="38">
        <f>Données!A56</f>
        <v>5489</v>
      </c>
      <c r="B56" s="167" t="str">
        <f>Données!B56</f>
        <v>Mex</v>
      </c>
      <c r="C56" s="321">
        <f>VPI!R56</f>
        <v>60740.368067226897</v>
      </c>
      <c r="D56" s="191">
        <f>(PCS!I62-PCS!F62)/C56</f>
        <v>17.225296631712276</v>
      </c>
      <c r="E56" s="448">
        <f>'Péréquation directe'!E62/C56</f>
        <v>-1.7354640696526402</v>
      </c>
      <c r="F56" s="191">
        <f>'Péréquation directe'!F62/Effort!C56</f>
        <v>0</v>
      </c>
      <c r="G56" s="191">
        <f>'Péréquation directe'!G62/Effort!C56</f>
        <v>0</v>
      </c>
      <c r="H56" s="191">
        <f>'Péréquation directe'!J62/Effort!C56</f>
        <v>19.118483643972599</v>
      </c>
      <c r="I56" s="341">
        <f t="shared" si="0"/>
        <v>34.608316206032235</v>
      </c>
      <c r="J56" s="208">
        <f t="shared" si="1"/>
        <v>0</v>
      </c>
      <c r="K56" s="42">
        <f t="shared" si="2"/>
        <v>0</v>
      </c>
      <c r="L56" s="222"/>
    </row>
    <row r="57" spans="1:12" x14ac:dyDescent="0.25">
      <c r="A57" s="38">
        <f>Données!A57</f>
        <v>5490</v>
      </c>
      <c r="B57" s="167" t="str">
        <f>Données!B57</f>
        <v>Moiry</v>
      </c>
      <c r="C57" s="321">
        <f>VPI!R57</f>
        <v>8460.9523376623383</v>
      </c>
      <c r="D57" s="191">
        <f>(PCS!I63-PCS!F63)/C57</f>
        <v>11.657506598737129</v>
      </c>
      <c r="E57" s="448">
        <f>'Péréquation directe'!E63/C57</f>
        <v>-4.513811844948826</v>
      </c>
      <c r="F57" s="191">
        <f>'Péréquation directe'!F63/Effort!C57</f>
        <v>-16.486055091754444</v>
      </c>
      <c r="G57" s="191">
        <f>'Péréquation directe'!G63/Effort!C57</f>
        <v>-4.426485870546057</v>
      </c>
      <c r="H57" s="191">
        <f>'Péréquation directe'!J63/Effort!C57</f>
        <v>19.118483643972599</v>
      </c>
      <c r="I57" s="341">
        <f t="shared" si="0"/>
        <v>5.3496374354604015</v>
      </c>
      <c r="J57" s="208">
        <f t="shared" si="1"/>
        <v>0</v>
      </c>
      <c r="K57" s="42">
        <f t="shared" si="2"/>
        <v>0</v>
      </c>
      <c r="L57" s="222"/>
    </row>
    <row r="58" spans="1:12" x14ac:dyDescent="0.25">
      <c r="A58" s="38">
        <f>Données!A58</f>
        <v>5491</v>
      </c>
      <c r="B58" s="167" t="str">
        <f>Données!B58</f>
        <v>Mont-la-Ville</v>
      </c>
      <c r="C58" s="321">
        <f>VPI!R58</f>
        <v>13842.217236842105</v>
      </c>
      <c r="D58" s="191">
        <f>(PCS!I64-PCS!F64)/C58</f>
        <v>11.657506598737127</v>
      </c>
      <c r="E58" s="448">
        <f>'Péréquation directe'!E64/C58</f>
        <v>-4.6791723909631688</v>
      </c>
      <c r="F58" s="191">
        <f>'Péréquation directe'!F64/Effort!C58</f>
        <v>-17.494705880938469</v>
      </c>
      <c r="G58" s="191">
        <f>'Péréquation directe'!G64/Effort!C58</f>
        <v>-49.647912962224993</v>
      </c>
      <c r="H58" s="191">
        <f>'Péréquation directe'!J64/Effort!C58</f>
        <v>19.118483643972599</v>
      </c>
      <c r="I58" s="341">
        <f t="shared" si="0"/>
        <v>-41.045800991416911</v>
      </c>
      <c r="J58" s="208">
        <f t="shared" si="1"/>
        <v>0</v>
      </c>
      <c r="K58" s="42">
        <f t="shared" si="2"/>
        <v>0</v>
      </c>
      <c r="L58" s="222"/>
    </row>
    <row r="59" spans="1:12" x14ac:dyDescent="0.25">
      <c r="A59" s="38">
        <f>Données!A59</f>
        <v>5492</v>
      </c>
      <c r="B59" s="167" t="str">
        <f>Données!B59</f>
        <v>Montricher</v>
      </c>
      <c r="C59" s="321">
        <f>VPI!R59</f>
        <v>149907.58062499994</v>
      </c>
      <c r="D59" s="191">
        <f>(PCS!I65-PCS!F65)/C59</f>
        <v>30.426307816168226</v>
      </c>
      <c r="E59" s="448">
        <f>'Péréquation directe'!E65/C59</f>
        <v>-0.84175605500399009</v>
      </c>
      <c r="F59" s="191">
        <f>'Péréquation directe'!F65/Effort!C59</f>
        <v>0</v>
      </c>
      <c r="G59" s="191">
        <f>'Péréquation directe'!G65/Effort!C59</f>
        <v>-0.27622728856411399</v>
      </c>
      <c r="H59" s="191">
        <f>'Péréquation directe'!J65/Effort!C59</f>
        <v>19.118483643972599</v>
      </c>
      <c r="I59" s="341">
        <f t="shared" si="0"/>
        <v>48.426808116572715</v>
      </c>
      <c r="J59" s="208">
        <f t="shared" si="1"/>
        <v>0.42680811657271533</v>
      </c>
      <c r="K59" s="42">
        <f t="shared" si="2"/>
        <v>-63981.772146528696</v>
      </c>
      <c r="L59" s="222"/>
    </row>
    <row r="60" spans="1:12" x14ac:dyDescent="0.25">
      <c r="A60" s="38">
        <f>Données!A60</f>
        <v>5493</v>
      </c>
      <c r="B60" s="167" t="str">
        <f>Données!B60</f>
        <v>Orny</v>
      </c>
      <c r="C60" s="321">
        <f>VPI!R60</f>
        <v>14635.830579557431</v>
      </c>
      <c r="D60" s="191">
        <f>(PCS!I66-PCS!F66)/C60</f>
        <v>11.657506598737131</v>
      </c>
      <c r="E60" s="448">
        <f>'Péréquation directe'!E66/C60</f>
        <v>-4.2667674907308557</v>
      </c>
      <c r="F60" s="191">
        <f>'Péréquation directe'!F66/Effort!C60</f>
        <v>-12.841034703333351</v>
      </c>
      <c r="G60" s="191">
        <f>'Péréquation directe'!G66/Effort!C60</f>
        <v>-4.9086907731086793</v>
      </c>
      <c r="H60" s="191">
        <f>'Péréquation directe'!J66/Effort!C60</f>
        <v>19.118483643972599</v>
      </c>
      <c r="I60" s="341">
        <f t="shared" si="0"/>
        <v>8.7594972755368445</v>
      </c>
      <c r="J60" s="208">
        <f t="shared" si="1"/>
        <v>0</v>
      </c>
      <c r="K60" s="42">
        <f t="shared" si="2"/>
        <v>0</v>
      </c>
      <c r="L60" s="222"/>
    </row>
    <row r="61" spans="1:12" x14ac:dyDescent="0.25">
      <c r="A61" s="38">
        <f>Données!A61</f>
        <v>5495</v>
      </c>
      <c r="B61" s="167" t="str">
        <f>Données!B61</f>
        <v>Penthalaz</v>
      </c>
      <c r="C61" s="321">
        <f>VPI!R61</f>
        <v>103056.57202702702</v>
      </c>
      <c r="D61" s="191">
        <f>(PCS!I67-PCS!F67)/C61</f>
        <v>11.657506598737129</v>
      </c>
      <c r="E61" s="448">
        <f>'Péréquation directe'!E67/C61</f>
        <v>-9.334717866344123</v>
      </c>
      <c r="F61" s="191">
        <f>'Péréquation directe'!F67/Effort!C61</f>
        <v>-11.197938761173916</v>
      </c>
      <c r="G61" s="191">
        <f>'Péréquation directe'!G67/Effort!C61</f>
        <v>-5.8476068627607214</v>
      </c>
      <c r="H61" s="191">
        <f>'Péréquation directe'!J67/Effort!C61</f>
        <v>19.118483643972599</v>
      </c>
      <c r="I61" s="341">
        <f t="shared" si="0"/>
        <v>4.3957267524309671</v>
      </c>
      <c r="J61" s="208">
        <f t="shared" si="1"/>
        <v>0</v>
      </c>
      <c r="K61" s="42">
        <f t="shared" si="2"/>
        <v>0</v>
      </c>
      <c r="L61" s="222"/>
    </row>
    <row r="62" spans="1:12" x14ac:dyDescent="0.25">
      <c r="A62" s="38">
        <f>Données!A62</f>
        <v>5496</v>
      </c>
      <c r="B62" s="167" t="str">
        <f>Données!B62</f>
        <v>Penthaz</v>
      </c>
      <c r="C62" s="321">
        <f>VPI!R62</f>
        <v>61651.518705035967</v>
      </c>
      <c r="D62" s="191">
        <f>(PCS!I68-PCS!F68)/C62</f>
        <v>11.657506598737129</v>
      </c>
      <c r="E62" s="448">
        <f>'Péréquation directe'!E68/C62</f>
        <v>-7.5014233969136317</v>
      </c>
      <c r="F62" s="191">
        <f>'Péréquation directe'!F68/Effort!C62</f>
        <v>-9.881826633221058</v>
      </c>
      <c r="G62" s="191">
        <f>'Péréquation directe'!G68/Effort!C62</f>
        <v>-2.6070872404422212</v>
      </c>
      <c r="H62" s="191">
        <f>'Péréquation directe'!J68/Effort!C62</f>
        <v>19.118483643972599</v>
      </c>
      <c r="I62" s="341">
        <f t="shared" si="0"/>
        <v>10.785652972132818</v>
      </c>
      <c r="J62" s="208">
        <f t="shared" si="1"/>
        <v>0</v>
      </c>
      <c r="K62" s="42">
        <f t="shared" si="2"/>
        <v>0</v>
      </c>
      <c r="L62" s="222"/>
    </row>
    <row r="63" spans="1:12" x14ac:dyDescent="0.25">
      <c r="A63" s="38">
        <f>Données!A63</f>
        <v>5497</v>
      </c>
      <c r="B63" s="167" t="str">
        <f>Données!B63</f>
        <v>Pompaples</v>
      </c>
      <c r="C63" s="321">
        <f>VPI!R63</f>
        <v>22949.830606060608</v>
      </c>
      <c r="D63" s="191">
        <f>(PCS!I69-PCS!F69)/C63</f>
        <v>11.657506598737132</v>
      </c>
      <c r="E63" s="448">
        <f>'Péréquation directe'!E69/C63</f>
        <v>-4.8349273897569658</v>
      </c>
      <c r="F63" s="191">
        <f>'Péréquation directe'!F69/Effort!C63</f>
        <v>-14.212416661600757</v>
      </c>
      <c r="G63" s="191">
        <f>'Péréquation directe'!G69/Effort!C63</f>
        <v>-5.7208708254676353</v>
      </c>
      <c r="H63" s="191">
        <f>'Péréquation directe'!J69/Effort!C63</f>
        <v>19.118483643972599</v>
      </c>
      <c r="I63" s="341">
        <f t="shared" si="0"/>
        <v>6.007775365884374</v>
      </c>
      <c r="J63" s="208">
        <f t="shared" si="1"/>
        <v>0</v>
      </c>
      <c r="K63" s="42">
        <f t="shared" si="2"/>
        <v>0</v>
      </c>
      <c r="L63" s="222"/>
    </row>
    <row r="64" spans="1:12" x14ac:dyDescent="0.25">
      <c r="A64" s="38">
        <f>Données!A64</f>
        <v>5498</v>
      </c>
      <c r="B64" s="167" t="str">
        <f>Données!B64</f>
        <v>La Sarraz</v>
      </c>
      <c r="C64" s="321">
        <f>VPI!R64</f>
        <v>73743.655606060609</v>
      </c>
      <c r="D64" s="191">
        <f>(PCS!I70-PCS!F70)/C64</f>
        <v>11.657506598737129</v>
      </c>
      <c r="E64" s="448">
        <f>'Péréquation directe'!E70/C64</f>
        <v>-9.6271665527525538</v>
      </c>
      <c r="F64" s="191">
        <f>'Péréquation directe'!F70/Effort!C64</f>
        <v>-12.434148976981412</v>
      </c>
      <c r="G64" s="191">
        <f>'Péréquation directe'!G70/Effort!C64</f>
        <v>-6.7049844803598271</v>
      </c>
      <c r="H64" s="191">
        <f>'Péréquation directe'!J70/Effort!C64</f>
        <v>19.118483643972599</v>
      </c>
      <c r="I64" s="341">
        <f t="shared" si="0"/>
        <v>2.0096902326159345</v>
      </c>
      <c r="J64" s="208">
        <f t="shared" si="1"/>
        <v>0</v>
      </c>
      <c r="K64" s="42">
        <f t="shared" si="2"/>
        <v>0</v>
      </c>
      <c r="L64" s="222"/>
    </row>
    <row r="65" spans="1:12" x14ac:dyDescent="0.25">
      <c r="A65" s="38">
        <f>Données!A65</f>
        <v>5499</v>
      </c>
      <c r="B65" s="167" t="str">
        <f>Données!B65</f>
        <v>Senarclens</v>
      </c>
      <c r="C65" s="321">
        <f>VPI!R65</f>
        <v>20491.103065693427</v>
      </c>
      <c r="D65" s="191">
        <f>(PCS!I71-PCS!F71)/C65</f>
        <v>11.657506598737129</v>
      </c>
      <c r="E65" s="448">
        <f>'Péréquation directe'!E71/C65</f>
        <v>-3.1231103396416944</v>
      </c>
      <c r="F65" s="191">
        <f>'Péréquation directe'!F71/Effort!C65</f>
        <v>-3.2493595036914744</v>
      </c>
      <c r="G65" s="191">
        <f>'Péréquation directe'!G71/Effort!C65</f>
        <v>-1.6046784548602684</v>
      </c>
      <c r="H65" s="191">
        <f>'Péréquation directe'!J71/Effort!C65</f>
        <v>19.118483643972599</v>
      </c>
      <c r="I65" s="341">
        <f t="shared" si="0"/>
        <v>22.79884194451629</v>
      </c>
      <c r="J65" s="208">
        <f t="shared" si="1"/>
        <v>0</v>
      </c>
      <c r="K65" s="42">
        <f t="shared" si="2"/>
        <v>0</v>
      </c>
      <c r="L65" s="222"/>
    </row>
    <row r="66" spans="1:12" x14ac:dyDescent="0.25">
      <c r="A66" s="38">
        <f>Données!A66</f>
        <v>5501</v>
      </c>
      <c r="B66" s="167" t="str">
        <f>Données!B66</f>
        <v>Sullens</v>
      </c>
      <c r="C66" s="321">
        <f>VPI!R66</f>
        <v>53840.673124999994</v>
      </c>
      <c r="D66" s="191">
        <f>(PCS!I72-PCS!F72)/C66</f>
        <v>11.657506598737129</v>
      </c>
      <c r="E66" s="448">
        <f>'Péréquation directe'!E72/C66</f>
        <v>-3.5303862152694427</v>
      </c>
      <c r="F66" s="191">
        <f>'Péréquation directe'!F72/Effort!C66</f>
        <v>-0.85794139051007978</v>
      </c>
      <c r="G66" s="191">
        <f>'Péréquation directe'!G72/Effort!C66</f>
        <v>0</v>
      </c>
      <c r="H66" s="191">
        <f>'Péréquation directe'!J72/Effort!C66</f>
        <v>19.118483643972599</v>
      </c>
      <c r="I66" s="341">
        <f t="shared" si="0"/>
        <v>26.387662636930205</v>
      </c>
      <c r="J66" s="208">
        <f t="shared" si="1"/>
        <v>0</v>
      </c>
      <c r="K66" s="42">
        <f t="shared" si="2"/>
        <v>0</v>
      </c>
      <c r="L66" s="222"/>
    </row>
    <row r="67" spans="1:12" x14ac:dyDescent="0.25">
      <c r="A67" s="38">
        <f>Données!A67</f>
        <v>5503</v>
      </c>
      <c r="B67" s="167" t="str">
        <f>Données!B67</f>
        <v>Vufflens-la-Ville</v>
      </c>
      <c r="C67" s="321">
        <f>VPI!R67</f>
        <v>75222.663980099518</v>
      </c>
      <c r="D67" s="191">
        <f>(PCS!I73-PCS!F73)/C67</f>
        <v>13.539116816734913</v>
      </c>
      <c r="E67" s="448">
        <f>'Péréquation directe'!E73/C67</f>
        <v>-3.3193124510581185</v>
      </c>
      <c r="F67" s="191">
        <f>'Péréquation directe'!F73/Effort!C67</f>
        <v>0</v>
      </c>
      <c r="G67" s="191">
        <f>'Péréquation directe'!G73/Effort!C67</f>
        <v>0</v>
      </c>
      <c r="H67" s="191">
        <f>'Péréquation directe'!J73/Effort!C67</f>
        <v>19.118483643972599</v>
      </c>
      <c r="I67" s="341">
        <f t="shared" si="0"/>
        <v>29.338288009649393</v>
      </c>
      <c r="J67" s="208">
        <f t="shared" si="1"/>
        <v>0</v>
      </c>
      <c r="K67" s="42">
        <f t="shared" si="2"/>
        <v>0</v>
      </c>
      <c r="L67" s="222"/>
    </row>
    <row r="68" spans="1:12" x14ac:dyDescent="0.25">
      <c r="A68" s="38">
        <f>Données!A68</f>
        <v>5511</v>
      </c>
      <c r="B68" s="167" t="str">
        <f>Données!B68</f>
        <v>Assens</v>
      </c>
      <c r="C68" s="321">
        <f>VPI!R68</f>
        <v>72835.778857142868</v>
      </c>
      <c r="D68" s="191">
        <f>(PCS!I74-PCS!F74)/C68</f>
        <v>11.657506598737129</v>
      </c>
      <c r="E68" s="448">
        <f>'Péréquation directe'!E74/C68</f>
        <v>-5.0896987559552169</v>
      </c>
      <c r="F68" s="191">
        <f>'Péréquation directe'!F74/Effort!C68</f>
        <v>-2.1676804954798712</v>
      </c>
      <c r="G68" s="191">
        <f>'Péréquation directe'!G74/Effort!C68</f>
        <v>-3.4397047822956508</v>
      </c>
      <c r="H68" s="191">
        <f>'Péréquation directe'!J74/Effort!C68</f>
        <v>19.118483643972599</v>
      </c>
      <c r="I68" s="341">
        <f t="shared" si="0"/>
        <v>20.078906208978989</v>
      </c>
      <c r="J68" s="208">
        <f t="shared" si="1"/>
        <v>0</v>
      </c>
      <c r="K68" s="42">
        <f t="shared" si="2"/>
        <v>0</v>
      </c>
      <c r="L68" s="222"/>
    </row>
    <row r="69" spans="1:12" x14ac:dyDescent="0.25">
      <c r="A69" s="38">
        <f>Données!A69</f>
        <v>5512</v>
      </c>
      <c r="B69" s="167" t="str">
        <f>Données!B69</f>
        <v>Bercher</v>
      </c>
      <c r="C69" s="321">
        <f>VPI!R69</f>
        <v>41198.7282278481</v>
      </c>
      <c r="D69" s="191">
        <f>(PCS!I75-PCS!F75)/C69</f>
        <v>11.657506598737129</v>
      </c>
      <c r="E69" s="448">
        <f>'Péréquation directe'!E75/C69</f>
        <v>-6.2797864502251874</v>
      </c>
      <c r="F69" s="191">
        <f>'Péréquation directe'!F75/Effort!C69</f>
        <v>-14.938199837452663</v>
      </c>
      <c r="G69" s="191">
        <f>'Péréquation directe'!G75/Effort!C69</f>
        <v>-5.9124247546132169</v>
      </c>
      <c r="H69" s="191">
        <f>'Péréquation directe'!J75/Effort!C69</f>
        <v>19.118483643972599</v>
      </c>
      <c r="I69" s="341">
        <f t="shared" si="0"/>
        <v>3.6455792004186627</v>
      </c>
      <c r="J69" s="208">
        <f t="shared" si="1"/>
        <v>0</v>
      </c>
      <c r="K69" s="42">
        <f t="shared" si="2"/>
        <v>0</v>
      </c>
      <c r="L69" s="222"/>
    </row>
    <row r="70" spans="1:12" x14ac:dyDescent="0.25">
      <c r="A70" s="38">
        <f>Données!A70</f>
        <v>5514</v>
      </c>
      <c r="B70" s="167" t="str">
        <f>Données!B70</f>
        <v>Bottens</v>
      </c>
      <c r="C70" s="321">
        <f>VPI!R70</f>
        <v>45712.235586206894</v>
      </c>
      <c r="D70" s="191">
        <f>(PCS!I76-PCS!F76)/C70</f>
        <v>11.657506598737129</v>
      </c>
      <c r="E70" s="448">
        <f>'Péréquation directe'!E76/C70</f>
        <v>-5.6360274042818279</v>
      </c>
      <c r="F70" s="191">
        <f>'Péréquation directe'!F76/Effort!C70</f>
        <v>-9.1978279346995162</v>
      </c>
      <c r="G70" s="191">
        <f>'Péréquation directe'!G76/Effort!C70</f>
        <v>-0.92709116606607023</v>
      </c>
      <c r="H70" s="191">
        <f>'Péréquation directe'!J76/Effort!C70</f>
        <v>19.118483643972599</v>
      </c>
      <c r="I70" s="341">
        <f t="shared" si="0"/>
        <v>15.015043737662314</v>
      </c>
      <c r="J70" s="208">
        <f t="shared" si="1"/>
        <v>0</v>
      </c>
      <c r="K70" s="42">
        <f t="shared" si="2"/>
        <v>0</v>
      </c>
      <c r="L70" s="222"/>
    </row>
    <row r="71" spans="1:12" x14ac:dyDescent="0.25">
      <c r="A71" s="38">
        <f>Données!A71</f>
        <v>5515</v>
      </c>
      <c r="B71" s="167" t="str">
        <f>Données!B71</f>
        <v>Bretigny-sur-Morrens</v>
      </c>
      <c r="C71" s="321">
        <f>VPI!R71</f>
        <v>29285.295897435899</v>
      </c>
      <c r="D71" s="191">
        <f>(PCS!I77-PCS!F77)/C71</f>
        <v>11.657506598737127</v>
      </c>
      <c r="E71" s="448">
        <f>'Péréquation directe'!E77/C71</f>
        <v>-3.8682620654377482</v>
      </c>
      <c r="F71" s="191">
        <f>'Péréquation directe'!F77/Effort!C71</f>
        <v>-11.020018553808274</v>
      </c>
      <c r="G71" s="191">
        <f>'Péréquation directe'!G77/Effort!C71</f>
        <v>-1.4967741753028518</v>
      </c>
      <c r="H71" s="191">
        <f>'Péréquation directe'!J77/Effort!C71</f>
        <v>19.118483643972599</v>
      </c>
      <c r="I71" s="341">
        <f t="shared" ref="I71:I134" si="3">SUM(D71:H71)</f>
        <v>14.390935448160853</v>
      </c>
      <c r="J71" s="208">
        <f t="shared" ref="J71:J134" si="4">IF(I71&gt;J$5,I71-J$5,0)</f>
        <v>0</v>
      </c>
      <c r="K71" s="42">
        <f t="shared" ref="K71:K134" si="5">-J71*C71</f>
        <v>0</v>
      </c>
      <c r="L71" s="222"/>
    </row>
    <row r="72" spans="1:12" x14ac:dyDescent="0.25">
      <c r="A72" s="38">
        <f>Données!A72</f>
        <v>5516</v>
      </c>
      <c r="B72" s="167" t="str">
        <f>Données!B72</f>
        <v>Cugy</v>
      </c>
      <c r="C72" s="321">
        <f>VPI!R72</f>
        <v>110290.24758771928</v>
      </c>
      <c r="D72" s="191">
        <f>(PCS!I78-PCS!F78)/C72</f>
        <v>11.657506598737129</v>
      </c>
      <c r="E72" s="448">
        <f>'Péréquation directe'!E78/C72</f>
        <v>-6.7285665583401055</v>
      </c>
      <c r="F72" s="191">
        <f>'Péréquation directe'!F78/Effort!C72</f>
        <v>-4.2773861633507835</v>
      </c>
      <c r="G72" s="191">
        <f>'Péréquation directe'!G78/Effort!C72</f>
        <v>-1.7262203017747471</v>
      </c>
      <c r="H72" s="191">
        <f>'Péréquation directe'!J78/Effort!C72</f>
        <v>19.118483643972599</v>
      </c>
      <c r="I72" s="341">
        <f t="shared" si="3"/>
        <v>18.04381721924409</v>
      </c>
      <c r="J72" s="208">
        <f t="shared" si="4"/>
        <v>0</v>
      </c>
      <c r="K72" s="42">
        <f t="shared" si="5"/>
        <v>0</v>
      </c>
      <c r="L72" s="222"/>
    </row>
    <row r="73" spans="1:12" x14ac:dyDescent="0.25">
      <c r="A73" s="38">
        <f>Données!A73</f>
        <v>5518</v>
      </c>
      <c r="B73" s="167" t="str">
        <f>Données!B73</f>
        <v>Echallens</v>
      </c>
      <c r="C73" s="321">
        <f>VPI!R73</f>
        <v>193282.28662068967</v>
      </c>
      <c r="D73" s="191">
        <f>(PCS!I79-PCS!F79)/C73</f>
        <v>11.657506598737129</v>
      </c>
      <c r="E73" s="448">
        <f>'Péréquation directe'!E79/C73</f>
        <v>-12.360751352258399</v>
      </c>
      <c r="F73" s="191">
        <f>'Péréquation directe'!F79/Effort!C73</f>
        <v>-9.6324983776447244</v>
      </c>
      <c r="G73" s="191">
        <f>'Péréquation directe'!G79/Effort!C73</f>
        <v>-7.4580995262374774</v>
      </c>
      <c r="H73" s="191">
        <f>'Péréquation directe'!J79/Effort!C73</f>
        <v>19.118483643972599</v>
      </c>
      <c r="I73" s="341">
        <f t="shared" si="3"/>
        <v>1.3246409865691255</v>
      </c>
      <c r="J73" s="208">
        <f t="shared" si="4"/>
        <v>0</v>
      </c>
      <c r="K73" s="42">
        <f t="shared" si="5"/>
        <v>0</v>
      </c>
      <c r="L73" s="222"/>
    </row>
    <row r="74" spans="1:12" x14ac:dyDescent="0.25">
      <c r="A74" s="38">
        <f>Données!A74</f>
        <v>5520</v>
      </c>
      <c r="B74" s="167" t="str">
        <f>Données!B74</f>
        <v>Essertines-sur-Yverdon</v>
      </c>
      <c r="C74" s="321">
        <f>VPI!R74</f>
        <v>31422.035945945943</v>
      </c>
      <c r="D74" s="191">
        <f>(PCS!I80-PCS!F80)/C74</f>
        <v>11.657506598737129</v>
      </c>
      <c r="E74" s="448">
        <f>'Péréquation directe'!E80/C74</f>
        <v>-5.0374463703703887</v>
      </c>
      <c r="F74" s="191">
        <f>'Péréquation directe'!F80/Effort!C74</f>
        <v>-14.609434934987206</v>
      </c>
      <c r="G74" s="191">
        <f>'Péréquation directe'!G80/Effort!C74</f>
        <v>-12.55055554144465</v>
      </c>
      <c r="H74" s="191">
        <f>'Péréquation directe'!J80/Effort!C74</f>
        <v>19.118483643972599</v>
      </c>
      <c r="I74" s="341">
        <f t="shared" si="3"/>
        <v>-1.421446604092516</v>
      </c>
      <c r="J74" s="208">
        <f t="shared" si="4"/>
        <v>0</v>
      </c>
      <c r="K74" s="42">
        <f t="shared" si="5"/>
        <v>0</v>
      </c>
      <c r="L74" s="222"/>
    </row>
    <row r="75" spans="1:12" x14ac:dyDescent="0.25">
      <c r="A75" s="38">
        <f>Données!A75</f>
        <v>5521</v>
      </c>
      <c r="B75" s="167" t="str">
        <f>Données!B75</f>
        <v>Etagnières</v>
      </c>
      <c r="C75" s="321">
        <f>VPI!R75</f>
        <v>47189.665890410972</v>
      </c>
      <c r="D75" s="191">
        <f>(PCS!I81-PCS!F81)/C75</f>
        <v>11.657506598737129</v>
      </c>
      <c r="E75" s="448">
        <f>'Péréquation directe'!E81/C75</f>
        <v>-3.9131312471178994</v>
      </c>
      <c r="F75" s="191">
        <f>'Péréquation directe'!F81/Effort!C75</f>
        <v>-3.9472387880022928</v>
      </c>
      <c r="G75" s="191">
        <f>'Péréquation directe'!G81/Effort!C75</f>
        <v>-1.3870675585951711</v>
      </c>
      <c r="H75" s="191">
        <f>'Péréquation directe'!J81/Effort!C75</f>
        <v>19.118483643972599</v>
      </c>
      <c r="I75" s="341">
        <f t="shared" si="3"/>
        <v>21.528552648994363</v>
      </c>
      <c r="J75" s="208">
        <f t="shared" si="4"/>
        <v>0</v>
      </c>
      <c r="K75" s="42">
        <f t="shared" si="5"/>
        <v>0</v>
      </c>
      <c r="L75" s="222"/>
    </row>
    <row r="76" spans="1:12" x14ac:dyDescent="0.25">
      <c r="A76" s="38">
        <f>Données!A76</f>
        <v>5522</v>
      </c>
      <c r="B76" s="167" t="str">
        <f>Données!B76</f>
        <v>Fey</v>
      </c>
      <c r="C76" s="321">
        <f>VPI!R76</f>
        <v>24172.463733333334</v>
      </c>
      <c r="D76" s="191">
        <f>(PCS!I82-PCS!F82)/C76</f>
        <v>11.657506598737129</v>
      </c>
      <c r="E76" s="448">
        <f>'Péréquation directe'!E82/C76</f>
        <v>-3.9285102119231681</v>
      </c>
      <c r="F76" s="191">
        <f>'Péréquation directe'!F82/Effort!C76</f>
        <v>-10.697465565274239</v>
      </c>
      <c r="G76" s="191">
        <f>'Péréquation directe'!G82/Effort!C76</f>
        <v>-5.326265829595922</v>
      </c>
      <c r="H76" s="191">
        <f>'Péréquation directe'!J82/Effort!C76</f>
        <v>19.118483643972599</v>
      </c>
      <c r="I76" s="341">
        <f t="shared" si="3"/>
        <v>10.823748635916399</v>
      </c>
      <c r="J76" s="208">
        <f t="shared" si="4"/>
        <v>0</v>
      </c>
      <c r="K76" s="42">
        <f t="shared" si="5"/>
        <v>0</v>
      </c>
      <c r="L76" s="222"/>
    </row>
    <row r="77" spans="1:12" x14ac:dyDescent="0.25">
      <c r="A77" s="38">
        <f>Données!A77</f>
        <v>5523</v>
      </c>
      <c r="B77" s="167" t="str">
        <f>Données!B77</f>
        <v>Froideville</v>
      </c>
      <c r="C77" s="321">
        <f>VPI!R77</f>
        <v>92224.237222222204</v>
      </c>
      <c r="D77" s="191">
        <f>(PCS!I83-PCS!F83)/C77</f>
        <v>11.657506598737129</v>
      </c>
      <c r="E77" s="448">
        <f>'Péréquation directe'!E83/C77</f>
        <v>-8.1367376858991225</v>
      </c>
      <c r="F77" s="191">
        <f>'Péréquation directe'!F83/Effort!C77</f>
        <v>-8.9001721057211824</v>
      </c>
      <c r="G77" s="191">
        <f>'Péréquation directe'!G83/Effort!C77</f>
        <v>-1.1083835415234646</v>
      </c>
      <c r="H77" s="191">
        <f>'Péréquation directe'!J83/Effort!C77</f>
        <v>19.118483643972599</v>
      </c>
      <c r="I77" s="341">
        <f t="shared" si="3"/>
        <v>12.630696909565959</v>
      </c>
      <c r="J77" s="208">
        <f t="shared" si="4"/>
        <v>0</v>
      </c>
      <c r="K77" s="42">
        <f t="shared" si="5"/>
        <v>0</v>
      </c>
      <c r="L77" s="222"/>
    </row>
    <row r="78" spans="1:12" x14ac:dyDescent="0.25">
      <c r="A78" s="38">
        <f>Données!A78</f>
        <v>5527</v>
      </c>
      <c r="B78" s="167" t="str">
        <f>Données!B78</f>
        <v>Morrens</v>
      </c>
      <c r="C78" s="321">
        <f>VPI!R78</f>
        <v>40722.505675675682</v>
      </c>
      <c r="D78" s="191">
        <f>(PCS!I84-PCS!F84)/C78</f>
        <v>11.657506598737129</v>
      </c>
      <c r="E78" s="448">
        <f>'Péréquation directe'!E84/C78</f>
        <v>-4.6942635249582416</v>
      </c>
      <c r="F78" s="191">
        <f>'Péréquation directe'!F84/Effort!C78</f>
        <v>-8.644929040423408</v>
      </c>
      <c r="G78" s="191">
        <f>'Péréquation directe'!G84/Effort!C78</f>
        <v>-0.19176044834123135</v>
      </c>
      <c r="H78" s="191">
        <f>'Péréquation directe'!J84/Effort!C78</f>
        <v>19.118483643972599</v>
      </c>
      <c r="I78" s="341">
        <f t="shared" si="3"/>
        <v>17.245037228986845</v>
      </c>
      <c r="J78" s="208">
        <f t="shared" si="4"/>
        <v>0</v>
      </c>
      <c r="K78" s="42">
        <f t="shared" si="5"/>
        <v>0</v>
      </c>
      <c r="L78" s="222"/>
    </row>
    <row r="79" spans="1:12" x14ac:dyDescent="0.25">
      <c r="A79" s="38">
        <f>Données!A79</f>
        <v>5529</v>
      </c>
      <c r="B79" s="167" t="str">
        <f>Données!B79</f>
        <v>Oulens-sous-Echallens</v>
      </c>
      <c r="C79" s="321">
        <f>VPI!R79</f>
        <v>22677.013380281693</v>
      </c>
      <c r="D79" s="191">
        <f>(PCS!I85-PCS!F85)/C79</f>
        <v>11.657506598737129</v>
      </c>
      <c r="E79" s="448">
        <f>'Péréquation directe'!E85/C79</f>
        <v>-3.4479245780545194</v>
      </c>
      <c r="F79" s="191">
        <f>'Péréquation directe'!F85/Effort!C79</f>
        <v>-5.9493426029176844</v>
      </c>
      <c r="G79" s="191">
        <f>'Péréquation directe'!G85/Effort!C79</f>
        <v>-4.0851243576396872</v>
      </c>
      <c r="H79" s="191">
        <f>'Péréquation directe'!J85/Effort!C79</f>
        <v>19.118483643972599</v>
      </c>
      <c r="I79" s="341">
        <f t="shared" si="3"/>
        <v>17.293598704097839</v>
      </c>
      <c r="J79" s="208">
        <f t="shared" si="4"/>
        <v>0</v>
      </c>
      <c r="K79" s="42">
        <f t="shared" si="5"/>
        <v>0</v>
      </c>
      <c r="L79" s="222"/>
    </row>
    <row r="80" spans="1:12" x14ac:dyDescent="0.25">
      <c r="A80" s="38">
        <f>Données!A80</f>
        <v>5530</v>
      </c>
      <c r="B80" s="167" t="str">
        <f>Données!B80</f>
        <v>Pailly</v>
      </c>
      <c r="C80" s="321">
        <f>VPI!R80</f>
        <v>20359.246820175435</v>
      </c>
      <c r="D80" s="191">
        <f>(PCS!I86-PCS!F86)/C80</f>
        <v>11.657506598737129</v>
      </c>
      <c r="E80" s="448">
        <f>'Péréquation directe'!E86/C80</f>
        <v>-3.5869532228278453</v>
      </c>
      <c r="F80" s="191">
        <f>'Péréquation directe'!F86/Effort!C80</f>
        <v>-8.0225005509658178</v>
      </c>
      <c r="G80" s="191">
        <f>'Péréquation directe'!G86/Effort!C80</f>
        <v>-3.9570144551703814</v>
      </c>
      <c r="H80" s="191">
        <f>'Péréquation directe'!J86/Effort!C80</f>
        <v>19.118483643972599</v>
      </c>
      <c r="I80" s="341">
        <f t="shared" si="3"/>
        <v>15.209522013745683</v>
      </c>
      <c r="J80" s="208">
        <f t="shared" si="4"/>
        <v>0</v>
      </c>
      <c r="K80" s="42">
        <f t="shared" si="5"/>
        <v>0</v>
      </c>
      <c r="L80" s="222"/>
    </row>
    <row r="81" spans="1:12" x14ac:dyDescent="0.25">
      <c r="A81" s="38">
        <f>Données!A81</f>
        <v>5531</v>
      </c>
      <c r="B81" s="167" t="str">
        <f>Données!B81</f>
        <v>Penthéréaz</v>
      </c>
      <c r="C81" s="321">
        <f>VPI!R81</f>
        <v>17299.306216216217</v>
      </c>
      <c r="D81" s="191">
        <f>(PCS!I87-PCS!F87)/C81</f>
        <v>11.657506598737129</v>
      </c>
      <c r="E81" s="448">
        <f>'Péréquation directe'!E87/C81</f>
        <v>-3.2294621547308386</v>
      </c>
      <c r="F81" s="191">
        <f>'Péréquation directe'!F87/Effort!C81</f>
        <v>-4.666527242452994</v>
      </c>
      <c r="G81" s="191">
        <f>'Péréquation directe'!G87/Effort!C81</f>
        <v>-2.8107157843683557</v>
      </c>
      <c r="H81" s="191">
        <f>'Péréquation directe'!J87/Effort!C81</f>
        <v>19.118483643972599</v>
      </c>
      <c r="I81" s="341">
        <f t="shared" si="3"/>
        <v>20.06928506115754</v>
      </c>
      <c r="J81" s="208">
        <f t="shared" si="4"/>
        <v>0</v>
      </c>
      <c r="K81" s="42">
        <f t="shared" si="5"/>
        <v>0</v>
      </c>
      <c r="L81" s="222"/>
    </row>
    <row r="82" spans="1:12" x14ac:dyDescent="0.25">
      <c r="A82" s="38">
        <f>Données!A82</f>
        <v>5533</v>
      </c>
      <c r="B82" s="167" t="str">
        <f>Données!B82</f>
        <v>Poliez-Pittet</v>
      </c>
      <c r="C82" s="321">
        <f>VPI!R82</f>
        <v>28012.381095890411</v>
      </c>
      <c r="D82" s="191">
        <f>(PCS!I88-PCS!F88)/C82</f>
        <v>11.657506598737127</v>
      </c>
      <c r="E82" s="448">
        <f>'Péréquation directe'!E88/C82</f>
        <v>-3.9058612859278155</v>
      </c>
      <c r="F82" s="191">
        <f>'Péréquation directe'!F88/Effort!C82</f>
        <v>-9.9533205992475047</v>
      </c>
      <c r="G82" s="191">
        <f>'Péréquation directe'!G88/Effort!C82</f>
        <v>-2.7003747858420057</v>
      </c>
      <c r="H82" s="191">
        <f>'Péréquation directe'!J88/Effort!C82</f>
        <v>19.118483643972603</v>
      </c>
      <c r="I82" s="341">
        <f t="shared" si="3"/>
        <v>14.216433571692404</v>
      </c>
      <c r="J82" s="208">
        <f t="shared" si="4"/>
        <v>0</v>
      </c>
      <c r="K82" s="42">
        <f t="shared" si="5"/>
        <v>0</v>
      </c>
      <c r="L82" s="222"/>
    </row>
    <row r="83" spans="1:12" x14ac:dyDescent="0.25">
      <c r="A83" s="38">
        <f>Données!A83</f>
        <v>5534</v>
      </c>
      <c r="B83" s="167" t="str">
        <f>Données!B83</f>
        <v>Rueyres</v>
      </c>
      <c r="C83" s="321">
        <f>VPI!R83</f>
        <v>15042.055228310503</v>
      </c>
      <c r="D83" s="191">
        <f>(PCS!I89-PCS!F89)/C83</f>
        <v>12.002475860422079</v>
      </c>
      <c r="E83" s="448">
        <f>'Péréquation directe'!E89/C83</f>
        <v>-2.5990009544568884</v>
      </c>
      <c r="F83" s="191">
        <f>'Péréquation directe'!F89/Effort!C83</f>
        <v>0</v>
      </c>
      <c r="G83" s="191">
        <f>'Péréquation directe'!G89/Effort!C83</f>
        <v>0</v>
      </c>
      <c r="H83" s="191">
        <f>'Péréquation directe'!J89/Effort!C83</f>
        <v>19.118483643972599</v>
      </c>
      <c r="I83" s="341">
        <f t="shared" si="3"/>
        <v>28.521958549937789</v>
      </c>
      <c r="J83" s="208">
        <f t="shared" si="4"/>
        <v>0</v>
      </c>
      <c r="K83" s="42">
        <f t="shared" si="5"/>
        <v>0</v>
      </c>
      <c r="L83" s="222"/>
    </row>
    <row r="84" spans="1:12" x14ac:dyDescent="0.25">
      <c r="A84" s="38">
        <f>Données!A84</f>
        <v>5535</v>
      </c>
      <c r="B84" s="167" t="str">
        <f>Données!B84</f>
        <v>Saint-Barthélemy</v>
      </c>
      <c r="C84" s="321">
        <f>VPI!R84</f>
        <v>25492.610399999998</v>
      </c>
      <c r="D84" s="191">
        <f>(PCS!I90-PCS!F90)/C84</f>
        <v>11.657506598737129</v>
      </c>
      <c r="E84" s="448">
        <f>'Péréquation directe'!E90/C84</f>
        <v>-4.1198469782263345</v>
      </c>
      <c r="F84" s="191">
        <f>'Péréquation directe'!F90/Effort!C84</f>
        <v>-12.313442217693341</v>
      </c>
      <c r="G84" s="191">
        <f>'Péréquation directe'!G90/Effort!C84</f>
        <v>0</v>
      </c>
      <c r="H84" s="191">
        <f>'Péréquation directe'!J90/Effort!C84</f>
        <v>19.118483643972599</v>
      </c>
      <c r="I84" s="341">
        <f t="shared" si="3"/>
        <v>14.342701046790053</v>
      </c>
      <c r="J84" s="208">
        <f t="shared" si="4"/>
        <v>0</v>
      </c>
      <c r="K84" s="42">
        <f t="shared" si="5"/>
        <v>0</v>
      </c>
      <c r="L84" s="222"/>
    </row>
    <row r="85" spans="1:12" x14ac:dyDescent="0.25">
      <c r="A85" s="38">
        <f>Données!A85</f>
        <v>5537</v>
      </c>
      <c r="B85" s="167" t="str">
        <f>Données!B85</f>
        <v>Villars-le-Terroir</v>
      </c>
      <c r="C85" s="321">
        <f>VPI!R85</f>
        <v>39162.728026315795</v>
      </c>
      <c r="D85" s="191">
        <f>(PCS!I91-PCS!F91)/C85</f>
        <v>11.657506598737131</v>
      </c>
      <c r="E85" s="448">
        <f>'Péréquation directe'!E91/C85</f>
        <v>-6.1357974664828792</v>
      </c>
      <c r="F85" s="191">
        <f>'Péréquation directe'!F91/Effort!C85</f>
        <v>-14.286929468494609</v>
      </c>
      <c r="G85" s="191">
        <f>'Péréquation directe'!G91/Effort!C85</f>
        <v>-1.9857562473648023</v>
      </c>
      <c r="H85" s="191">
        <f>'Péréquation directe'!J91/Effort!C85</f>
        <v>19.118483643972599</v>
      </c>
      <c r="I85" s="341">
        <f t="shared" si="3"/>
        <v>8.3675070603674389</v>
      </c>
      <c r="J85" s="208">
        <f t="shared" si="4"/>
        <v>0</v>
      </c>
      <c r="K85" s="42">
        <f t="shared" si="5"/>
        <v>0</v>
      </c>
      <c r="L85" s="222"/>
    </row>
    <row r="86" spans="1:12" x14ac:dyDescent="0.25">
      <c r="A86" s="38">
        <f>Données!A86</f>
        <v>5539</v>
      </c>
      <c r="B86" s="167" t="str">
        <f>Données!B86</f>
        <v>Vuarrens</v>
      </c>
      <c r="C86" s="321">
        <f>VPI!R86</f>
        <v>34442.458945578233</v>
      </c>
      <c r="D86" s="191">
        <f>(PCS!I92-PCS!F92)/C86</f>
        <v>11.657506598737129</v>
      </c>
      <c r="E86" s="448">
        <f>'Péréquation directe'!E92/C86</f>
        <v>-4.8579142195037415</v>
      </c>
      <c r="F86" s="191">
        <f>'Péréquation directe'!F92/Effort!C86</f>
        <v>-12.014948354159635</v>
      </c>
      <c r="G86" s="191">
        <f>'Péréquation directe'!G92/Effort!C86</f>
        <v>-0.45867521080039148</v>
      </c>
      <c r="H86" s="191">
        <f>'Péréquation directe'!J92/Effort!C86</f>
        <v>19.118483643972599</v>
      </c>
      <c r="I86" s="341">
        <f t="shared" si="3"/>
        <v>13.444452458245959</v>
      </c>
      <c r="J86" s="208">
        <f t="shared" si="4"/>
        <v>0</v>
      </c>
      <c r="K86" s="42">
        <f t="shared" si="5"/>
        <v>0</v>
      </c>
      <c r="L86" s="222"/>
    </row>
    <row r="87" spans="1:12" x14ac:dyDescent="0.25">
      <c r="A87" s="38">
        <f>Données!A87</f>
        <v>5540</v>
      </c>
      <c r="B87" s="167" t="str">
        <f>Données!B87</f>
        <v>Montilliez</v>
      </c>
      <c r="C87" s="321">
        <f>VPI!R87</f>
        <v>67464.467689655183</v>
      </c>
      <c r="D87" s="191">
        <f>(PCS!I93-PCS!F93)/C87</f>
        <v>11.657506598737129</v>
      </c>
      <c r="E87" s="448">
        <f>'Péréquation directe'!E93/C87</f>
        <v>-6.7051392740897908</v>
      </c>
      <c r="F87" s="191">
        <f>'Péréquation directe'!F93/Effort!C87</f>
        <v>-7.5940898141882416</v>
      </c>
      <c r="G87" s="191">
        <f>'Péréquation directe'!G93/Effort!C87</f>
        <v>-1.4727173651154815</v>
      </c>
      <c r="H87" s="191">
        <f>'Péréquation directe'!J93/Effort!C87</f>
        <v>19.118483643972599</v>
      </c>
      <c r="I87" s="341">
        <f t="shared" si="3"/>
        <v>15.004043789316214</v>
      </c>
      <c r="J87" s="208">
        <f t="shared" si="4"/>
        <v>0</v>
      </c>
      <c r="K87" s="42">
        <f t="shared" si="5"/>
        <v>0</v>
      </c>
      <c r="L87" s="222"/>
    </row>
    <row r="88" spans="1:12" x14ac:dyDescent="0.25">
      <c r="A88" s="38">
        <f>Données!A88</f>
        <v>5541</v>
      </c>
      <c r="B88" s="167" t="str">
        <f>Données!B88</f>
        <v>Goumoëns</v>
      </c>
      <c r="C88" s="321">
        <f>VPI!R88</f>
        <v>41726.211258278148</v>
      </c>
      <c r="D88" s="191">
        <f>(PCS!I94-PCS!F94)/C88</f>
        <v>11.657506598737129</v>
      </c>
      <c r="E88" s="448">
        <f>'Péréquation directe'!E94/C88</f>
        <v>-4.6073192379044645</v>
      </c>
      <c r="F88" s="191">
        <f>'Péréquation directe'!F94/Effort!C88</f>
        <v>-8.3138598852859147</v>
      </c>
      <c r="G88" s="191">
        <f>'Péréquation directe'!G94/Effort!C88</f>
        <v>-0.26417405553791412</v>
      </c>
      <c r="H88" s="191">
        <f>'Péréquation directe'!J94/Effort!C88</f>
        <v>19.118483643972599</v>
      </c>
      <c r="I88" s="341">
        <f t="shared" si="3"/>
        <v>17.590637063981436</v>
      </c>
      <c r="J88" s="208">
        <f t="shared" si="4"/>
        <v>0</v>
      </c>
      <c r="K88" s="42">
        <f t="shared" si="5"/>
        <v>0</v>
      </c>
      <c r="L88" s="222"/>
    </row>
    <row r="89" spans="1:12" x14ac:dyDescent="0.25">
      <c r="A89" s="38">
        <f>Données!A89</f>
        <v>5551</v>
      </c>
      <c r="B89" s="167" t="str">
        <f>Données!B89</f>
        <v>Bonvillars</v>
      </c>
      <c r="C89" s="321">
        <f>VPI!R89</f>
        <v>18575.023035714283</v>
      </c>
      <c r="D89" s="191">
        <f>(PCS!I95-PCS!F95)/C89</f>
        <v>11.657506598737131</v>
      </c>
      <c r="E89" s="448">
        <f>'Péréquation directe'!E95/C89</f>
        <v>-3.4800008837238647</v>
      </c>
      <c r="F89" s="191">
        <f>'Péréquation directe'!F95/Effort!C89</f>
        <v>-3.8521127639057902</v>
      </c>
      <c r="G89" s="191">
        <f>'Péréquation directe'!G95/Effort!C89</f>
        <v>-6.2732947509611359</v>
      </c>
      <c r="H89" s="191">
        <f>'Péréquation directe'!J95/Effort!C89</f>
        <v>19.118483643972599</v>
      </c>
      <c r="I89" s="341">
        <f t="shared" si="3"/>
        <v>17.170581844118939</v>
      </c>
      <c r="J89" s="208">
        <f t="shared" si="4"/>
        <v>0</v>
      </c>
      <c r="K89" s="42">
        <f t="shared" si="5"/>
        <v>0</v>
      </c>
      <c r="L89" s="222"/>
    </row>
    <row r="90" spans="1:12" x14ac:dyDescent="0.25">
      <c r="A90" s="38">
        <f>Données!A90</f>
        <v>5552</v>
      </c>
      <c r="B90" s="167" t="str">
        <f>Données!B90</f>
        <v>Bullet</v>
      </c>
      <c r="C90" s="321">
        <f>VPI!R90</f>
        <v>19038.952167832165</v>
      </c>
      <c r="D90" s="191">
        <f>(PCS!I96-PCS!F96)/C90</f>
        <v>11.657506598737129</v>
      </c>
      <c r="E90" s="448">
        <f>'Péréquation directe'!E96/C90</f>
        <v>-4.4117300978241305</v>
      </c>
      <c r="F90" s="191">
        <f>'Péréquation directe'!F96/Effort!C90</f>
        <v>-13.431453199695177</v>
      </c>
      <c r="G90" s="191">
        <f>'Péréquation directe'!G96/Effort!C90</f>
        <v>-16.539018013772697</v>
      </c>
      <c r="H90" s="191">
        <f>'Péréquation directe'!J96/Effort!C90</f>
        <v>19.118483643972599</v>
      </c>
      <c r="I90" s="341">
        <f t="shared" si="3"/>
        <v>-3.6062110685822759</v>
      </c>
      <c r="J90" s="208">
        <f t="shared" si="4"/>
        <v>0</v>
      </c>
      <c r="K90" s="42">
        <f t="shared" si="5"/>
        <v>0</v>
      </c>
      <c r="L90" s="222"/>
    </row>
    <row r="91" spans="1:12" x14ac:dyDescent="0.25">
      <c r="A91" s="38">
        <f>Données!A91</f>
        <v>5553</v>
      </c>
      <c r="B91" s="167" t="str">
        <f>Données!B91</f>
        <v>Champagne</v>
      </c>
      <c r="C91" s="321">
        <f>VPI!R91</f>
        <v>38263.796923076923</v>
      </c>
      <c r="D91" s="191">
        <f>(PCS!I97-PCS!F97)/C91</f>
        <v>11.657506598737129</v>
      </c>
      <c r="E91" s="448">
        <f>'Péréquation directe'!E97/C91</f>
        <v>-4.0989594111196714</v>
      </c>
      <c r="F91" s="191">
        <f>'Péréquation directe'!F97/Effort!C91</f>
        <v>-6.1515167451902313</v>
      </c>
      <c r="G91" s="191">
        <f>'Péréquation directe'!G97/Effort!C91</f>
        <v>-7.553366150321323</v>
      </c>
      <c r="H91" s="191">
        <f>'Péréquation directe'!J97/Effort!C91</f>
        <v>19.118483643972599</v>
      </c>
      <c r="I91" s="341">
        <f t="shared" si="3"/>
        <v>12.972147936078503</v>
      </c>
      <c r="J91" s="208">
        <f t="shared" si="4"/>
        <v>0</v>
      </c>
      <c r="K91" s="42">
        <f t="shared" si="5"/>
        <v>0</v>
      </c>
      <c r="L91" s="222"/>
    </row>
    <row r="92" spans="1:12" x14ac:dyDescent="0.25">
      <c r="A92" s="38">
        <f>Données!A92</f>
        <v>5554</v>
      </c>
      <c r="B92" s="167" t="str">
        <f>Données!B92</f>
        <v>Concise</v>
      </c>
      <c r="C92" s="321">
        <f>VPI!R92</f>
        <v>33907.166000000005</v>
      </c>
      <c r="D92" s="191">
        <f>(PCS!I98-PCS!F98)/C92</f>
        <v>11.657506598737127</v>
      </c>
      <c r="E92" s="448">
        <f>'Péréquation directe'!E98/C92</f>
        <v>-3.8265268197431435</v>
      </c>
      <c r="F92" s="191">
        <f>'Péréquation directe'!F98/Effort!C92</f>
        <v>-9.7204463629930942</v>
      </c>
      <c r="G92" s="191">
        <f>'Péréquation directe'!G98/Effort!C92</f>
        <v>-5.9807417700435339</v>
      </c>
      <c r="H92" s="191">
        <f>'Péréquation directe'!J98/Effort!C92</f>
        <v>19.118483643972599</v>
      </c>
      <c r="I92" s="341">
        <f t="shared" si="3"/>
        <v>11.248275289929953</v>
      </c>
      <c r="J92" s="208">
        <f t="shared" si="4"/>
        <v>0</v>
      </c>
      <c r="K92" s="42">
        <f t="shared" si="5"/>
        <v>0</v>
      </c>
      <c r="L92" s="222"/>
    </row>
    <row r="93" spans="1:12" x14ac:dyDescent="0.25">
      <c r="A93" s="38">
        <f>Données!A93</f>
        <v>5555</v>
      </c>
      <c r="B93" s="167" t="str">
        <f>Données!B93</f>
        <v>Corcelles-près-Concise</v>
      </c>
      <c r="C93" s="321">
        <f>VPI!R93</f>
        <v>13425.201594202899</v>
      </c>
      <c r="D93" s="191">
        <f>(PCS!I99-PCS!F99)/C93</f>
        <v>11.657506598737129</v>
      </c>
      <c r="E93" s="448">
        <f>'Péréquation directe'!E99/C93</f>
        <v>-3.9595642056556293</v>
      </c>
      <c r="F93" s="191">
        <f>'Péréquation directe'!F99/Effort!C93</f>
        <v>-9.2763229920521209</v>
      </c>
      <c r="G93" s="191">
        <f>'Péréquation directe'!G99/Effort!C93</f>
        <v>-12.728590184665782</v>
      </c>
      <c r="H93" s="191">
        <f>'Péréquation directe'!J99/Effort!C93</f>
        <v>19.118483643972599</v>
      </c>
      <c r="I93" s="341">
        <f t="shared" si="3"/>
        <v>4.8115128603361956</v>
      </c>
      <c r="J93" s="208">
        <f t="shared" si="4"/>
        <v>0</v>
      </c>
      <c r="K93" s="42">
        <f t="shared" si="5"/>
        <v>0</v>
      </c>
      <c r="L93" s="222"/>
    </row>
    <row r="94" spans="1:12" x14ac:dyDescent="0.25">
      <c r="A94" s="38">
        <f>Données!A94</f>
        <v>5556</v>
      </c>
      <c r="B94" s="167" t="str">
        <f>Données!B94</f>
        <v>Fiez</v>
      </c>
      <c r="C94" s="321">
        <f>VPI!R94</f>
        <v>13304.241787439612</v>
      </c>
      <c r="D94" s="191">
        <f>(PCS!I100-PCS!F100)/C94</f>
        <v>11.657506598737129</v>
      </c>
      <c r="E94" s="448">
        <f>'Péréquation directe'!E100/C94</f>
        <v>-4.2283151540501267</v>
      </c>
      <c r="F94" s="191">
        <f>'Péréquation directe'!F100/Effort!C94</f>
        <v>-11.197477579361827</v>
      </c>
      <c r="G94" s="191">
        <f>'Péréquation directe'!G100/Effort!C94</f>
        <v>-6.5792263349738764</v>
      </c>
      <c r="H94" s="191">
        <f>'Péréquation directe'!J100/Effort!C94</f>
        <v>19.118483643972599</v>
      </c>
      <c r="I94" s="341">
        <f t="shared" si="3"/>
        <v>8.7709711743238969</v>
      </c>
      <c r="J94" s="208">
        <f t="shared" si="4"/>
        <v>0</v>
      </c>
      <c r="K94" s="42">
        <f t="shared" si="5"/>
        <v>0</v>
      </c>
      <c r="L94" s="222"/>
    </row>
    <row r="95" spans="1:12" x14ac:dyDescent="0.25">
      <c r="A95" s="38">
        <f>Données!A95</f>
        <v>5557</v>
      </c>
      <c r="B95" s="167" t="str">
        <f>Données!B95</f>
        <v>Fontaines-sur-Grandson</v>
      </c>
      <c r="C95" s="321">
        <f>VPI!R95</f>
        <v>5098.7534782608691</v>
      </c>
      <c r="D95" s="191">
        <f>(PCS!I101-PCS!F101)/C95</f>
        <v>11.657506598737129</v>
      </c>
      <c r="E95" s="448">
        <f>'Péréquation directe'!E101/C95</f>
        <v>-5.4152778948296874</v>
      </c>
      <c r="F95" s="191">
        <f>'Péréquation directe'!F101/Effort!C95</f>
        <v>-19.682429643854892</v>
      </c>
      <c r="G95" s="191">
        <f>'Péréquation directe'!G101/Effort!C95</f>
        <v>-9.4596972039116487</v>
      </c>
      <c r="H95" s="191">
        <f>'Péréquation directe'!J101/Effort!C95</f>
        <v>19.118483643972599</v>
      </c>
      <c r="I95" s="341">
        <f t="shared" si="3"/>
        <v>-3.7814144998864982</v>
      </c>
      <c r="J95" s="208">
        <f t="shared" si="4"/>
        <v>0</v>
      </c>
      <c r="K95" s="42">
        <f t="shared" si="5"/>
        <v>0</v>
      </c>
      <c r="L95" s="222"/>
    </row>
    <row r="96" spans="1:12" x14ac:dyDescent="0.25">
      <c r="A96" s="38">
        <f>Données!A96</f>
        <v>5559</v>
      </c>
      <c r="B96" s="167" t="str">
        <f>Données!B96</f>
        <v>Giez</v>
      </c>
      <c r="C96" s="321">
        <f>VPI!R96</f>
        <v>21011.030606060605</v>
      </c>
      <c r="D96" s="191">
        <f>(PCS!I102-PCS!F102)/C96</f>
        <v>11.657506598737127</v>
      </c>
      <c r="E96" s="448">
        <f>'Péréquation directe'!E102/C96</f>
        <v>-2.7633516070553572</v>
      </c>
      <c r="F96" s="191">
        <f>'Péréquation directe'!F102/Effort!C96</f>
        <v>-0.66355459178119058</v>
      </c>
      <c r="G96" s="191">
        <f>'Péréquation directe'!G102/Effort!C96</f>
        <v>-0.89120170803212029</v>
      </c>
      <c r="H96" s="191">
        <f>'Péréquation directe'!J102/Effort!C96</f>
        <v>19.118483643972599</v>
      </c>
      <c r="I96" s="341">
        <f t="shared" si="3"/>
        <v>26.457882335841056</v>
      </c>
      <c r="J96" s="208">
        <f t="shared" si="4"/>
        <v>0</v>
      </c>
      <c r="K96" s="42">
        <f t="shared" si="5"/>
        <v>0</v>
      </c>
      <c r="L96" s="222"/>
    </row>
    <row r="97" spans="1:12" x14ac:dyDescent="0.25">
      <c r="A97" s="38">
        <f>Données!A97</f>
        <v>5560</v>
      </c>
      <c r="B97" s="167" t="str">
        <f>Données!B97</f>
        <v>Grandevent</v>
      </c>
      <c r="C97" s="321">
        <f>VPI!R97</f>
        <v>8996.1449295774655</v>
      </c>
      <c r="D97" s="191">
        <f>(PCS!I103-PCS!F103)/C97</f>
        <v>11.657506598737129</v>
      </c>
      <c r="E97" s="448">
        <f>'Péréquation directe'!E103/C97</f>
        <v>-3.3990917858012155</v>
      </c>
      <c r="F97" s="191">
        <f>'Péréquation directe'!F103/Effort!C97</f>
        <v>-5.5797337367697875</v>
      </c>
      <c r="G97" s="191">
        <f>'Péréquation directe'!G103/Effort!C97</f>
        <v>-0.76114728657873143</v>
      </c>
      <c r="H97" s="191">
        <f>'Péréquation directe'!J103/Effort!C97</f>
        <v>19.118483643972599</v>
      </c>
      <c r="I97" s="341">
        <f t="shared" si="3"/>
        <v>21.036017433559994</v>
      </c>
      <c r="J97" s="208">
        <f t="shared" si="4"/>
        <v>0</v>
      </c>
      <c r="K97" s="42">
        <f t="shared" si="5"/>
        <v>0</v>
      </c>
      <c r="L97" s="222"/>
    </row>
    <row r="98" spans="1:12" x14ac:dyDescent="0.25">
      <c r="A98" s="38">
        <f>Données!A98</f>
        <v>5561</v>
      </c>
      <c r="B98" s="167" t="str">
        <f>Données!B98</f>
        <v>Grandson</v>
      </c>
      <c r="C98" s="321">
        <f>VPI!R98</f>
        <v>132376.08594202899</v>
      </c>
      <c r="D98" s="191">
        <f>(PCS!I104-PCS!F104)/C98</f>
        <v>11.657506598737129</v>
      </c>
      <c r="E98" s="448">
        <f>'Péréquation directe'!E104/C98</f>
        <v>-7.8286189247457427</v>
      </c>
      <c r="F98" s="191">
        <f>'Péréquation directe'!F104/Effort!C98</f>
        <v>-4.3682403698225132</v>
      </c>
      <c r="G98" s="191">
        <f>'Péréquation directe'!G104/Effort!C98</f>
        <v>-7.2212003213816605</v>
      </c>
      <c r="H98" s="191">
        <f>'Péréquation directe'!J104/Effort!C98</f>
        <v>19.118483643972599</v>
      </c>
      <c r="I98" s="341">
        <f t="shared" si="3"/>
        <v>11.357930626759812</v>
      </c>
      <c r="J98" s="208">
        <f t="shared" si="4"/>
        <v>0</v>
      </c>
      <c r="K98" s="42">
        <f t="shared" si="5"/>
        <v>0</v>
      </c>
      <c r="L98" s="222"/>
    </row>
    <row r="99" spans="1:12" x14ac:dyDescent="0.25">
      <c r="A99" s="38">
        <f>Données!A99</f>
        <v>5562</v>
      </c>
      <c r="B99" s="167" t="str">
        <f>Données!B99</f>
        <v>Mauborget</v>
      </c>
      <c r="C99" s="321">
        <f>VPI!R99</f>
        <v>4559.8505476190467</v>
      </c>
      <c r="D99" s="191">
        <f>(PCS!I105-PCS!F105)/C99</f>
        <v>11.657506598737129</v>
      </c>
      <c r="E99" s="448">
        <f>'Péréquation directe'!E105/C99</f>
        <v>-3.9048060470422361</v>
      </c>
      <c r="F99" s="191">
        <f>'Péréquation directe'!F105/Effort!C99</f>
        <v>-9.1442857792532521</v>
      </c>
      <c r="G99" s="191">
        <f>'Péréquation directe'!G105/Effort!C99</f>
        <v>-2.3254619187263166</v>
      </c>
      <c r="H99" s="191">
        <f>'Péréquation directe'!J105/Effort!C99</f>
        <v>19.118483643972599</v>
      </c>
      <c r="I99" s="341">
        <f t="shared" si="3"/>
        <v>15.401436497687923</v>
      </c>
      <c r="J99" s="208">
        <f t="shared" si="4"/>
        <v>0</v>
      </c>
      <c r="K99" s="42">
        <f t="shared" si="5"/>
        <v>0</v>
      </c>
      <c r="L99" s="222"/>
    </row>
    <row r="100" spans="1:12" x14ac:dyDescent="0.25">
      <c r="A100" s="38">
        <f>Données!A100</f>
        <v>5563</v>
      </c>
      <c r="B100" s="167" t="str">
        <f>Données!B100</f>
        <v>Mutrux</v>
      </c>
      <c r="C100" s="321">
        <f>VPI!R100</f>
        <v>2282.08925</v>
      </c>
      <c r="D100" s="191">
        <f>(PCS!I106-PCS!F106)/C100</f>
        <v>11.657506598737131</v>
      </c>
      <c r="E100" s="448">
        <f>'Péréquation directe'!E106/C100</f>
        <v>-8.5371971649450202</v>
      </c>
      <c r="F100" s="191">
        <f>'Péréquation directe'!F106/Effort!C100</f>
        <v>-56.457833464893568</v>
      </c>
      <c r="G100" s="191">
        <f>'Péréquation directe'!G106/Effort!C100</f>
        <v>-19.819732099653859</v>
      </c>
      <c r="H100" s="191">
        <f>'Péréquation directe'!J106/Effort!C100</f>
        <v>19.118483643972599</v>
      </c>
      <c r="I100" s="341">
        <f t="shared" si="3"/>
        <v>-54.038772486782719</v>
      </c>
      <c r="J100" s="208">
        <f t="shared" si="4"/>
        <v>0</v>
      </c>
      <c r="K100" s="42">
        <f t="shared" si="5"/>
        <v>0</v>
      </c>
      <c r="L100" s="222"/>
    </row>
    <row r="101" spans="1:12" x14ac:dyDescent="0.25">
      <c r="A101" s="38">
        <f>Données!A101</f>
        <v>5564</v>
      </c>
      <c r="B101" s="167" t="str">
        <f>Données!B101</f>
        <v>Novalles</v>
      </c>
      <c r="C101" s="321">
        <f>VPI!R101</f>
        <v>2548.8725328947371</v>
      </c>
      <c r="D101" s="191">
        <f>(PCS!I107-PCS!F107)/C101</f>
        <v>11.657506598737129</v>
      </c>
      <c r="E101" s="448">
        <f>'Péréquation directe'!E107/C101</f>
        <v>-5.0113884383012515</v>
      </c>
      <c r="F101" s="191">
        <f>'Péréquation directe'!F107/Effort!C101</f>
        <v>-20.375829657286939</v>
      </c>
      <c r="G101" s="191">
        <f>'Péréquation directe'!G107/Effort!C101</f>
        <v>-13.620183024034423</v>
      </c>
      <c r="H101" s="191">
        <f>'Péréquation directe'!J107/Effort!C101</f>
        <v>19.118483643972599</v>
      </c>
      <c r="I101" s="341">
        <f t="shared" si="3"/>
        <v>-8.2314108769128858</v>
      </c>
      <c r="J101" s="208">
        <f t="shared" si="4"/>
        <v>0</v>
      </c>
      <c r="K101" s="42">
        <f t="shared" si="5"/>
        <v>0</v>
      </c>
      <c r="L101" s="222"/>
    </row>
    <row r="102" spans="1:12" x14ac:dyDescent="0.25">
      <c r="A102" s="38">
        <f>Données!A102</f>
        <v>5565</v>
      </c>
      <c r="B102" s="167" t="str">
        <f>Données!B102</f>
        <v>Onnens</v>
      </c>
      <c r="C102" s="321">
        <f>VPI!R102</f>
        <v>11658.700944881888</v>
      </c>
      <c r="D102" s="191">
        <f>(PCS!I108-PCS!F108)/C102</f>
        <v>11.657506598737129</v>
      </c>
      <c r="E102" s="448">
        <f>'Péréquation directe'!E108/C102</f>
        <v>-5.4891171973344663</v>
      </c>
      <c r="F102" s="191">
        <f>'Péréquation directe'!F108/Effort!C102</f>
        <v>-17.116750258455191</v>
      </c>
      <c r="G102" s="191">
        <f>'Péréquation directe'!G108/Effort!C102</f>
        <v>-11.814053664573404</v>
      </c>
      <c r="H102" s="191">
        <f>'Péréquation directe'!J108/Effort!C102</f>
        <v>19.118483643972599</v>
      </c>
      <c r="I102" s="341">
        <f t="shared" si="3"/>
        <v>-3.6439308776533323</v>
      </c>
      <c r="J102" s="208">
        <f t="shared" si="4"/>
        <v>0</v>
      </c>
      <c r="K102" s="42">
        <f t="shared" si="5"/>
        <v>0</v>
      </c>
      <c r="L102" s="222"/>
    </row>
    <row r="103" spans="1:12" x14ac:dyDescent="0.25">
      <c r="A103" s="38">
        <f>Données!A103</f>
        <v>5566</v>
      </c>
      <c r="B103" s="167" t="str">
        <f>Données!B103</f>
        <v>Provence</v>
      </c>
      <c r="C103" s="321">
        <f>VPI!R103</f>
        <v>8528.9197942386818</v>
      </c>
      <c r="D103" s="191">
        <f>(PCS!I109-PCS!F109)/C103</f>
        <v>11.657506598737127</v>
      </c>
      <c r="E103" s="448">
        <f>'Péréquation directe'!E109/C103</f>
        <v>-6.0965200326327071</v>
      </c>
      <c r="F103" s="191">
        <f>'Péréquation directe'!F109/Effort!C103</f>
        <v>-33.834777606522429</v>
      </c>
      <c r="G103" s="191">
        <f>'Péréquation directe'!G109/Effort!C103</f>
        <v>-38.641738853203456</v>
      </c>
      <c r="H103" s="191">
        <f>'Péréquation directe'!J109/Effort!C103</f>
        <v>19.118483643972599</v>
      </c>
      <c r="I103" s="341">
        <f t="shared" si="3"/>
        <v>-47.797046249648872</v>
      </c>
      <c r="J103" s="208">
        <f t="shared" si="4"/>
        <v>0</v>
      </c>
      <c r="K103" s="42">
        <f t="shared" si="5"/>
        <v>0</v>
      </c>
      <c r="L103" s="222"/>
    </row>
    <row r="104" spans="1:12" x14ac:dyDescent="0.25">
      <c r="A104" s="38">
        <f>Données!A104</f>
        <v>5568</v>
      </c>
      <c r="B104" s="167" t="str">
        <f>Données!B104</f>
        <v>Sainte-Croix</v>
      </c>
      <c r="C104" s="321">
        <f>VPI!R104</f>
        <v>106004.96942857141</v>
      </c>
      <c r="D104" s="191">
        <f>(PCS!I110-PCS!F110)/C104</f>
        <v>11.657506598737127</v>
      </c>
      <c r="E104" s="448">
        <f>'Péréquation directe'!E110/C104</f>
        <v>-17.132629469817768</v>
      </c>
      <c r="F104" s="191">
        <f>'Péréquation directe'!F110/Effort!C104</f>
        <v>-24.016831365905634</v>
      </c>
      <c r="G104" s="191">
        <f>'Péréquation directe'!G110/Effort!C104</f>
        <v>-17.535184589715453</v>
      </c>
      <c r="H104" s="191">
        <f>'Péréquation directe'!J110/Effort!C104</f>
        <v>19.118483643972599</v>
      </c>
      <c r="I104" s="341">
        <f t="shared" si="3"/>
        <v>-27.908655182729131</v>
      </c>
      <c r="J104" s="208">
        <f t="shared" si="4"/>
        <v>0</v>
      </c>
      <c r="K104" s="42">
        <f t="shared" si="5"/>
        <v>0</v>
      </c>
      <c r="L104" s="222"/>
    </row>
    <row r="105" spans="1:12" x14ac:dyDescent="0.25">
      <c r="A105" s="38">
        <f>Données!A105</f>
        <v>5571</v>
      </c>
      <c r="B105" s="167" t="str">
        <f>Données!B105</f>
        <v>Tévenon</v>
      </c>
      <c r="C105" s="321">
        <f>VPI!R105</f>
        <v>25907.008578088578</v>
      </c>
      <c r="D105" s="191">
        <f>(PCS!I111-PCS!F111)/C105</f>
        <v>11.657506598737132</v>
      </c>
      <c r="E105" s="448">
        <f>'Péréquation directe'!E111/C105</f>
        <v>-4.3179023646991421</v>
      </c>
      <c r="F105" s="191">
        <f>'Péréquation directe'!F111/Effort!C105</f>
        <v>-12.711246042950691</v>
      </c>
      <c r="G105" s="191">
        <f>'Péréquation directe'!G111/Effort!C105</f>
        <v>-6.9099136458891719</v>
      </c>
      <c r="H105" s="191">
        <f>'Péréquation directe'!J111/Effort!C105</f>
        <v>19.118483643972599</v>
      </c>
      <c r="I105" s="341">
        <f t="shared" si="3"/>
        <v>6.8369281891707274</v>
      </c>
      <c r="J105" s="208">
        <f t="shared" si="4"/>
        <v>0</v>
      </c>
      <c r="K105" s="42">
        <f t="shared" si="5"/>
        <v>0</v>
      </c>
      <c r="L105" s="222"/>
    </row>
    <row r="106" spans="1:12" x14ac:dyDescent="0.25">
      <c r="A106" s="38">
        <f>Données!A106</f>
        <v>5581</v>
      </c>
      <c r="B106" s="167" t="str">
        <f>Données!B106</f>
        <v>Belmont-sur-Lausanne</v>
      </c>
      <c r="C106" s="321">
        <f>VPI!R106</f>
        <v>233670.95416666666</v>
      </c>
      <c r="D106" s="191">
        <f>(PCS!I112-PCS!F112)/C106</f>
        <v>14.929173723432585</v>
      </c>
      <c r="E106" s="448">
        <f>'Péréquation directe'!E112/C106</f>
        <v>-5.4884870247298769</v>
      </c>
      <c r="F106" s="191">
        <f>'Péréquation directe'!F112/Effort!C106</f>
        <v>0</v>
      </c>
      <c r="G106" s="191">
        <f>'Péréquation directe'!G112/Effort!C106</f>
        <v>-4.6050151112598163</v>
      </c>
      <c r="H106" s="191">
        <f>'Péréquation directe'!J112/Effort!C106</f>
        <v>19.118483643972596</v>
      </c>
      <c r="I106" s="341">
        <f t="shared" si="3"/>
        <v>23.954155231415488</v>
      </c>
      <c r="J106" s="208">
        <f t="shared" si="4"/>
        <v>0</v>
      </c>
      <c r="K106" s="42">
        <f t="shared" si="5"/>
        <v>0</v>
      </c>
      <c r="L106" s="222"/>
    </row>
    <row r="107" spans="1:12" x14ac:dyDescent="0.25">
      <c r="A107" s="38">
        <f>Données!A107</f>
        <v>5582</v>
      </c>
      <c r="B107" s="167" t="str">
        <f>Données!B107</f>
        <v>Cheseaux-sur-Lausanne</v>
      </c>
      <c r="C107" s="321">
        <f>VPI!R107</f>
        <v>170428.79082191776</v>
      </c>
      <c r="D107" s="191">
        <f>(PCS!I113-PCS!F113)/C107</f>
        <v>11.657506598737129</v>
      </c>
      <c r="E107" s="448">
        <f>'Péréquation directe'!E113/C107</f>
        <v>-9.6146116623641689</v>
      </c>
      <c r="F107" s="191">
        <f>'Péréquation directe'!F113/Effort!C107</f>
        <v>-6.1112408620228669</v>
      </c>
      <c r="G107" s="191">
        <f>'Péréquation directe'!G113/Effort!C107</f>
        <v>-2.8076447809131326</v>
      </c>
      <c r="H107" s="191">
        <f>'Péréquation directe'!J113/Effort!C107</f>
        <v>19.118483643972599</v>
      </c>
      <c r="I107" s="341">
        <f t="shared" si="3"/>
        <v>12.24249293740956</v>
      </c>
      <c r="J107" s="208">
        <f t="shared" si="4"/>
        <v>0</v>
      </c>
      <c r="K107" s="42">
        <f t="shared" si="5"/>
        <v>0</v>
      </c>
      <c r="L107" s="222"/>
    </row>
    <row r="108" spans="1:12" x14ac:dyDescent="0.25">
      <c r="A108" s="38">
        <f>Données!A108</f>
        <v>5583</v>
      </c>
      <c r="B108" s="167" t="str">
        <f>Données!B108</f>
        <v>Crissier</v>
      </c>
      <c r="C108" s="321">
        <f>VPI!R108</f>
        <v>340496.54456692917</v>
      </c>
      <c r="D108" s="191">
        <f>(PCS!I114-PCS!F114)/C108</f>
        <v>11.657506598737127</v>
      </c>
      <c r="E108" s="448">
        <f>'Péréquation directe'!E114/C108</f>
        <v>-13.222664964511294</v>
      </c>
      <c r="F108" s="191">
        <f>'Péréquation directe'!F114/Effort!C108</f>
        <v>-4.9007822920209598</v>
      </c>
      <c r="G108" s="191">
        <f>'Péréquation directe'!G114/Effort!C108</f>
        <v>-10.359069097410771</v>
      </c>
      <c r="H108" s="191">
        <f>'Péréquation directe'!J114/Effort!C108</f>
        <v>19.118483643972599</v>
      </c>
      <c r="I108" s="341">
        <f t="shared" si="3"/>
        <v>2.2934738887667017</v>
      </c>
      <c r="J108" s="208">
        <f t="shared" si="4"/>
        <v>0</v>
      </c>
      <c r="K108" s="42">
        <f t="shared" si="5"/>
        <v>0</v>
      </c>
      <c r="L108" s="222"/>
    </row>
    <row r="109" spans="1:12" x14ac:dyDescent="0.25">
      <c r="A109" s="38">
        <f>Données!A109</f>
        <v>5584</v>
      </c>
      <c r="B109" s="167" t="str">
        <f>Données!B109</f>
        <v>Epalinges</v>
      </c>
      <c r="C109" s="321">
        <f>VPI!R109</f>
        <v>489766.22341085278</v>
      </c>
      <c r="D109" s="191">
        <f>(PCS!I115-PCS!F115)/C109</f>
        <v>12.014163802079029</v>
      </c>
      <c r="E109" s="448">
        <f>'Péréquation directe'!E115/C109</f>
        <v>-10.382180939068608</v>
      </c>
      <c r="F109" s="191">
        <f>'Péréquation directe'!F115/Effort!C109</f>
        <v>0</v>
      </c>
      <c r="G109" s="191">
        <f>'Péréquation directe'!G115/Effort!C109</f>
        <v>-8.9620556700840481</v>
      </c>
      <c r="H109" s="191">
        <f>'Péréquation directe'!J115/Effort!C109</f>
        <v>19.118483643972603</v>
      </c>
      <c r="I109" s="341">
        <f t="shared" si="3"/>
        <v>11.788410836898976</v>
      </c>
      <c r="J109" s="208">
        <f t="shared" si="4"/>
        <v>0</v>
      </c>
      <c r="K109" s="42">
        <f t="shared" si="5"/>
        <v>0</v>
      </c>
      <c r="L109" s="222"/>
    </row>
    <row r="110" spans="1:12" x14ac:dyDescent="0.25">
      <c r="A110" s="38">
        <f>Données!A110</f>
        <v>5585</v>
      </c>
      <c r="B110" s="167" t="str">
        <f>Données!B110</f>
        <v>Jouxtens-Mézery</v>
      </c>
      <c r="C110" s="321">
        <f>VPI!R110</f>
        <v>252946.52254237281</v>
      </c>
      <c r="D110" s="191">
        <f>(PCS!I116-PCS!F116)/C110</f>
        <v>30.958430953194469</v>
      </c>
      <c r="E110" s="448">
        <f>'Péréquation directe'!E116/C110</f>
        <v>-1.1784996342691314</v>
      </c>
      <c r="F110" s="191">
        <f>'Péréquation directe'!F116/Effort!C110</f>
        <v>0</v>
      </c>
      <c r="G110" s="191">
        <f>'Péréquation directe'!G116/Effort!C110</f>
        <v>0</v>
      </c>
      <c r="H110" s="191">
        <f>'Péréquation directe'!J116/Effort!C110</f>
        <v>19.118483643972599</v>
      </c>
      <c r="I110" s="341">
        <f t="shared" si="3"/>
        <v>48.898414962897938</v>
      </c>
      <c r="J110" s="208">
        <f t="shared" si="4"/>
        <v>0.8984149628979381</v>
      </c>
      <c r="K110" s="42">
        <f t="shared" si="5"/>
        <v>-227250.94066506834</v>
      </c>
      <c r="L110" s="222"/>
    </row>
    <row r="111" spans="1:12" x14ac:dyDescent="0.25">
      <c r="A111" s="38">
        <f>Données!A111</f>
        <v>5586</v>
      </c>
      <c r="B111" s="167" t="str">
        <f>Données!B111</f>
        <v>Lausanne</v>
      </c>
      <c r="C111" s="321">
        <f>VPI!R111</f>
        <v>6671978.8432696378</v>
      </c>
      <c r="D111" s="191">
        <f>(PCS!I117-PCS!F117)/C111</f>
        <v>11.657506598737131</v>
      </c>
      <c r="E111" s="448">
        <f>'Péréquation directe'!E117/C111</f>
        <v>-22.063144587443269</v>
      </c>
      <c r="F111" s="191">
        <f>'Péréquation directe'!F117/Effort!C111</f>
        <v>-0.69126511855422779</v>
      </c>
      <c r="G111" s="191">
        <f>'Péréquation directe'!G117/Effort!C111</f>
        <v>-7.2987316932974515</v>
      </c>
      <c r="H111" s="191">
        <f>'Péréquation directe'!J117/Effort!C111</f>
        <v>19.118483643972599</v>
      </c>
      <c r="I111" s="341">
        <f t="shared" si="3"/>
        <v>0.72284884341478417</v>
      </c>
      <c r="J111" s="208">
        <f t="shared" si="4"/>
        <v>0</v>
      </c>
      <c r="K111" s="42">
        <f t="shared" si="5"/>
        <v>0</v>
      </c>
      <c r="L111" s="222"/>
    </row>
    <row r="112" spans="1:12" x14ac:dyDescent="0.25">
      <c r="A112" s="38">
        <f>Données!A112</f>
        <v>5587</v>
      </c>
      <c r="B112" s="167" t="str">
        <f>Données!B112</f>
        <v>Le Mont-sur-Lausanne</v>
      </c>
      <c r="C112" s="321">
        <f>VPI!R112</f>
        <v>484050.33068027202</v>
      </c>
      <c r="D112" s="191">
        <f>(PCS!I118-PCS!F118)/C112</f>
        <v>12.67235863722183</v>
      </c>
      <c r="E112" s="448">
        <f>'Péréquation directe'!E118/C112</f>
        <v>-9.5477535426166789</v>
      </c>
      <c r="F112" s="191">
        <f>'Péréquation directe'!F118/Effort!C112</f>
        <v>0</v>
      </c>
      <c r="G112" s="191">
        <f>'Péréquation directe'!G118/Effort!C112</f>
        <v>-4.9495695262749111</v>
      </c>
      <c r="H112" s="191">
        <f>'Péréquation directe'!J118/Effort!C112</f>
        <v>19.118483643972596</v>
      </c>
      <c r="I112" s="341">
        <f t="shared" si="3"/>
        <v>17.293519212302837</v>
      </c>
      <c r="J112" s="208">
        <f t="shared" si="4"/>
        <v>0</v>
      </c>
      <c r="K112" s="42">
        <f t="shared" si="5"/>
        <v>0</v>
      </c>
      <c r="L112" s="222"/>
    </row>
    <row r="113" spans="1:12" x14ac:dyDescent="0.25">
      <c r="A113" s="38">
        <f>Données!A113</f>
        <v>5588</v>
      </c>
      <c r="B113" s="167" t="str">
        <f>Données!B113</f>
        <v>Paudex</v>
      </c>
      <c r="C113" s="321">
        <f>VPI!R113</f>
        <v>137556.51114930178</v>
      </c>
      <c r="D113" s="191">
        <f>(PCS!I119-PCS!F119)/C113</f>
        <v>21.186862738596737</v>
      </c>
      <c r="E113" s="448">
        <f>'Péréquation directe'!E119/C113</f>
        <v>-2.3824486767631301</v>
      </c>
      <c r="F113" s="191">
        <f>'Péréquation directe'!F119/Effort!C113</f>
        <v>0</v>
      </c>
      <c r="G113" s="191">
        <f>'Péréquation directe'!G119/Effort!C113</f>
        <v>0</v>
      </c>
      <c r="H113" s="191">
        <f>'Péréquation directe'!J119/Effort!C113</f>
        <v>19.118483643972599</v>
      </c>
      <c r="I113" s="341">
        <f t="shared" si="3"/>
        <v>37.922897705806207</v>
      </c>
      <c r="J113" s="208">
        <f t="shared" si="4"/>
        <v>0</v>
      </c>
      <c r="K113" s="42">
        <f t="shared" si="5"/>
        <v>0</v>
      </c>
      <c r="L113" s="222"/>
    </row>
    <row r="114" spans="1:12" x14ac:dyDescent="0.25">
      <c r="A114" s="38">
        <f>Données!A114</f>
        <v>5589</v>
      </c>
      <c r="B114" s="167" t="str">
        <f>Données!B114</f>
        <v>Prilly</v>
      </c>
      <c r="C114" s="321">
        <f>VPI!R114</f>
        <v>404219.10002122016</v>
      </c>
      <c r="D114" s="191">
        <f>(PCS!I120-PCS!F120)/C114</f>
        <v>11.657506598737129</v>
      </c>
      <c r="E114" s="448">
        <f>'Péréquation directe'!E120/C114</f>
        <v>-18.112320956813779</v>
      </c>
      <c r="F114" s="191">
        <f>'Péréquation directe'!F120/Effort!C114</f>
        <v>-10.022360519235871</v>
      </c>
      <c r="G114" s="191">
        <f>'Péréquation directe'!G120/Effort!C114</f>
        <v>-8.4114503735577735</v>
      </c>
      <c r="H114" s="191">
        <f>'Péréquation directe'!J120/Effort!C114</f>
        <v>19.118483643972599</v>
      </c>
      <c r="I114" s="341">
        <f t="shared" si="3"/>
        <v>-5.7701416068976954</v>
      </c>
      <c r="J114" s="208">
        <f t="shared" si="4"/>
        <v>0</v>
      </c>
      <c r="K114" s="42">
        <f t="shared" si="5"/>
        <v>0</v>
      </c>
      <c r="L114" s="222"/>
    </row>
    <row r="115" spans="1:12" x14ac:dyDescent="0.25">
      <c r="A115" s="38">
        <f>Données!A115</f>
        <v>5590</v>
      </c>
      <c r="B115" s="167" t="str">
        <f>Données!B115</f>
        <v>Pully</v>
      </c>
      <c r="C115" s="321">
        <f>VPI!R115</f>
        <v>1396472.1616393442</v>
      </c>
      <c r="D115" s="191">
        <f>(PCS!I121-PCS!F121)/C115</f>
        <v>17.145259346383543</v>
      </c>
      <c r="E115" s="448">
        <f>'Péréquation directe'!E121/C115</f>
        <v>-10.333409291541308</v>
      </c>
      <c r="F115" s="191">
        <f>'Péréquation directe'!F121/Effort!C115</f>
        <v>0</v>
      </c>
      <c r="G115" s="191">
        <f>'Péréquation directe'!G121/Effort!C115</f>
        <v>-3.1976108459777315</v>
      </c>
      <c r="H115" s="191">
        <f>'Péréquation directe'!J121/Effort!C115</f>
        <v>19.118483643972599</v>
      </c>
      <c r="I115" s="341">
        <f t="shared" si="3"/>
        <v>22.732722852837103</v>
      </c>
      <c r="J115" s="208">
        <f t="shared" si="4"/>
        <v>0</v>
      </c>
      <c r="K115" s="42">
        <f t="shared" si="5"/>
        <v>0</v>
      </c>
      <c r="L115" s="222"/>
    </row>
    <row r="116" spans="1:12" x14ac:dyDescent="0.25">
      <c r="A116" s="38">
        <f>Données!A116</f>
        <v>5591</v>
      </c>
      <c r="B116" s="167" t="str">
        <f>Données!B116</f>
        <v>Renens</v>
      </c>
      <c r="C116" s="321">
        <f>VPI!R116</f>
        <v>592907.73419294995</v>
      </c>
      <c r="D116" s="191">
        <f>(PCS!I122-PCS!F122)/C116</f>
        <v>11.657506598737129</v>
      </c>
      <c r="E116" s="448">
        <f>'Péréquation directe'!E122/C116</f>
        <v>-28.197011428258808</v>
      </c>
      <c r="F116" s="191">
        <f>'Péréquation directe'!F122/Effort!C116</f>
        <v>-17.209748309455499</v>
      </c>
      <c r="G116" s="191">
        <f>'Péréquation directe'!G122/Effort!C116</f>
        <v>-12.610356407341335</v>
      </c>
      <c r="H116" s="191">
        <f>'Péréquation directe'!J122/Effort!C116</f>
        <v>19.118483643972599</v>
      </c>
      <c r="I116" s="341">
        <f t="shared" si="3"/>
        <v>-27.241125902345917</v>
      </c>
      <c r="J116" s="208">
        <f t="shared" si="4"/>
        <v>0</v>
      </c>
      <c r="K116" s="42">
        <f t="shared" si="5"/>
        <v>0</v>
      </c>
      <c r="L116" s="222"/>
    </row>
    <row r="117" spans="1:12" x14ac:dyDescent="0.25">
      <c r="A117" s="38">
        <f>Données!A117</f>
        <v>5592</v>
      </c>
      <c r="B117" s="167" t="str">
        <f>Données!B117</f>
        <v>Romanel-sur-Lausanne</v>
      </c>
      <c r="C117" s="321">
        <f>VPI!R117</f>
        <v>113604.64354609928</v>
      </c>
      <c r="D117" s="191">
        <f>(PCS!I123-PCS!F123)/C117</f>
        <v>11.657506598737125</v>
      </c>
      <c r="E117" s="448">
        <f>'Péréquation directe'!E123/C117</f>
        <v>-11.121063251667902</v>
      </c>
      <c r="F117" s="191">
        <f>'Péréquation directe'!F123/Effort!C117</f>
        <v>-12.325324636937745</v>
      </c>
      <c r="G117" s="191">
        <f>'Péréquation directe'!G123/Effort!C117</f>
        <v>-2.8840272588897542</v>
      </c>
      <c r="H117" s="191">
        <f>'Péréquation directe'!J123/Effort!C117</f>
        <v>19.118483643972596</v>
      </c>
      <c r="I117" s="341">
        <f t="shared" si="3"/>
        <v>4.4455750952143198</v>
      </c>
      <c r="J117" s="208">
        <f t="shared" si="4"/>
        <v>0</v>
      </c>
      <c r="K117" s="42">
        <f t="shared" si="5"/>
        <v>0</v>
      </c>
      <c r="L117" s="222"/>
    </row>
    <row r="118" spans="1:12" x14ac:dyDescent="0.25">
      <c r="A118" s="38">
        <f>Données!A118</f>
        <v>5601</v>
      </c>
      <c r="B118" s="167" t="str">
        <f>Données!B118</f>
        <v>Chexbres</v>
      </c>
      <c r="C118" s="321">
        <f>VPI!R118</f>
        <v>106015.29511111112</v>
      </c>
      <c r="D118" s="191">
        <f>(PCS!I124-PCS!F124)/C118</f>
        <v>11.657506598737129</v>
      </c>
      <c r="E118" s="448">
        <f>'Péréquation directe'!E124/C118</f>
        <v>-5.319895977851254</v>
      </c>
      <c r="F118" s="191">
        <f>'Péréquation directe'!F124/Effort!C118</f>
        <v>-0.13986543981808067</v>
      </c>
      <c r="G118" s="191">
        <f>'Péréquation directe'!G124/Effort!C118</f>
        <v>-3.3314695673220549</v>
      </c>
      <c r="H118" s="191">
        <f>'Péréquation directe'!J124/Effort!C118</f>
        <v>19.118483643972599</v>
      </c>
      <c r="I118" s="341">
        <f t="shared" si="3"/>
        <v>21.984759257718338</v>
      </c>
      <c r="J118" s="208">
        <f t="shared" si="4"/>
        <v>0</v>
      </c>
      <c r="K118" s="42">
        <f t="shared" si="5"/>
        <v>0</v>
      </c>
      <c r="L118" s="222"/>
    </row>
    <row r="119" spans="1:12" x14ac:dyDescent="0.25">
      <c r="A119" s="38">
        <f>Données!A119</f>
        <v>5604</v>
      </c>
      <c r="B119" s="167" t="str">
        <f>Données!B119</f>
        <v>Forel (Lavaux)</v>
      </c>
      <c r="C119" s="321">
        <f>VPI!R119</f>
        <v>70961.315942029003</v>
      </c>
      <c r="D119" s="191">
        <f>(PCS!I125-PCS!F125)/C119</f>
        <v>11.657506598737131</v>
      </c>
      <c r="E119" s="448">
        <f>'Péréquation directe'!E125/C119</f>
        <v>-7.2503824548687161</v>
      </c>
      <c r="F119" s="191">
        <f>'Péréquation directe'!F125/Effort!C119</f>
        <v>-7.8374931124987679</v>
      </c>
      <c r="G119" s="191">
        <f>'Péréquation directe'!G125/Effort!C119</f>
        <v>-5.9359576665040654</v>
      </c>
      <c r="H119" s="191">
        <f>'Péréquation directe'!J125/Effort!C119</f>
        <v>19.118483643972599</v>
      </c>
      <c r="I119" s="341">
        <f t="shared" si="3"/>
        <v>9.7521570088381804</v>
      </c>
      <c r="J119" s="208">
        <f t="shared" si="4"/>
        <v>0</v>
      </c>
      <c r="K119" s="42">
        <f t="shared" si="5"/>
        <v>0</v>
      </c>
      <c r="L119" s="222"/>
    </row>
    <row r="120" spans="1:12" x14ac:dyDescent="0.25">
      <c r="A120" s="38">
        <f>Données!A120</f>
        <v>5606</v>
      </c>
      <c r="B120" s="167" t="str">
        <f>Données!B120</f>
        <v>Lutry</v>
      </c>
      <c r="C120" s="321">
        <f>VPI!R120</f>
        <v>1212171.2253174603</v>
      </c>
      <c r="D120" s="191">
        <f>(PCS!I126-PCS!F126)/C120</f>
        <v>23.158796685990936</v>
      </c>
      <c r="E120" s="448">
        <f>'Péréquation directe'!E126/C120</f>
        <v>-4.8375516785083832</v>
      </c>
      <c r="F120" s="191">
        <f>'Péréquation directe'!F126/Effort!C120</f>
        <v>0</v>
      </c>
      <c r="G120" s="191">
        <f>'Péréquation directe'!G126/Effort!C120</f>
        <v>-0.64784857262188544</v>
      </c>
      <c r="H120" s="191">
        <f>'Péréquation directe'!J126/Effort!C120</f>
        <v>19.118483643972599</v>
      </c>
      <c r="I120" s="341">
        <f t="shared" si="3"/>
        <v>36.791880078833266</v>
      </c>
      <c r="J120" s="208">
        <f t="shared" si="4"/>
        <v>0</v>
      </c>
      <c r="K120" s="42">
        <f t="shared" si="5"/>
        <v>0</v>
      </c>
      <c r="L120" s="222"/>
    </row>
    <row r="121" spans="1:12" x14ac:dyDescent="0.25">
      <c r="A121" s="38">
        <f>Données!A121</f>
        <v>5607</v>
      </c>
      <c r="B121" s="167" t="str">
        <f>Données!B121</f>
        <v>Puidoux</v>
      </c>
      <c r="C121" s="321">
        <f>VPI!R121</f>
        <v>117496.04099650904</v>
      </c>
      <c r="D121" s="191">
        <f>(PCS!I127-PCS!F127)/C121</f>
        <v>11.657506598737131</v>
      </c>
      <c r="E121" s="448">
        <f>'Péréquation directe'!E127/C121</f>
        <v>-7.2198853722341232</v>
      </c>
      <c r="F121" s="191">
        <f>'Péréquation directe'!F127/Effort!C121</f>
        <v>-4.3861154361548689</v>
      </c>
      <c r="G121" s="191">
        <f>'Péréquation directe'!G127/Effort!C121</f>
        <v>-9.0522667402261412</v>
      </c>
      <c r="H121" s="191">
        <f>'Péréquation directe'!J127/Effort!C121</f>
        <v>19.118483643972599</v>
      </c>
      <c r="I121" s="341">
        <f t="shared" si="3"/>
        <v>10.117722694094596</v>
      </c>
      <c r="J121" s="208">
        <f t="shared" si="4"/>
        <v>0</v>
      </c>
      <c r="K121" s="42">
        <f t="shared" si="5"/>
        <v>0</v>
      </c>
      <c r="L121" s="222"/>
    </row>
    <row r="122" spans="1:12" x14ac:dyDescent="0.25">
      <c r="A122" s="38">
        <f>Données!A122</f>
        <v>5609</v>
      </c>
      <c r="B122" s="167" t="str">
        <f>Données!B122</f>
        <v>Rivaz</v>
      </c>
      <c r="C122" s="321">
        <f>VPI!R122</f>
        <v>14930.201612903227</v>
      </c>
      <c r="D122" s="191">
        <f>(PCS!I128-PCS!F128)/C122</f>
        <v>11.657506598737129</v>
      </c>
      <c r="E122" s="448">
        <f>'Péréquation directe'!E128/C122</f>
        <v>-2.869084906365833</v>
      </c>
      <c r="F122" s="191">
        <f>'Péréquation directe'!F128/Effort!C122</f>
        <v>-1.1958131390180755</v>
      </c>
      <c r="G122" s="191">
        <f>'Péréquation directe'!G128/Effort!C122</f>
        <v>-5.0181096716171201</v>
      </c>
      <c r="H122" s="191">
        <f>'Péréquation directe'!J128/Effort!C122</f>
        <v>19.118483643972599</v>
      </c>
      <c r="I122" s="341">
        <f t="shared" si="3"/>
        <v>21.6929825257087</v>
      </c>
      <c r="J122" s="208">
        <f t="shared" si="4"/>
        <v>0</v>
      </c>
      <c r="K122" s="42">
        <f t="shared" si="5"/>
        <v>0</v>
      </c>
      <c r="L122" s="222"/>
    </row>
    <row r="123" spans="1:12" x14ac:dyDescent="0.25">
      <c r="A123" s="38">
        <f>Données!A123</f>
        <v>5610</v>
      </c>
      <c r="B123" s="167" t="str">
        <f>Données!B123</f>
        <v>St-Saphorin (Lavaux)</v>
      </c>
      <c r="C123" s="321">
        <f>VPI!R123</f>
        <v>21326.679629629627</v>
      </c>
      <c r="D123" s="191">
        <f>(PCS!I129-PCS!F129)/C123</f>
        <v>12.900861706683852</v>
      </c>
      <c r="E123" s="448">
        <f>'Péréquation directe'!E129/C123</f>
        <v>-2.4320572699635616</v>
      </c>
      <c r="F123" s="191">
        <f>'Péréquation directe'!F129/Effort!C123</f>
        <v>0</v>
      </c>
      <c r="G123" s="191">
        <f>'Péréquation directe'!G129/Effort!C123</f>
        <v>-0.3290794602865294</v>
      </c>
      <c r="H123" s="191">
        <f>'Péréquation directe'!J129/Effort!C123</f>
        <v>19.118483643972599</v>
      </c>
      <c r="I123" s="341">
        <f t="shared" si="3"/>
        <v>29.258208620406361</v>
      </c>
      <c r="J123" s="208">
        <f t="shared" si="4"/>
        <v>0</v>
      </c>
      <c r="K123" s="42">
        <f t="shared" si="5"/>
        <v>0</v>
      </c>
      <c r="L123" s="222"/>
    </row>
    <row r="124" spans="1:12" x14ac:dyDescent="0.25">
      <c r="A124" s="38">
        <f>Données!A124</f>
        <v>5611</v>
      </c>
      <c r="B124" s="167" t="str">
        <f>Données!B124</f>
        <v>Savigny</v>
      </c>
      <c r="C124" s="321">
        <f>VPI!R124</f>
        <v>139629.67036231884</v>
      </c>
      <c r="D124" s="191">
        <f>(PCS!I130-PCS!F130)/C124</f>
        <v>11.657506598737129</v>
      </c>
      <c r="E124" s="448">
        <f>'Péréquation directe'!E130/C124</f>
        <v>-7.6547915161806532</v>
      </c>
      <c r="F124" s="191">
        <f>'Péréquation directe'!F130/Effort!C124</f>
        <v>-3.5689582792677008</v>
      </c>
      <c r="G124" s="191">
        <f>'Péréquation directe'!G130/Effort!C124</f>
        <v>-5.420969811516188</v>
      </c>
      <c r="H124" s="191">
        <f>'Péréquation directe'!J130/Effort!C124</f>
        <v>19.118483643972599</v>
      </c>
      <c r="I124" s="341">
        <f t="shared" si="3"/>
        <v>14.131270635745185</v>
      </c>
      <c r="J124" s="208">
        <f t="shared" si="4"/>
        <v>0</v>
      </c>
      <c r="K124" s="42">
        <f t="shared" si="5"/>
        <v>0</v>
      </c>
      <c r="L124" s="222"/>
    </row>
    <row r="125" spans="1:12" x14ac:dyDescent="0.25">
      <c r="A125" s="38">
        <f>Données!A125</f>
        <v>5613</v>
      </c>
      <c r="B125" s="167" t="str">
        <f>Données!B125</f>
        <v>Bourg-en-Lavaux</v>
      </c>
      <c r="C125" s="321">
        <f>VPI!R125</f>
        <v>367206.35685333336</v>
      </c>
      <c r="D125" s="191">
        <f>(PCS!I131-PCS!F131)/C125</f>
        <v>16.180686455462144</v>
      </c>
      <c r="E125" s="448">
        <f>'Péréquation directe'!E131/C125</f>
        <v>-5.7860283699798769</v>
      </c>
      <c r="F125" s="191">
        <f>'Péréquation directe'!F131/Effort!C125</f>
        <v>0</v>
      </c>
      <c r="G125" s="191">
        <f>'Péréquation directe'!G131/Effort!C125</f>
        <v>0</v>
      </c>
      <c r="H125" s="191">
        <f>'Péréquation directe'!J131/Effort!C125</f>
        <v>19.118483643972599</v>
      </c>
      <c r="I125" s="341">
        <f t="shared" si="3"/>
        <v>29.513141729454865</v>
      </c>
      <c r="J125" s="208">
        <f t="shared" si="4"/>
        <v>0</v>
      </c>
      <c r="K125" s="42">
        <f t="shared" si="5"/>
        <v>0</v>
      </c>
      <c r="L125" s="222"/>
    </row>
    <row r="126" spans="1:12" x14ac:dyDescent="0.25">
      <c r="A126" s="38">
        <f>Données!A126</f>
        <v>5621</v>
      </c>
      <c r="B126" s="167" t="str">
        <f>Données!B126</f>
        <v>Aclens</v>
      </c>
      <c r="C126" s="321">
        <f>VPI!R126</f>
        <v>39203.094076246336</v>
      </c>
      <c r="D126" s="191">
        <f>(PCS!I132-PCS!F132)/C126</f>
        <v>16.594182471769106</v>
      </c>
      <c r="E126" s="448">
        <f>'Péréquation directe'!E132/C126</f>
        <v>-1.8331830786717858</v>
      </c>
      <c r="F126" s="191">
        <f>'Péréquation directe'!F132/Effort!C126</f>
        <v>0</v>
      </c>
      <c r="G126" s="191">
        <f>'Péréquation directe'!G132/Effort!C126</f>
        <v>0</v>
      </c>
      <c r="H126" s="191">
        <f>'Péréquation directe'!J132/Effort!C126</f>
        <v>19.118483643972599</v>
      </c>
      <c r="I126" s="341">
        <f t="shared" si="3"/>
        <v>33.879483037069917</v>
      </c>
      <c r="J126" s="208">
        <f t="shared" si="4"/>
        <v>0</v>
      </c>
      <c r="K126" s="42">
        <f t="shared" si="5"/>
        <v>0</v>
      </c>
      <c r="L126" s="222"/>
    </row>
    <row r="127" spans="1:12" x14ac:dyDescent="0.25">
      <c r="A127" s="38">
        <f>Données!A127</f>
        <v>5622</v>
      </c>
      <c r="B127" s="167" t="str">
        <f>Données!B127</f>
        <v>Bremblens</v>
      </c>
      <c r="C127" s="321">
        <f>VPI!R127</f>
        <v>30852.761617647058</v>
      </c>
      <c r="D127" s="191">
        <f>(PCS!I133-PCS!F133)/C127</f>
        <v>12.352398221671631</v>
      </c>
      <c r="E127" s="448">
        <f>'Péréquation directe'!E133/C127</f>
        <v>-2.5258868060754587</v>
      </c>
      <c r="F127" s="191">
        <f>'Péréquation directe'!F133/Effort!C127</f>
        <v>0</v>
      </c>
      <c r="G127" s="191">
        <f>'Péréquation directe'!G133/Effort!C127</f>
        <v>0</v>
      </c>
      <c r="H127" s="191">
        <f>'Péréquation directe'!J133/Effort!C127</f>
        <v>19.118483643972599</v>
      </c>
      <c r="I127" s="341">
        <f t="shared" si="3"/>
        <v>28.944995059568772</v>
      </c>
      <c r="J127" s="208">
        <f t="shared" si="4"/>
        <v>0</v>
      </c>
      <c r="K127" s="42">
        <f t="shared" si="5"/>
        <v>0</v>
      </c>
      <c r="L127" s="222"/>
    </row>
    <row r="128" spans="1:12" x14ac:dyDescent="0.25">
      <c r="A128" s="38">
        <f>Données!A128</f>
        <v>5623</v>
      </c>
      <c r="B128" s="167" t="str">
        <f>Données!B128</f>
        <v>Buchillon</v>
      </c>
      <c r="C128" s="321">
        <f>VPI!R128</f>
        <v>88403.083461538452</v>
      </c>
      <c r="D128" s="191">
        <f>(PCS!I134-PCS!F134)/C128</f>
        <v>24.858820475838119</v>
      </c>
      <c r="E128" s="448">
        <f>'Péréquation directe'!E134/C128</f>
        <v>-0.97786382191051491</v>
      </c>
      <c r="F128" s="191">
        <f>'Péréquation directe'!F134/Effort!C128</f>
        <v>0</v>
      </c>
      <c r="G128" s="191">
        <f>'Péréquation directe'!G134/Effort!C128</f>
        <v>0</v>
      </c>
      <c r="H128" s="191">
        <f>'Péréquation directe'!J134/Effort!C128</f>
        <v>19.118483643972599</v>
      </c>
      <c r="I128" s="341">
        <f t="shared" si="3"/>
        <v>42.999440297900207</v>
      </c>
      <c r="J128" s="208">
        <f t="shared" si="4"/>
        <v>0</v>
      </c>
      <c r="K128" s="42">
        <f t="shared" si="5"/>
        <v>0</v>
      </c>
      <c r="L128" s="222"/>
    </row>
    <row r="129" spans="1:12" x14ac:dyDescent="0.25">
      <c r="A129" s="38">
        <f>Données!A129</f>
        <v>5624</v>
      </c>
      <c r="B129" s="167" t="str">
        <f>Données!B129</f>
        <v>Bussigny</v>
      </c>
      <c r="C129" s="321">
        <f>VPI!R129</f>
        <v>522420.75055999996</v>
      </c>
      <c r="D129" s="191">
        <f>(PCS!I135-PCS!F135)/C129</f>
        <v>12.10524401791896</v>
      </c>
      <c r="E129" s="448">
        <f>'Péréquation directe'!E135/C129</f>
        <v>-10.68546193134492</v>
      </c>
      <c r="F129" s="191">
        <f>'Péréquation directe'!F135/Effort!C129</f>
        <v>0</v>
      </c>
      <c r="G129" s="191">
        <f>'Péréquation directe'!G135/Effort!C129</f>
        <v>-3.5815328490193821</v>
      </c>
      <c r="H129" s="191">
        <f>'Péréquation directe'!J135/Effort!C129</f>
        <v>19.118483643972599</v>
      </c>
      <c r="I129" s="341">
        <f t="shared" si="3"/>
        <v>16.956732881527259</v>
      </c>
      <c r="J129" s="208">
        <f t="shared" si="4"/>
        <v>0</v>
      </c>
      <c r="K129" s="42">
        <f t="shared" si="5"/>
        <v>0</v>
      </c>
      <c r="L129" s="222"/>
    </row>
    <row r="130" spans="1:12" x14ac:dyDescent="0.25">
      <c r="A130" s="38">
        <f>Données!A130</f>
        <v>5627</v>
      </c>
      <c r="B130" s="167" t="str">
        <f>Données!B130</f>
        <v>Chavannes-près-Renens</v>
      </c>
      <c r="C130" s="321">
        <f>VPI!R130</f>
        <v>188690.75535483871</v>
      </c>
      <c r="D130" s="191">
        <f>(PCS!I136-PCS!F136)/C130</f>
        <v>11.657506598737129</v>
      </c>
      <c r="E130" s="448">
        <f>'Péréquation directe'!E136/C130</f>
        <v>-22.209377547253784</v>
      </c>
      <c r="F130" s="191">
        <f>'Péréquation directe'!F136/Effort!C130</f>
        <v>-29.79722400807319</v>
      </c>
      <c r="G130" s="191">
        <f>'Péréquation directe'!G136/Effort!C130</f>
        <v>-12.303345034075807</v>
      </c>
      <c r="H130" s="191">
        <f>'Péréquation directe'!J136/Effort!C130</f>
        <v>19.118483643972599</v>
      </c>
      <c r="I130" s="341">
        <f t="shared" si="3"/>
        <v>-33.53395634669306</v>
      </c>
      <c r="J130" s="208">
        <f t="shared" si="4"/>
        <v>0</v>
      </c>
      <c r="K130" s="42">
        <f t="shared" si="5"/>
        <v>0</v>
      </c>
      <c r="L130" s="222"/>
    </row>
    <row r="131" spans="1:12" x14ac:dyDescent="0.25">
      <c r="A131" s="38">
        <f>Données!A131</f>
        <v>5628</v>
      </c>
      <c r="B131" s="167" t="str">
        <f>Données!B131</f>
        <v>Chigny</v>
      </c>
      <c r="C131" s="321">
        <f>VPI!R131</f>
        <v>27627.379193548386</v>
      </c>
      <c r="D131" s="191">
        <f>(PCS!I137-PCS!F137)/C131</f>
        <v>15.67286185383403</v>
      </c>
      <c r="E131" s="448">
        <f>'Péréquation directe'!E137/C131</f>
        <v>-1.9567949721711453</v>
      </c>
      <c r="F131" s="191">
        <f>'Péréquation directe'!F137/Effort!C131</f>
        <v>0</v>
      </c>
      <c r="G131" s="191">
        <f>'Péréquation directe'!G137/Effort!C131</f>
        <v>0</v>
      </c>
      <c r="H131" s="191">
        <f>'Péréquation directe'!J137/Effort!C131</f>
        <v>19.118483643972599</v>
      </c>
      <c r="I131" s="341">
        <f t="shared" si="3"/>
        <v>32.834550525635485</v>
      </c>
      <c r="J131" s="208">
        <f t="shared" si="4"/>
        <v>0</v>
      </c>
      <c r="K131" s="42">
        <f t="shared" si="5"/>
        <v>0</v>
      </c>
      <c r="L131" s="222"/>
    </row>
    <row r="132" spans="1:12" x14ac:dyDescent="0.25">
      <c r="A132" s="38">
        <f>Données!A132</f>
        <v>5629</v>
      </c>
      <c r="B132" s="167" t="str">
        <f>Données!B132</f>
        <v>Clarmont</v>
      </c>
      <c r="C132" s="321">
        <f>VPI!R132</f>
        <v>9964.7430555555547</v>
      </c>
      <c r="D132" s="191">
        <f>(PCS!I138-PCS!F138)/C132</f>
        <v>11.657506598737129</v>
      </c>
      <c r="E132" s="448">
        <f>'Péréquation directe'!E138/C132</f>
        <v>-2.7579379321598236</v>
      </c>
      <c r="F132" s="191">
        <f>'Péréquation directe'!F138/Effort!C132</f>
        <v>-0.74754705852496517</v>
      </c>
      <c r="G132" s="191">
        <f>'Péréquation directe'!G138/Effort!C132</f>
        <v>-5.341210643358564</v>
      </c>
      <c r="H132" s="191">
        <f>'Péréquation directe'!J138/Effort!C132</f>
        <v>19.118483643972599</v>
      </c>
      <c r="I132" s="341">
        <f t="shared" si="3"/>
        <v>21.929294608666375</v>
      </c>
      <c r="J132" s="208">
        <f t="shared" si="4"/>
        <v>0</v>
      </c>
      <c r="K132" s="42">
        <f t="shared" si="5"/>
        <v>0</v>
      </c>
      <c r="L132" s="222"/>
    </row>
    <row r="133" spans="1:12" x14ac:dyDescent="0.25">
      <c r="A133" s="38">
        <f>Données!A133</f>
        <v>5631</v>
      </c>
      <c r="B133" s="167" t="str">
        <f>Données!B133</f>
        <v>Denens</v>
      </c>
      <c r="C133" s="321">
        <f>VPI!R133</f>
        <v>41694.310588235297</v>
      </c>
      <c r="D133" s="191">
        <f>(PCS!I139-PCS!F139)/C133</f>
        <v>13.97044622053976</v>
      </c>
      <c r="E133" s="448">
        <f>'Péréquation directe'!E139/C133</f>
        <v>-2.2125863764136522</v>
      </c>
      <c r="F133" s="191">
        <f>'Péréquation directe'!F139/Effort!C133</f>
        <v>0</v>
      </c>
      <c r="G133" s="191">
        <f>'Péréquation directe'!G139/Effort!C133</f>
        <v>0</v>
      </c>
      <c r="H133" s="191">
        <f>'Péréquation directe'!J139/Effort!C133</f>
        <v>19.118483643972599</v>
      </c>
      <c r="I133" s="341">
        <f t="shared" si="3"/>
        <v>30.876343488098705</v>
      </c>
      <c r="J133" s="208">
        <f t="shared" si="4"/>
        <v>0</v>
      </c>
      <c r="K133" s="42">
        <f t="shared" si="5"/>
        <v>0</v>
      </c>
      <c r="L133" s="222"/>
    </row>
    <row r="134" spans="1:12" x14ac:dyDescent="0.25">
      <c r="A134" s="38">
        <f>Données!A134</f>
        <v>5632</v>
      </c>
      <c r="B134" s="167" t="str">
        <f>Données!B134</f>
        <v>Denges</v>
      </c>
      <c r="C134" s="321">
        <f>VPI!R134</f>
        <v>81642.531612903229</v>
      </c>
      <c r="D134" s="191">
        <f>(PCS!I140-PCS!F140)/C134</f>
        <v>11.657506598737127</v>
      </c>
      <c r="E134" s="448">
        <f>'Péréquation directe'!E140/C134</f>
        <v>-5.022998845708269</v>
      </c>
      <c r="F134" s="191">
        <f>'Péréquation directe'!F140/Effort!C134</f>
        <v>-0.85404944812454198</v>
      </c>
      <c r="G134" s="191">
        <f>'Péréquation directe'!G140/Effort!C134</f>
        <v>-2.1248919759754568</v>
      </c>
      <c r="H134" s="191">
        <f>'Péréquation directe'!J140/Effort!C134</f>
        <v>19.118483643972599</v>
      </c>
      <c r="I134" s="341">
        <f t="shared" si="3"/>
        <v>22.774049972901459</v>
      </c>
      <c r="J134" s="208">
        <f t="shared" si="4"/>
        <v>0</v>
      </c>
      <c r="K134" s="42">
        <f t="shared" si="5"/>
        <v>0</v>
      </c>
      <c r="L134" s="222"/>
    </row>
    <row r="135" spans="1:12" x14ac:dyDescent="0.25">
      <c r="A135" s="38">
        <f>Données!A135</f>
        <v>5633</v>
      </c>
      <c r="B135" s="167" t="str">
        <f>Données!B135</f>
        <v>Echandens</v>
      </c>
      <c r="C135" s="321">
        <f>VPI!R135</f>
        <v>149835.3479338843</v>
      </c>
      <c r="D135" s="191">
        <f>(PCS!I141-PCS!F141)/C135</f>
        <v>12.44134777894581</v>
      </c>
      <c r="E135" s="448">
        <f>'Péréquation directe'!E141/C135</f>
        <v>-5.4204912146706254</v>
      </c>
      <c r="F135" s="191">
        <f>'Péréquation directe'!F141/Effort!C135</f>
        <v>0</v>
      </c>
      <c r="G135" s="191">
        <f>'Péréquation directe'!G141/Effort!C135</f>
        <v>-5.6393562937468147</v>
      </c>
      <c r="H135" s="191">
        <f>'Péréquation directe'!J141/Effort!C135</f>
        <v>19.118483643972599</v>
      </c>
      <c r="I135" s="341">
        <f t="shared" ref="I135:I198" si="6">SUM(D135:H135)</f>
        <v>20.499983914500969</v>
      </c>
      <c r="J135" s="208">
        <f t="shared" ref="J135:J198" si="7">IF(I135&gt;J$5,I135-J$5,0)</f>
        <v>0</v>
      </c>
      <c r="K135" s="42">
        <f t="shared" ref="K135:K198" si="8">-J135*C135</f>
        <v>0</v>
      </c>
      <c r="L135" s="222"/>
    </row>
    <row r="136" spans="1:12" x14ac:dyDescent="0.25">
      <c r="A136" s="38">
        <f>Données!A136</f>
        <v>5634</v>
      </c>
      <c r="B136" s="167" t="str">
        <f>Données!B136</f>
        <v>Echichens</v>
      </c>
      <c r="C136" s="321">
        <f>VPI!R136</f>
        <v>183137.63424242428</v>
      </c>
      <c r="D136" s="191">
        <f>(PCS!I142-PCS!F142)/C136</f>
        <v>13.639479370203301</v>
      </c>
      <c r="E136" s="448">
        <f>'Péréquation directe'!E142/C136</f>
        <v>-5.2444476438690746</v>
      </c>
      <c r="F136" s="191">
        <f>'Péréquation directe'!F142/Effort!C136</f>
        <v>0</v>
      </c>
      <c r="G136" s="191">
        <f>'Péréquation directe'!G142/Effort!C136</f>
        <v>-0.34757025670209801</v>
      </c>
      <c r="H136" s="191">
        <f>'Péréquation directe'!J142/Effort!C136</f>
        <v>19.118483643972599</v>
      </c>
      <c r="I136" s="341">
        <f t="shared" si="6"/>
        <v>27.165945113604728</v>
      </c>
      <c r="J136" s="208">
        <f t="shared" si="7"/>
        <v>0</v>
      </c>
      <c r="K136" s="42">
        <f t="shared" si="8"/>
        <v>0</v>
      </c>
      <c r="L136" s="222"/>
    </row>
    <row r="137" spans="1:12" x14ac:dyDescent="0.25">
      <c r="A137" s="38">
        <f>Données!A137</f>
        <v>5635</v>
      </c>
      <c r="B137" s="167" t="str">
        <f>Données!B137</f>
        <v>Ecublens</v>
      </c>
      <c r="C137" s="321">
        <f>VPI!R137</f>
        <v>516165.47293333331</v>
      </c>
      <c r="D137" s="191">
        <f>(PCS!I143-PCS!F143)/C137</f>
        <v>11.657506598737129</v>
      </c>
      <c r="E137" s="448">
        <f>'Péréquation directe'!E143/C137</f>
        <v>-15.805890080183541</v>
      </c>
      <c r="F137" s="191">
        <f>'Péréquation directe'!F143/Effort!C137</f>
        <v>-3.6358563530635468</v>
      </c>
      <c r="G137" s="191">
        <f>'Péréquation directe'!G143/Effort!C137</f>
        <v>-7.2019538449061091</v>
      </c>
      <c r="H137" s="191">
        <f>'Péréquation directe'!J143/Effort!C137</f>
        <v>19.118483643972603</v>
      </c>
      <c r="I137" s="341">
        <f t="shared" si="6"/>
        <v>4.1322899645565343</v>
      </c>
      <c r="J137" s="208">
        <f t="shared" si="7"/>
        <v>0</v>
      </c>
      <c r="K137" s="42">
        <f t="shared" si="8"/>
        <v>0</v>
      </c>
      <c r="L137" s="222"/>
    </row>
    <row r="138" spans="1:12" x14ac:dyDescent="0.25">
      <c r="A138" s="38">
        <f>Données!A138</f>
        <v>5636</v>
      </c>
      <c r="B138" s="167" t="str">
        <f>Données!B138</f>
        <v>Etoy</v>
      </c>
      <c r="C138" s="321">
        <f>VPI!R138</f>
        <v>189458.35050000003</v>
      </c>
      <c r="D138" s="191">
        <f>(PCS!I144-PCS!F144)/C138</f>
        <v>15.225752477193122</v>
      </c>
      <c r="E138" s="448">
        <f>'Péréquation directe'!E144/C138</f>
        <v>-4.3764804369893682</v>
      </c>
      <c r="F138" s="191">
        <f>'Péréquation directe'!F144/Effort!C138</f>
        <v>0</v>
      </c>
      <c r="G138" s="191">
        <f>'Péréquation directe'!G144/Effort!C138</f>
        <v>0</v>
      </c>
      <c r="H138" s="191">
        <f>'Péréquation directe'!J144/Effort!C138</f>
        <v>19.118483643972599</v>
      </c>
      <c r="I138" s="341">
        <f t="shared" si="6"/>
        <v>29.967755684176353</v>
      </c>
      <c r="J138" s="208">
        <f t="shared" si="7"/>
        <v>0</v>
      </c>
      <c r="K138" s="42">
        <f t="shared" si="8"/>
        <v>0</v>
      </c>
      <c r="L138" s="222"/>
    </row>
    <row r="139" spans="1:12" x14ac:dyDescent="0.25">
      <c r="A139" s="38">
        <f>Données!A139</f>
        <v>5637</v>
      </c>
      <c r="B139" s="167" t="str">
        <f>Données!B139</f>
        <v>Lavigny</v>
      </c>
      <c r="C139" s="321">
        <f>VPI!R139</f>
        <v>36293.809863013703</v>
      </c>
      <c r="D139" s="191">
        <f>(PCS!I145-PCS!F145)/C139</f>
        <v>11.657506598737131</v>
      </c>
      <c r="E139" s="448">
        <f>'Péréquation directe'!E145/C139</f>
        <v>-3.9332413549886311</v>
      </c>
      <c r="F139" s="191">
        <f>'Péréquation directe'!F145/Effort!C139</f>
        <v>-8.2267927183446066</v>
      </c>
      <c r="G139" s="191">
        <f>'Péréquation directe'!G145/Effort!C139</f>
        <v>-7.466304635548024</v>
      </c>
      <c r="H139" s="191">
        <f>'Péréquation directe'!J145/Effort!C139</f>
        <v>19.118483643972599</v>
      </c>
      <c r="I139" s="341">
        <f t="shared" si="6"/>
        <v>11.149651533828468</v>
      </c>
      <c r="J139" s="208">
        <f t="shared" si="7"/>
        <v>0</v>
      </c>
      <c r="K139" s="42">
        <f t="shared" si="8"/>
        <v>0</v>
      </c>
      <c r="L139" s="222"/>
    </row>
    <row r="140" spans="1:12" x14ac:dyDescent="0.25">
      <c r="A140" s="38">
        <f>Données!A140</f>
        <v>5638</v>
      </c>
      <c r="B140" s="167" t="str">
        <f>Données!B140</f>
        <v>Lonay</v>
      </c>
      <c r="C140" s="321">
        <f>VPI!R140</f>
        <v>153893.84090909091</v>
      </c>
      <c r="D140" s="191">
        <f>(PCS!I146-PCS!F146)/C140</f>
        <v>13.38974005616671</v>
      </c>
      <c r="E140" s="448">
        <f>'Péréquation directe'!E146/C140</f>
        <v>-4.7704793120311724</v>
      </c>
      <c r="F140" s="191">
        <f>'Péréquation directe'!F146/Effort!C140</f>
        <v>0</v>
      </c>
      <c r="G140" s="191">
        <f>'Péréquation directe'!G146/Effort!C140</f>
        <v>-3.195943071146004</v>
      </c>
      <c r="H140" s="191">
        <f>'Péréquation directe'!J146/Effort!C140</f>
        <v>19.118483643972599</v>
      </c>
      <c r="I140" s="341">
        <f t="shared" si="6"/>
        <v>24.541801316962133</v>
      </c>
      <c r="J140" s="208">
        <f t="shared" si="7"/>
        <v>0</v>
      </c>
      <c r="K140" s="42">
        <f t="shared" si="8"/>
        <v>0</v>
      </c>
      <c r="L140" s="222"/>
    </row>
    <row r="141" spans="1:12" x14ac:dyDescent="0.25">
      <c r="A141" s="38">
        <f>Données!A141</f>
        <v>5639</v>
      </c>
      <c r="B141" s="167" t="str">
        <f>Données!B141</f>
        <v>Lully</v>
      </c>
      <c r="C141" s="321">
        <f>VPI!R141</f>
        <v>52242.173114754092</v>
      </c>
      <c r="D141" s="191">
        <f>(PCS!I147-PCS!F147)/C141</f>
        <v>15.016069162669163</v>
      </c>
      <c r="E141" s="448">
        <f>'Péréquation directe'!E147/C141</f>
        <v>-2.0375285553931275</v>
      </c>
      <c r="F141" s="191">
        <f>'Péréquation directe'!F147/Effort!C141</f>
        <v>0</v>
      </c>
      <c r="G141" s="191">
        <f>'Péréquation directe'!G147/Effort!C141</f>
        <v>0</v>
      </c>
      <c r="H141" s="191">
        <f>'Péréquation directe'!J147/Effort!C141</f>
        <v>19.118483643972599</v>
      </c>
      <c r="I141" s="341">
        <f t="shared" si="6"/>
        <v>32.097024251248634</v>
      </c>
      <c r="J141" s="208">
        <f t="shared" si="7"/>
        <v>0</v>
      </c>
      <c r="K141" s="42">
        <f t="shared" si="8"/>
        <v>0</v>
      </c>
      <c r="L141" s="222"/>
    </row>
    <row r="142" spans="1:12" x14ac:dyDescent="0.25">
      <c r="A142" s="38">
        <f>Données!A142</f>
        <v>5640</v>
      </c>
      <c r="B142" s="167" t="str">
        <f>Données!B142</f>
        <v>Lussy-sur-Morges</v>
      </c>
      <c r="C142" s="321">
        <f>VPI!R142</f>
        <v>57771.49271317829</v>
      </c>
      <c r="D142" s="191">
        <f>(PCS!I148-PCS!F148)/C142</f>
        <v>18.890294593136293</v>
      </c>
      <c r="E142" s="448">
        <f>'Péréquation directe'!E148/C142</f>
        <v>-1.6303477949262326</v>
      </c>
      <c r="F142" s="191">
        <f>'Péréquation directe'!F148/Effort!C142</f>
        <v>0</v>
      </c>
      <c r="G142" s="191">
        <f>'Péréquation directe'!G148/Effort!C142</f>
        <v>0</v>
      </c>
      <c r="H142" s="191">
        <f>'Péréquation directe'!J148/Effort!C142</f>
        <v>19.118483643972599</v>
      </c>
      <c r="I142" s="341">
        <f t="shared" si="6"/>
        <v>36.378430442182662</v>
      </c>
      <c r="J142" s="208">
        <f t="shared" si="7"/>
        <v>0</v>
      </c>
      <c r="K142" s="42">
        <f t="shared" si="8"/>
        <v>0</v>
      </c>
      <c r="L142" s="222"/>
    </row>
    <row r="143" spans="1:12" x14ac:dyDescent="0.25">
      <c r="A143" s="38">
        <f>Données!A143</f>
        <v>5642</v>
      </c>
      <c r="B143" s="167" t="str">
        <f>Données!B143</f>
        <v>Morges</v>
      </c>
      <c r="C143" s="321">
        <f>VPI!R143</f>
        <v>980547.23447761196</v>
      </c>
      <c r="D143" s="191">
        <f>(PCS!I149-PCS!F149)/C143</f>
        <v>13.445746676366809</v>
      </c>
      <c r="E143" s="448">
        <f>'Péréquation directe'!E149/C143</f>
        <v>-13.086273464805915</v>
      </c>
      <c r="F143" s="191">
        <f>'Péréquation directe'!F149/Effort!C143</f>
        <v>0</v>
      </c>
      <c r="G143" s="191">
        <f>'Péréquation directe'!G149/Effort!C143</f>
        <v>-1.3315978539574782</v>
      </c>
      <c r="H143" s="191">
        <f>'Péréquation directe'!J149/Effort!C143</f>
        <v>19.118483643972599</v>
      </c>
      <c r="I143" s="341">
        <f t="shared" si="6"/>
        <v>18.146359001576016</v>
      </c>
      <c r="J143" s="208">
        <f t="shared" si="7"/>
        <v>0</v>
      </c>
      <c r="K143" s="42">
        <f t="shared" si="8"/>
        <v>0</v>
      </c>
      <c r="L143" s="222"/>
    </row>
    <row r="144" spans="1:12" x14ac:dyDescent="0.25">
      <c r="A144" s="38">
        <f>Données!A144</f>
        <v>5643</v>
      </c>
      <c r="B144" s="167" t="str">
        <f>Données!B144</f>
        <v>Préverenges</v>
      </c>
      <c r="C144" s="321">
        <f>VPI!R144</f>
        <v>252724.38943999997</v>
      </c>
      <c r="D144" s="191">
        <f>(PCS!I150-PCS!F150)/C144</f>
        <v>11.669386486441828</v>
      </c>
      <c r="E144" s="448">
        <f>'Péréquation directe'!E150/C144</f>
        <v>-7.9659487621446869</v>
      </c>
      <c r="F144" s="191">
        <f>'Péréquation directe'!F150/Effort!C144</f>
        <v>0</v>
      </c>
      <c r="G144" s="191">
        <f>'Péréquation directe'!G150/Effort!C144</f>
        <v>0</v>
      </c>
      <c r="H144" s="191">
        <f>'Péréquation directe'!J150/Effort!C144</f>
        <v>19.118483643972599</v>
      </c>
      <c r="I144" s="341">
        <f t="shared" si="6"/>
        <v>22.821921368269741</v>
      </c>
      <c r="J144" s="208">
        <f t="shared" si="7"/>
        <v>0</v>
      </c>
      <c r="K144" s="42">
        <f t="shared" si="8"/>
        <v>0</v>
      </c>
      <c r="L144" s="222"/>
    </row>
    <row r="145" spans="1:12" x14ac:dyDescent="0.25">
      <c r="A145" s="38">
        <f>Données!A145</f>
        <v>5645</v>
      </c>
      <c r="B145" s="167" t="str">
        <f>Données!B145</f>
        <v>Romanel-sur-Morges</v>
      </c>
      <c r="C145" s="321">
        <f>VPI!R145</f>
        <v>23768.997321428575</v>
      </c>
      <c r="D145" s="191">
        <f>(PCS!I151-PCS!F151)/C145</f>
        <v>12.397005445201369</v>
      </c>
      <c r="E145" s="448">
        <f>'Péréquation directe'!E151/C145</f>
        <v>-2.4861401409148272</v>
      </c>
      <c r="F145" s="191">
        <f>'Péréquation directe'!F151/Effort!C145</f>
        <v>0</v>
      </c>
      <c r="G145" s="191">
        <f>'Péréquation directe'!G151/Effort!C145</f>
        <v>-1.1461260104088911</v>
      </c>
      <c r="H145" s="191">
        <f>'Péréquation directe'!J151/Effort!C145</f>
        <v>19.118483643972599</v>
      </c>
      <c r="I145" s="341">
        <f t="shared" si="6"/>
        <v>27.883222937850249</v>
      </c>
      <c r="J145" s="208">
        <f t="shared" si="7"/>
        <v>0</v>
      </c>
      <c r="K145" s="42">
        <f t="shared" si="8"/>
        <v>0</v>
      </c>
      <c r="L145" s="222"/>
    </row>
    <row r="146" spans="1:12" x14ac:dyDescent="0.25">
      <c r="A146" s="38">
        <f>Données!A146</f>
        <v>5646</v>
      </c>
      <c r="B146" s="167" t="str">
        <f>Données!B146</f>
        <v>Saint-Prex</v>
      </c>
      <c r="C146" s="321">
        <f>VPI!R146</f>
        <v>515578.26330508466</v>
      </c>
      <c r="D146" s="191">
        <f>(PCS!I152-PCS!F152)/C146</f>
        <v>19.938982993324668</v>
      </c>
      <c r="E146" s="448">
        <f>'Péréquation directe'!E152/C146</f>
        <v>-4.7059261650852671</v>
      </c>
      <c r="F146" s="191">
        <f>'Péréquation directe'!F152/Effort!C146</f>
        <v>0</v>
      </c>
      <c r="G146" s="191">
        <f>'Péréquation directe'!G152/Effort!C146</f>
        <v>0</v>
      </c>
      <c r="H146" s="191">
        <f>'Péréquation directe'!J152/Effort!C146</f>
        <v>19.118483643972599</v>
      </c>
      <c r="I146" s="341">
        <f t="shared" si="6"/>
        <v>34.351540472212001</v>
      </c>
      <c r="J146" s="208">
        <f t="shared" si="7"/>
        <v>0</v>
      </c>
      <c r="K146" s="42">
        <f t="shared" si="8"/>
        <v>0</v>
      </c>
      <c r="L146" s="222"/>
    </row>
    <row r="147" spans="1:12" x14ac:dyDescent="0.25">
      <c r="A147" s="38">
        <f>Données!A147</f>
        <v>5648</v>
      </c>
      <c r="B147" s="167" t="str">
        <f>Données!B147</f>
        <v>Saint-Sulpice</v>
      </c>
      <c r="C147" s="321">
        <f>VPI!R147</f>
        <v>417040.44568181824</v>
      </c>
      <c r="D147" s="191">
        <f>(PCS!I153-PCS!F153)/C147</f>
        <v>18.527192441580766</v>
      </c>
      <c r="E147" s="448">
        <f>'Péréquation directe'!E153/C147</f>
        <v>-4.5704149491010417</v>
      </c>
      <c r="F147" s="191">
        <f>'Péréquation directe'!F153/Effort!C147</f>
        <v>0</v>
      </c>
      <c r="G147" s="191">
        <f>'Péréquation directe'!G153/Effort!C147</f>
        <v>-3.6748855535701668E-3</v>
      </c>
      <c r="H147" s="191">
        <f>'Péréquation directe'!J153/Effort!C147</f>
        <v>19.118483643972599</v>
      </c>
      <c r="I147" s="341">
        <f t="shared" si="6"/>
        <v>33.071586250898754</v>
      </c>
      <c r="J147" s="208">
        <f t="shared" si="7"/>
        <v>0</v>
      </c>
      <c r="K147" s="42">
        <f t="shared" si="8"/>
        <v>0</v>
      </c>
      <c r="L147" s="222"/>
    </row>
    <row r="148" spans="1:12" x14ac:dyDescent="0.25">
      <c r="A148" s="38">
        <f>Données!A148</f>
        <v>5649</v>
      </c>
      <c r="B148" s="167" t="str">
        <f>Données!B148</f>
        <v>Tolochenaz</v>
      </c>
      <c r="C148" s="321">
        <f>VPI!R148</f>
        <v>173464.05234375002</v>
      </c>
      <c r="D148" s="191">
        <f>(PCS!I154-PCS!F154)/C148</f>
        <v>21.371673296524111</v>
      </c>
      <c r="E148" s="448">
        <f>'Péréquation directe'!E154/C148</f>
        <v>-2.5973814620129465</v>
      </c>
      <c r="F148" s="191">
        <f>'Péréquation directe'!F154/Effort!C148</f>
        <v>0</v>
      </c>
      <c r="G148" s="191">
        <f>'Péréquation directe'!G154/Effort!C148</f>
        <v>0</v>
      </c>
      <c r="H148" s="191">
        <f>'Péréquation directe'!J154/Effort!C148</f>
        <v>19.118483643972599</v>
      </c>
      <c r="I148" s="341">
        <f t="shared" si="6"/>
        <v>37.892775478483763</v>
      </c>
      <c r="J148" s="208">
        <f t="shared" si="7"/>
        <v>0</v>
      </c>
      <c r="K148" s="42">
        <f t="shared" si="8"/>
        <v>0</v>
      </c>
      <c r="L148" s="222"/>
    </row>
    <row r="149" spans="1:12" x14ac:dyDescent="0.25">
      <c r="A149" s="38">
        <f>Données!A149</f>
        <v>5650</v>
      </c>
      <c r="B149" s="167" t="str">
        <f>Données!B149</f>
        <v>Vaux-sur-Morges</v>
      </c>
      <c r="C149" s="321">
        <f>VPI!R149</f>
        <v>90407.863928571445</v>
      </c>
      <c r="D149" s="191">
        <f>(PCS!I155-PCS!F155)/C149</f>
        <v>39.869785149699133</v>
      </c>
      <c r="E149" s="448">
        <f>'Péréquation directe'!E155/C149</f>
        <v>-0.26401980716703338</v>
      </c>
      <c r="F149" s="191">
        <f>'Péréquation directe'!F155/Effort!C149</f>
        <v>0</v>
      </c>
      <c r="G149" s="191">
        <f>'Péréquation directe'!G155/Effort!C149</f>
        <v>0</v>
      </c>
      <c r="H149" s="191">
        <f>'Péréquation directe'!J155/Effort!C149</f>
        <v>19.118483643972599</v>
      </c>
      <c r="I149" s="341">
        <f t="shared" si="6"/>
        <v>58.724248986504705</v>
      </c>
      <c r="J149" s="208">
        <f t="shared" si="7"/>
        <v>10.724248986504705</v>
      </c>
      <c r="K149" s="42">
        <f t="shared" si="8"/>
        <v>-969556.44310803758</v>
      </c>
      <c r="L149" s="222"/>
    </row>
    <row r="150" spans="1:12" x14ac:dyDescent="0.25">
      <c r="A150" s="38">
        <f>Données!A150</f>
        <v>5651</v>
      </c>
      <c r="B150" s="167" t="str">
        <f>Données!B150</f>
        <v>Villars-Sainte-Croix</v>
      </c>
      <c r="C150" s="321">
        <f>VPI!R150</f>
        <v>56008.147272727285</v>
      </c>
      <c r="D150" s="191">
        <f>(PCS!I156-PCS!F156)/C150</f>
        <v>13.516258877836687</v>
      </c>
      <c r="E150" s="448">
        <f>'Péréquation directe'!E156/C150</f>
        <v>-2.2529867497248492</v>
      </c>
      <c r="F150" s="191">
        <f>'Péréquation directe'!F156/Effort!C150</f>
        <v>0</v>
      </c>
      <c r="G150" s="191">
        <f>'Péréquation directe'!G156/Effort!C150</f>
        <v>-1.7422887761037087</v>
      </c>
      <c r="H150" s="191">
        <f>'Péréquation directe'!J156/Effort!C150</f>
        <v>19.118483643972599</v>
      </c>
      <c r="I150" s="341">
        <f t="shared" si="6"/>
        <v>28.63946699598073</v>
      </c>
      <c r="J150" s="208">
        <f t="shared" si="7"/>
        <v>0</v>
      </c>
      <c r="K150" s="42">
        <f t="shared" si="8"/>
        <v>0</v>
      </c>
      <c r="L150" s="222"/>
    </row>
    <row r="151" spans="1:12" x14ac:dyDescent="0.25">
      <c r="A151" s="38">
        <f>Données!A151</f>
        <v>5652</v>
      </c>
      <c r="B151" s="167" t="str">
        <f>Données!B151</f>
        <v>Villars-sous-Yens</v>
      </c>
      <c r="C151" s="321">
        <f>VPI!R151</f>
        <v>25957.212521929825</v>
      </c>
      <c r="D151" s="191">
        <f>(PCS!I157-PCS!F157)/C151</f>
        <v>11.657506598737131</v>
      </c>
      <c r="E151" s="448">
        <f>'Péréquation directe'!E157/C151</f>
        <v>-3.0569480073227835</v>
      </c>
      <c r="F151" s="191">
        <f>'Péréquation directe'!F157/Effort!C151</f>
        <v>-3.4260620579560115</v>
      </c>
      <c r="G151" s="191">
        <f>'Péréquation directe'!G157/Effort!C151</f>
        <v>-7.2804995801749115</v>
      </c>
      <c r="H151" s="191">
        <f>'Péréquation directe'!J157/Effort!C151</f>
        <v>19.118483643972599</v>
      </c>
      <c r="I151" s="341">
        <f t="shared" si="6"/>
        <v>17.012480597256022</v>
      </c>
      <c r="J151" s="208">
        <f t="shared" si="7"/>
        <v>0</v>
      </c>
      <c r="K151" s="42">
        <f t="shared" si="8"/>
        <v>0</v>
      </c>
      <c r="L151" s="222"/>
    </row>
    <row r="152" spans="1:12" x14ac:dyDescent="0.25">
      <c r="A152" s="38">
        <f>Données!A152</f>
        <v>5653</v>
      </c>
      <c r="B152" s="167" t="str">
        <f>Données!B152</f>
        <v>Vufflens-le-Château</v>
      </c>
      <c r="C152" s="321">
        <f>VPI!R152</f>
        <v>71346.970598290602</v>
      </c>
      <c r="D152" s="191">
        <f>(PCS!I158-PCS!F158)/C152</f>
        <v>18.545102659650176</v>
      </c>
      <c r="E152" s="448">
        <f>'Péréquation directe'!E158/C152</f>
        <v>-1.5986291093783174</v>
      </c>
      <c r="F152" s="191">
        <f>'Péréquation directe'!F158/Effort!C152</f>
        <v>0</v>
      </c>
      <c r="G152" s="191">
        <f>'Péréquation directe'!G158/Effort!C152</f>
        <v>0</v>
      </c>
      <c r="H152" s="191">
        <f>'Péréquation directe'!J158/Effort!C152</f>
        <v>19.118483643972599</v>
      </c>
      <c r="I152" s="341">
        <f t="shared" si="6"/>
        <v>36.064957194244457</v>
      </c>
      <c r="J152" s="208">
        <f t="shared" si="7"/>
        <v>0</v>
      </c>
      <c r="K152" s="42">
        <f t="shared" si="8"/>
        <v>0</v>
      </c>
      <c r="L152" s="222"/>
    </row>
    <row r="153" spans="1:12" x14ac:dyDescent="0.25">
      <c r="A153" s="38">
        <f>Données!A153</f>
        <v>5654</v>
      </c>
      <c r="B153" s="167" t="str">
        <f>Données!B153</f>
        <v>Vullierens</v>
      </c>
      <c r="C153" s="321">
        <f>VPI!R153</f>
        <v>20741.31131578947</v>
      </c>
      <c r="D153" s="191">
        <f>(PCS!I159-PCS!F159)/C153</f>
        <v>11.657506598737129</v>
      </c>
      <c r="E153" s="448">
        <f>'Péréquation directe'!E159/C153</f>
        <v>-3.4959973510112179</v>
      </c>
      <c r="F153" s="191">
        <f>'Péréquation directe'!F159/Effort!C153</f>
        <v>-7.2336911993732729</v>
      </c>
      <c r="G153" s="191">
        <f>'Péréquation directe'!G159/Effort!C153</f>
        <v>-2.1514494154134285</v>
      </c>
      <c r="H153" s="191">
        <f>'Péréquation directe'!J159/Effort!C153</f>
        <v>19.118483643972599</v>
      </c>
      <c r="I153" s="341">
        <f t="shared" si="6"/>
        <v>17.894852276911809</v>
      </c>
      <c r="J153" s="208">
        <f t="shared" si="7"/>
        <v>0</v>
      </c>
      <c r="K153" s="42">
        <f t="shared" si="8"/>
        <v>0</v>
      </c>
      <c r="L153" s="222"/>
    </row>
    <row r="154" spans="1:12" x14ac:dyDescent="0.25">
      <c r="A154" s="38">
        <f>Données!A154</f>
        <v>5655</v>
      </c>
      <c r="B154" s="167" t="str">
        <f>Données!B154</f>
        <v>Yens</v>
      </c>
      <c r="C154" s="321">
        <f>VPI!R154</f>
        <v>81488.710349650341</v>
      </c>
      <c r="D154" s="191">
        <f>(PCS!I160-PCS!F160)/C154</f>
        <v>13.08813404004874</v>
      </c>
      <c r="E154" s="448">
        <f>'Péréquation directe'!E160/C154</f>
        <v>-3.8576439019654321</v>
      </c>
      <c r="F154" s="191">
        <f>'Péréquation directe'!F160/Effort!C154</f>
        <v>0</v>
      </c>
      <c r="G154" s="191">
        <f>'Péréquation directe'!G160/Effort!C154</f>
        <v>0</v>
      </c>
      <c r="H154" s="191">
        <f>'Péréquation directe'!J160/Effort!C154</f>
        <v>19.118483643972599</v>
      </c>
      <c r="I154" s="341">
        <f t="shared" si="6"/>
        <v>28.348973782055907</v>
      </c>
      <c r="J154" s="208">
        <f t="shared" si="7"/>
        <v>0</v>
      </c>
      <c r="K154" s="42">
        <f t="shared" si="8"/>
        <v>0</v>
      </c>
      <c r="L154" s="222"/>
    </row>
    <row r="155" spans="1:12" x14ac:dyDescent="0.25">
      <c r="A155" s="38">
        <f>Données!A155</f>
        <v>5656</v>
      </c>
      <c r="B155" s="167" t="str">
        <f>Données!B155</f>
        <v>Hautemorges</v>
      </c>
      <c r="C155" s="321">
        <f>VPI!R155</f>
        <v>168934.99020689653</v>
      </c>
      <c r="D155" s="191">
        <f>(PCS!I161-PCS!F161)/C155</f>
        <v>11.657506598737129</v>
      </c>
      <c r="E155" s="448">
        <f>'Péréquation directe'!E161/C155</f>
        <v>-8.8808881730292235</v>
      </c>
      <c r="F155" s="191">
        <f>'Péréquation directe'!F161/Effort!C155</f>
        <v>-4.6514875180276798</v>
      </c>
      <c r="G155" s="191">
        <f>'Péréquation directe'!G161/Effort!C155</f>
        <v>-5.8303467203399961</v>
      </c>
      <c r="H155" s="191">
        <f>'Péréquation directe'!J161/Effort!C155</f>
        <v>19.118483643972599</v>
      </c>
      <c r="I155" s="341">
        <f t="shared" si="6"/>
        <v>11.41326783131283</v>
      </c>
      <c r="J155" s="208">
        <f t="shared" si="7"/>
        <v>0</v>
      </c>
      <c r="K155" s="42">
        <f t="shared" si="8"/>
        <v>0</v>
      </c>
      <c r="L155" s="222"/>
    </row>
    <row r="156" spans="1:12" x14ac:dyDescent="0.25">
      <c r="A156" s="38">
        <f>Données!A156</f>
        <v>5661</v>
      </c>
      <c r="B156" s="167" t="str">
        <f>Données!B156</f>
        <v>Boulens</v>
      </c>
      <c r="C156" s="321">
        <f>VPI!R156</f>
        <v>11008.776923076925</v>
      </c>
      <c r="D156" s="191">
        <f>(PCS!I162-PCS!F162)/C156</f>
        <v>11.657506598737129</v>
      </c>
      <c r="E156" s="448">
        <f>'Péréquation directe'!E162/C156</f>
        <v>-4.4888045084573962</v>
      </c>
      <c r="F156" s="191">
        <f>'Péréquation directe'!F162/Effort!C156</f>
        <v>-14.023064446084319</v>
      </c>
      <c r="G156" s="191">
        <f>'Péréquation directe'!G162/Effort!C156</f>
        <v>-1.3285541047318179</v>
      </c>
      <c r="H156" s="191">
        <f>'Péréquation directe'!J162/Effort!C156</f>
        <v>19.118483643972599</v>
      </c>
      <c r="I156" s="341">
        <f t="shared" si="6"/>
        <v>10.935567183436195</v>
      </c>
      <c r="J156" s="208">
        <f t="shared" si="7"/>
        <v>0</v>
      </c>
      <c r="K156" s="42">
        <f t="shared" si="8"/>
        <v>0</v>
      </c>
      <c r="L156" s="222"/>
    </row>
    <row r="157" spans="1:12" x14ac:dyDescent="0.25">
      <c r="A157" s="38">
        <f>Données!A157</f>
        <v>5663</v>
      </c>
      <c r="B157" s="167" t="str">
        <f>Données!B157</f>
        <v>Bussy-sur-Moudon</v>
      </c>
      <c r="C157" s="321">
        <f>VPI!R157</f>
        <v>6460.7661146496821</v>
      </c>
      <c r="D157" s="191">
        <f>(PCS!I163-PCS!F163)/C157</f>
        <v>11.657506598737127</v>
      </c>
      <c r="E157" s="448">
        <f>'Péréquation directe'!E163/C157</f>
        <v>-4.9127207322761857</v>
      </c>
      <c r="F157" s="191">
        <f>'Péréquation directe'!F163/Effort!C157</f>
        <v>-20.825481649651248</v>
      </c>
      <c r="G157" s="191">
        <f>'Péréquation directe'!G163/Effort!C157</f>
        <v>0</v>
      </c>
      <c r="H157" s="191">
        <f>'Péréquation directe'!J163/Effort!C157</f>
        <v>19.118483643972599</v>
      </c>
      <c r="I157" s="341">
        <f t="shared" si="6"/>
        <v>5.0377878607822915</v>
      </c>
      <c r="J157" s="208">
        <f t="shared" si="7"/>
        <v>0</v>
      </c>
      <c r="K157" s="42">
        <f t="shared" si="8"/>
        <v>0</v>
      </c>
      <c r="L157" s="222"/>
    </row>
    <row r="158" spans="1:12" x14ac:dyDescent="0.25">
      <c r="A158" s="38">
        <f>Données!A158</f>
        <v>5665</v>
      </c>
      <c r="B158" s="167" t="str">
        <f>Données!B158</f>
        <v>Chavannes-sur-Moudon</v>
      </c>
      <c r="C158" s="321">
        <f>VPI!R158</f>
        <v>5786.5608571428584</v>
      </c>
      <c r="D158" s="191">
        <f>(PCS!I164-PCS!F164)/C158</f>
        <v>11.657506598737127</v>
      </c>
      <c r="E158" s="448">
        <f>'Péréquation directe'!E164/C158</f>
        <v>-4.8607911116615989</v>
      </c>
      <c r="F158" s="191">
        <f>'Péréquation directe'!F164/Effort!C158</f>
        <v>-16.177620925435495</v>
      </c>
      <c r="G158" s="191">
        <f>'Péréquation directe'!G164/Effort!C158</f>
        <v>-4.3508277159248241</v>
      </c>
      <c r="H158" s="191">
        <f>'Péréquation directe'!J164/Effort!C158</f>
        <v>19.118483643972599</v>
      </c>
      <c r="I158" s="341">
        <f t="shared" si="6"/>
        <v>5.3867504896878078</v>
      </c>
      <c r="J158" s="208">
        <f t="shared" si="7"/>
        <v>0</v>
      </c>
      <c r="K158" s="42">
        <f t="shared" si="8"/>
        <v>0</v>
      </c>
      <c r="L158" s="222"/>
    </row>
    <row r="159" spans="1:12" x14ac:dyDescent="0.25">
      <c r="A159" s="38">
        <f>Données!A159</f>
        <v>5669</v>
      </c>
      <c r="B159" s="167" t="str">
        <f>Données!B159</f>
        <v>Curtilles</v>
      </c>
      <c r="C159" s="321">
        <f>VPI!R159</f>
        <v>8428.0279452054765</v>
      </c>
      <c r="D159" s="191">
        <f>(PCS!I165-PCS!F165)/C159</f>
        <v>11.657506598737129</v>
      </c>
      <c r="E159" s="448">
        <f>'Péréquation directe'!E165/C159</f>
        <v>-4.5008273392269196</v>
      </c>
      <c r="F159" s="191">
        <f>'Péréquation directe'!F165/Effort!C159</f>
        <v>-14.713814712951478</v>
      </c>
      <c r="G159" s="191">
        <f>'Péréquation directe'!G165/Effort!C159</f>
        <v>0</v>
      </c>
      <c r="H159" s="191">
        <f>'Péréquation directe'!J165/Effort!C159</f>
        <v>19.118483643972599</v>
      </c>
      <c r="I159" s="341">
        <f t="shared" si="6"/>
        <v>11.56134819053133</v>
      </c>
      <c r="J159" s="208">
        <f t="shared" si="7"/>
        <v>0</v>
      </c>
      <c r="K159" s="42">
        <f t="shared" si="8"/>
        <v>0</v>
      </c>
      <c r="L159" s="222"/>
    </row>
    <row r="160" spans="1:12" x14ac:dyDescent="0.25">
      <c r="A160" s="38">
        <f>Données!A160</f>
        <v>5671</v>
      </c>
      <c r="B160" s="167" t="str">
        <f>Données!B160</f>
        <v>Dompierre</v>
      </c>
      <c r="C160" s="321">
        <f>VPI!R160</f>
        <v>6751.3758974358971</v>
      </c>
      <c r="D160" s="191">
        <f>(PCS!I166-PCS!F166)/C160</f>
        <v>11.657506598737131</v>
      </c>
      <c r="E160" s="448">
        <f>'Péréquation directe'!E166/C160</f>
        <v>-4.7394765768734475</v>
      </c>
      <c r="F160" s="191">
        <f>'Péréquation directe'!F166/Effort!C160</f>
        <v>-18.978467437542118</v>
      </c>
      <c r="G160" s="191">
        <f>'Péréquation directe'!G166/Effort!C160</f>
        <v>-1.6065188573527618</v>
      </c>
      <c r="H160" s="191">
        <f>'Péréquation directe'!J166/Effort!C160</f>
        <v>19.118483643972599</v>
      </c>
      <c r="I160" s="341">
        <f t="shared" si="6"/>
        <v>5.4515273709414007</v>
      </c>
      <c r="J160" s="208">
        <f t="shared" si="7"/>
        <v>0</v>
      </c>
      <c r="K160" s="42">
        <f t="shared" si="8"/>
        <v>0</v>
      </c>
      <c r="L160" s="222"/>
    </row>
    <row r="161" spans="1:12" x14ac:dyDescent="0.25">
      <c r="A161" s="38">
        <f>Données!A161</f>
        <v>5673</v>
      </c>
      <c r="B161" s="167" t="str">
        <f>Données!B161</f>
        <v>Hermenches</v>
      </c>
      <c r="C161" s="321">
        <f>VPI!R161</f>
        <v>9675.0074829931946</v>
      </c>
      <c r="D161" s="191">
        <f>(PCS!I167-PCS!F167)/C161</f>
        <v>11.657506598737131</v>
      </c>
      <c r="E161" s="448">
        <f>'Péréquation directe'!E167/C161</f>
        <v>-4.9875961611305817</v>
      </c>
      <c r="F161" s="191">
        <f>'Péréquation directe'!F167/Effort!C161</f>
        <v>-18.864376934382086</v>
      </c>
      <c r="G161" s="191">
        <f>'Péréquation directe'!G167/Effort!C161</f>
        <v>-7.6944849521465022</v>
      </c>
      <c r="H161" s="191">
        <f>'Péréquation directe'!J167/Effort!C161</f>
        <v>19.118483643972599</v>
      </c>
      <c r="I161" s="341">
        <f t="shared" si="6"/>
        <v>-0.77046780494944045</v>
      </c>
      <c r="J161" s="208">
        <f t="shared" si="7"/>
        <v>0</v>
      </c>
      <c r="K161" s="42">
        <f t="shared" si="8"/>
        <v>0</v>
      </c>
      <c r="L161" s="222"/>
    </row>
    <row r="162" spans="1:12" x14ac:dyDescent="0.25">
      <c r="A162" s="38">
        <f>Données!A162</f>
        <v>5674</v>
      </c>
      <c r="B162" s="167" t="str">
        <f>Données!B162</f>
        <v>Lovatens</v>
      </c>
      <c r="C162" s="321">
        <f>VPI!R162</f>
        <v>3538.9463999999998</v>
      </c>
      <c r="D162" s="191">
        <f>(PCS!I168-PCS!F168)/C162</f>
        <v>11.657506598737131</v>
      </c>
      <c r="E162" s="448">
        <f>'Péréquation directe'!E168/C162</f>
        <v>-5.2135439848136116</v>
      </c>
      <c r="F162" s="191">
        <f>'Péréquation directe'!F168/Effort!C162</f>
        <v>-21.550500320083014</v>
      </c>
      <c r="G162" s="191">
        <f>'Péréquation directe'!G168/Effort!C162</f>
        <v>-5.4267059823228756</v>
      </c>
      <c r="H162" s="191">
        <f>'Péréquation directe'!J168/Effort!C162</f>
        <v>19.118483643972599</v>
      </c>
      <c r="I162" s="341">
        <f t="shared" si="6"/>
        <v>-1.414760044509773</v>
      </c>
      <c r="J162" s="208">
        <f t="shared" si="7"/>
        <v>0</v>
      </c>
      <c r="K162" s="42">
        <f t="shared" si="8"/>
        <v>0</v>
      </c>
      <c r="L162" s="222"/>
    </row>
    <row r="163" spans="1:12" x14ac:dyDescent="0.25">
      <c r="A163" s="38">
        <f>Données!A163</f>
        <v>5675</v>
      </c>
      <c r="B163" s="167" t="str">
        <f>Données!B163</f>
        <v>Lucens</v>
      </c>
      <c r="C163" s="321">
        <f>VPI!R163</f>
        <v>92803.818404185746</v>
      </c>
      <c r="D163" s="191">
        <f>(PCS!I169-PCS!F169)/C163</f>
        <v>11.657506598737129</v>
      </c>
      <c r="E163" s="448">
        <f>'Péréquation directe'!E169/C163</f>
        <v>-17.072751167343146</v>
      </c>
      <c r="F163" s="191">
        <f>'Péréquation directe'!F169/Effort!C163</f>
        <v>-25.261543616803625</v>
      </c>
      <c r="G163" s="191">
        <f>'Péréquation directe'!G169/Effort!C163</f>
        <v>-7.1665730032600479</v>
      </c>
      <c r="H163" s="191">
        <f>'Péréquation directe'!J169/Effort!C163</f>
        <v>19.118483643972599</v>
      </c>
      <c r="I163" s="341">
        <f t="shared" si="6"/>
        <v>-18.72487754469709</v>
      </c>
      <c r="J163" s="208">
        <f t="shared" si="7"/>
        <v>0</v>
      </c>
      <c r="K163" s="42">
        <f t="shared" si="8"/>
        <v>0</v>
      </c>
      <c r="L163" s="222"/>
    </row>
    <row r="164" spans="1:12" x14ac:dyDescent="0.25">
      <c r="A164" s="38">
        <f>Données!A164</f>
        <v>5678</v>
      </c>
      <c r="B164" s="167" t="str">
        <f>Données!B164</f>
        <v>Moudon</v>
      </c>
      <c r="C164" s="321">
        <f>VPI!R164</f>
        <v>130675.7416551724</v>
      </c>
      <c r="D164" s="191">
        <f>(PCS!I170-PCS!F170)/C164</f>
        <v>11.657506598737129</v>
      </c>
      <c r="E164" s="448">
        <f>'Péréquation directe'!E170/C164</f>
        <v>-19.780397462543107</v>
      </c>
      <c r="F164" s="191">
        <f>'Péréquation directe'!F170/Effort!C164</f>
        <v>-26.774603581710242</v>
      </c>
      <c r="G164" s="191">
        <f>'Péréquation directe'!G170/Effort!C164</f>
        <v>-10.241438335207588</v>
      </c>
      <c r="H164" s="191">
        <f>'Péréquation directe'!J170/Effort!C164</f>
        <v>19.118483643972599</v>
      </c>
      <c r="I164" s="341">
        <f t="shared" si="6"/>
        <v>-26.020449136751207</v>
      </c>
      <c r="J164" s="208">
        <f t="shared" si="7"/>
        <v>0</v>
      </c>
      <c r="K164" s="42">
        <f t="shared" si="8"/>
        <v>0</v>
      </c>
      <c r="L164" s="222"/>
    </row>
    <row r="165" spans="1:12" x14ac:dyDescent="0.25">
      <c r="A165" s="38">
        <f>Données!A165</f>
        <v>5680</v>
      </c>
      <c r="B165" s="167" t="str">
        <f>Données!B165</f>
        <v>Ogens</v>
      </c>
      <c r="C165" s="321">
        <f>VPI!R165</f>
        <v>10096.830811965814</v>
      </c>
      <c r="D165" s="191">
        <f>(PCS!I171-PCS!F171)/C165</f>
        <v>11.657506598737129</v>
      </c>
      <c r="E165" s="448">
        <f>'Péréquation directe'!E171/C165</f>
        <v>-4.1402915148467958</v>
      </c>
      <c r="F165" s="191">
        <f>'Péréquation directe'!F171/Effort!C165</f>
        <v>-13.504977699431908</v>
      </c>
      <c r="G165" s="191">
        <f>'Péréquation directe'!G171/Effort!C165</f>
        <v>-1.5172970909916665</v>
      </c>
      <c r="H165" s="191">
        <f>'Péréquation directe'!J171/Effort!C165</f>
        <v>19.118483643972599</v>
      </c>
      <c r="I165" s="341">
        <f t="shared" si="6"/>
        <v>11.613423937439357</v>
      </c>
      <c r="J165" s="208">
        <f t="shared" si="7"/>
        <v>0</v>
      </c>
      <c r="K165" s="42">
        <f t="shared" si="8"/>
        <v>0</v>
      </c>
      <c r="L165" s="222"/>
    </row>
    <row r="166" spans="1:12" x14ac:dyDescent="0.25">
      <c r="A166" s="38">
        <f>Données!A166</f>
        <v>5683</v>
      </c>
      <c r="B166" s="167" t="str">
        <f>Données!B166</f>
        <v>Prévonloup</v>
      </c>
      <c r="C166" s="321">
        <f>VPI!R166</f>
        <v>5181.5891034482765</v>
      </c>
      <c r="D166" s="191">
        <f>(PCS!I172-PCS!F172)/C166</f>
        <v>11.657506598737129</v>
      </c>
      <c r="E166" s="448">
        <f>'Péréquation directe'!E172/C166</f>
        <v>-5.4781093800620591</v>
      </c>
      <c r="F166" s="191">
        <f>'Péréquation directe'!F172/Effort!C166</f>
        <v>-22.225710118214472</v>
      </c>
      <c r="G166" s="191">
        <f>'Péréquation directe'!G172/Effort!C166</f>
        <v>-28.931754793050967</v>
      </c>
      <c r="H166" s="191">
        <f>'Péréquation directe'!J172/Effort!C166</f>
        <v>19.118483643972599</v>
      </c>
      <c r="I166" s="341">
        <f t="shared" si="6"/>
        <v>-25.859584048617773</v>
      </c>
      <c r="J166" s="208">
        <f t="shared" si="7"/>
        <v>0</v>
      </c>
      <c r="K166" s="42">
        <f t="shared" si="8"/>
        <v>0</v>
      </c>
      <c r="L166" s="222"/>
    </row>
    <row r="167" spans="1:12" x14ac:dyDescent="0.25">
      <c r="A167" s="38">
        <f>Données!A167</f>
        <v>5684</v>
      </c>
      <c r="B167" s="167" t="str">
        <f>Données!B167</f>
        <v>Rossenges</v>
      </c>
      <c r="C167" s="321">
        <f>VPI!R167</f>
        <v>7033.3142000000007</v>
      </c>
      <c r="D167" s="191">
        <f>(PCS!I173-PCS!F173)/C167</f>
        <v>19.065130797329335</v>
      </c>
      <c r="E167" s="448">
        <f>'Péréquation directe'!E173/C167</f>
        <v>-1.7060584998231727</v>
      </c>
      <c r="F167" s="191">
        <f>'Péréquation directe'!F173/Effort!C167</f>
        <v>0</v>
      </c>
      <c r="G167" s="191">
        <f>'Péréquation directe'!G173/Effort!C167</f>
        <v>0</v>
      </c>
      <c r="H167" s="191">
        <f>'Péréquation directe'!J173/Effort!C167</f>
        <v>19.118483643972599</v>
      </c>
      <c r="I167" s="341">
        <f t="shared" si="6"/>
        <v>36.477555941478762</v>
      </c>
      <c r="J167" s="208">
        <f t="shared" si="7"/>
        <v>0</v>
      </c>
      <c r="K167" s="42">
        <f t="shared" si="8"/>
        <v>0</v>
      </c>
      <c r="L167" s="222"/>
    </row>
    <row r="168" spans="1:12" x14ac:dyDescent="0.25">
      <c r="A168" s="38">
        <f>Données!A168</f>
        <v>5688</v>
      </c>
      <c r="B168" s="167" t="str">
        <f>Données!B168</f>
        <v>Syens</v>
      </c>
      <c r="C168" s="321">
        <f>VPI!R168</f>
        <v>5277.0104615384616</v>
      </c>
      <c r="D168" s="191">
        <f>(PCS!I174-PCS!F174)/C168</f>
        <v>11.657506598737129</v>
      </c>
      <c r="E168" s="448">
        <f>'Péréquation directe'!E174/C168</f>
        <v>-4.0098385085221757</v>
      </c>
      <c r="F168" s="191">
        <f>'Péréquation directe'!F174/Effort!C168</f>
        <v>-8.5509054258495265</v>
      </c>
      <c r="G168" s="191">
        <f>'Péréquation directe'!G174/Effort!C168</f>
        <v>-3.4358823737262894</v>
      </c>
      <c r="H168" s="191">
        <f>'Péréquation directe'!J174/Effort!C168</f>
        <v>19.118483643972599</v>
      </c>
      <c r="I168" s="341">
        <f t="shared" si="6"/>
        <v>14.779363934611737</v>
      </c>
      <c r="J168" s="208">
        <f t="shared" si="7"/>
        <v>0</v>
      </c>
      <c r="K168" s="42">
        <f t="shared" si="8"/>
        <v>0</v>
      </c>
      <c r="L168" s="222"/>
    </row>
    <row r="169" spans="1:12" x14ac:dyDescent="0.25">
      <c r="A169" s="38">
        <f>Données!A169</f>
        <v>5690</v>
      </c>
      <c r="B169" s="167" t="str">
        <f>Données!B169</f>
        <v>Villars-le-Comte</v>
      </c>
      <c r="C169" s="321">
        <f>VPI!R169</f>
        <v>4331.3836666666666</v>
      </c>
      <c r="D169" s="191">
        <f>(PCS!I175-PCS!F175)/C169</f>
        <v>11.657506598737131</v>
      </c>
      <c r="E169" s="448">
        <f>'Péréquation directe'!E175/C169</f>
        <v>-4.1107722986946289</v>
      </c>
      <c r="F169" s="191">
        <f>'Péréquation directe'!F175/Effort!C169</f>
        <v>-10.659612461946754</v>
      </c>
      <c r="G169" s="191">
        <f>'Péréquation directe'!G175/Effort!C169</f>
        <v>0</v>
      </c>
      <c r="H169" s="191">
        <f>'Péréquation directe'!J175/Effort!C169</f>
        <v>19.118483643972599</v>
      </c>
      <c r="I169" s="341">
        <f t="shared" si="6"/>
        <v>16.005605482068347</v>
      </c>
      <c r="J169" s="208">
        <f t="shared" si="7"/>
        <v>0</v>
      </c>
      <c r="K169" s="42">
        <f t="shared" si="8"/>
        <v>0</v>
      </c>
      <c r="L169" s="222"/>
    </row>
    <row r="170" spans="1:12" x14ac:dyDescent="0.25">
      <c r="A170" s="38">
        <f>Données!A170</f>
        <v>5692</v>
      </c>
      <c r="B170" s="167" t="str">
        <f>Données!B170</f>
        <v>Vucherens</v>
      </c>
      <c r="C170" s="321">
        <f>VPI!R170</f>
        <v>18948.300519480523</v>
      </c>
      <c r="D170" s="191">
        <f>(PCS!I176-PCS!F176)/C170</f>
        <v>11.657506598737131</v>
      </c>
      <c r="E170" s="448">
        <f>'Péréquation directe'!E176/C170</f>
        <v>-4.3375066907553652</v>
      </c>
      <c r="F170" s="191">
        <f>'Péréquation directe'!F176/Effort!C170</f>
        <v>-14.916557750389424</v>
      </c>
      <c r="G170" s="191">
        <f>'Péréquation directe'!G176/Effort!C170</f>
        <v>-5.182560905266806</v>
      </c>
      <c r="H170" s="191">
        <f>'Péréquation directe'!J176/Effort!C170</f>
        <v>19.118483643972599</v>
      </c>
      <c r="I170" s="341">
        <f t="shared" si="6"/>
        <v>6.3393648962981342</v>
      </c>
      <c r="J170" s="208">
        <f t="shared" si="7"/>
        <v>0</v>
      </c>
      <c r="K170" s="42">
        <f t="shared" si="8"/>
        <v>0</v>
      </c>
      <c r="L170" s="222"/>
    </row>
    <row r="171" spans="1:12" x14ac:dyDescent="0.25">
      <c r="A171" s="38">
        <f>Données!A171</f>
        <v>5693</v>
      </c>
      <c r="B171" s="167" t="str">
        <f>Données!B171</f>
        <v>Montanaire</v>
      </c>
      <c r="C171" s="321">
        <f>VPI!R171</f>
        <v>80078.044999999984</v>
      </c>
      <c r="D171" s="191">
        <f>(PCS!I177-PCS!F177)/C171</f>
        <v>11.657506598737127</v>
      </c>
      <c r="E171" s="448">
        <f>'Péréquation directe'!E177/C171</f>
        <v>-9.8220578077641196</v>
      </c>
      <c r="F171" s="191">
        <f>'Péréquation directe'!F177/Effort!C171</f>
        <v>-13.844498918396077</v>
      </c>
      <c r="G171" s="191">
        <f>'Péréquation directe'!G177/Effort!C171</f>
        <v>-8.0443453164971785</v>
      </c>
      <c r="H171" s="191">
        <f>'Péréquation directe'!J177/Effort!C171</f>
        <v>19.118483643972599</v>
      </c>
      <c r="I171" s="341">
        <f t="shared" si="6"/>
        <v>-0.93491179994764906</v>
      </c>
      <c r="J171" s="208">
        <f t="shared" si="7"/>
        <v>0</v>
      </c>
      <c r="K171" s="42">
        <f t="shared" si="8"/>
        <v>0</v>
      </c>
      <c r="L171" s="222"/>
    </row>
    <row r="172" spans="1:12" x14ac:dyDescent="0.25">
      <c r="A172" s="38">
        <f>Données!A172</f>
        <v>5701</v>
      </c>
      <c r="B172" s="167" t="str">
        <f>Données!B172</f>
        <v>Arnex-sur-Nyon</v>
      </c>
      <c r="C172" s="321">
        <f>VPI!R172</f>
        <v>12996.826285714285</v>
      </c>
      <c r="D172" s="191">
        <f>(PCS!I178-PCS!F178)/C172</f>
        <v>13.126619534531617</v>
      </c>
      <c r="E172" s="448">
        <f>'Péréquation directe'!E178/C172</f>
        <v>-2.3825658732277062</v>
      </c>
      <c r="F172" s="191">
        <f>'Péréquation directe'!F178/Effort!C172</f>
        <v>0</v>
      </c>
      <c r="G172" s="191">
        <f>'Péréquation directe'!G178/Effort!C172</f>
        <v>0</v>
      </c>
      <c r="H172" s="191">
        <f>'Péréquation directe'!J178/Effort!C172</f>
        <v>19.118483643972599</v>
      </c>
      <c r="I172" s="341">
        <f t="shared" si="6"/>
        <v>29.862537305276511</v>
      </c>
      <c r="J172" s="208">
        <f t="shared" si="7"/>
        <v>0</v>
      </c>
      <c r="K172" s="42">
        <f t="shared" si="8"/>
        <v>0</v>
      </c>
      <c r="L172" s="222"/>
    </row>
    <row r="173" spans="1:12" x14ac:dyDescent="0.25">
      <c r="A173" s="38">
        <f>Données!A173</f>
        <v>5702</v>
      </c>
      <c r="B173" s="167" t="str">
        <f>Données!B173</f>
        <v>Arzier-Le Muids</v>
      </c>
      <c r="C173" s="321">
        <f>VPI!R173</f>
        <v>187984.45531250001</v>
      </c>
      <c r="D173" s="191">
        <f>(PCS!I179-PCS!F179)/C173</f>
        <v>15.258449144650204</v>
      </c>
      <c r="E173" s="448">
        <f>'Péréquation directe'!E179/C173</f>
        <v>-4.4415430248723675</v>
      </c>
      <c r="F173" s="191">
        <f>'Péréquation directe'!F179/Effort!C173</f>
        <v>0</v>
      </c>
      <c r="G173" s="191">
        <f>'Péréquation directe'!G179/Effort!C173</f>
        <v>-2.8606190209806521</v>
      </c>
      <c r="H173" s="191">
        <f>'Péréquation directe'!J179/Effort!C173</f>
        <v>19.118483643972599</v>
      </c>
      <c r="I173" s="341">
        <f t="shared" si="6"/>
        <v>27.074770742769786</v>
      </c>
      <c r="J173" s="208">
        <f t="shared" si="7"/>
        <v>0</v>
      </c>
      <c r="K173" s="42">
        <f t="shared" si="8"/>
        <v>0</v>
      </c>
      <c r="L173" s="222"/>
    </row>
    <row r="174" spans="1:12" x14ac:dyDescent="0.25">
      <c r="A174" s="38">
        <f>Données!A174</f>
        <v>5703</v>
      </c>
      <c r="B174" s="167" t="str">
        <f>Données!B174</f>
        <v>Bassins</v>
      </c>
      <c r="C174" s="321">
        <f>VPI!R174</f>
        <v>65441.246975369453</v>
      </c>
      <c r="D174" s="191">
        <f>(PCS!I180-PCS!F180)/C174</f>
        <v>11.657506598737129</v>
      </c>
      <c r="E174" s="448">
        <f>'Péréquation directe'!E180/C174</f>
        <v>-4.6103959552563172</v>
      </c>
      <c r="F174" s="191">
        <f>'Péréquation directe'!F180/Effort!C174</f>
        <v>-1.9898444521035517</v>
      </c>
      <c r="G174" s="191">
        <f>'Péréquation directe'!G180/Effort!C174</f>
        <v>0</v>
      </c>
      <c r="H174" s="191">
        <f>'Péréquation directe'!J180/Effort!C174</f>
        <v>19.118483643972599</v>
      </c>
      <c r="I174" s="341">
        <f t="shared" si="6"/>
        <v>24.175749835349858</v>
      </c>
      <c r="J174" s="208">
        <f t="shared" si="7"/>
        <v>0</v>
      </c>
      <c r="K174" s="42">
        <f t="shared" si="8"/>
        <v>0</v>
      </c>
      <c r="L174" s="222"/>
    </row>
    <row r="175" spans="1:12" x14ac:dyDescent="0.25">
      <c r="A175" s="38">
        <f>Données!A175</f>
        <v>5704</v>
      </c>
      <c r="B175" s="167" t="str">
        <f>Données!B175</f>
        <v>Begnins</v>
      </c>
      <c r="C175" s="321">
        <f>VPI!R175</f>
        <v>129730.03685333332</v>
      </c>
      <c r="D175" s="191">
        <f>(PCS!I181-PCS!F181)/C175</f>
        <v>15.925688783480831</v>
      </c>
      <c r="E175" s="448">
        <f>'Péréquation directe'!E181/C175</f>
        <v>-3.6066678951359603</v>
      </c>
      <c r="F175" s="191">
        <f>'Péréquation directe'!F181/Effort!C175</f>
        <v>0</v>
      </c>
      <c r="G175" s="191">
        <f>'Péréquation directe'!G181/Effort!C175</f>
        <v>0</v>
      </c>
      <c r="H175" s="191">
        <f>'Péréquation directe'!J181/Effort!C175</f>
        <v>19.118483643972599</v>
      </c>
      <c r="I175" s="341">
        <f t="shared" si="6"/>
        <v>31.437504532317469</v>
      </c>
      <c r="J175" s="208">
        <f t="shared" si="7"/>
        <v>0</v>
      </c>
      <c r="K175" s="42">
        <f t="shared" si="8"/>
        <v>0</v>
      </c>
      <c r="L175" s="222"/>
    </row>
    <row r="176" spans="1:12" x14ac:dyDescent="0.25">
      <c r="A176" s="38">
        <f>Données!A176</f>
        <v>5705</v>
      </c>
      <c r="B176" s="167" t="str">
        <f>Données!B176</f>
        <v>Bogis-Bossey</v>
      </c>
      <c r="C176" s="321">
        <f>VPI!R176</f>
        <v>51044.070201342278</v>
      </c>
      <c r="D176" s="191">
        <f>(PCS!I182-PCS!F182)/C176</f>
        <v>13.49812762764047</v>
      </c>
      <c r="E176" s="448">
        <f>'Péréquation directe'!E182/C176</f>
        <v>-2.3330679791901479</v>
      </c>
      <c r="F176" s="191">
        <f>'Péréquation directe'!F182/Effort!C176</f>
        <v>0</v>
      </c>
      <c r="G176" s="191">
        <f>'Péréquation directe'!G182/Effort!C176</f>
        <v>0</v>
      </c>
      <c r="H176" s="191">
        <f>'Péréquation directe'!J182/Effort!C176</f>
        <v>19.118483643972599</v>
      </c>
      <c r="I176" s="341">
        <f t="shared" si="6"/>
        <v>30.28354329242292</v>
      </c>
      <c r="J176" s="208">
        <f t="shared" si="7"/>
        <v>0</v>
      </c>
      <c r="K176" s="42">
        <f t="shared" si="8"/>
        <v>0</v>
      </c>
      <c r="L176" s="222"/>
    </row>
    <row r="177" spans="1:12" x14ac:dyDescent="0.25">
      <c r="A177" s="38">
        <f>Données!A177</f>
        <v>5706</v>
      </c>
      <c r="B177" s="167" t="str">
        <f>Données!B177</f>
        <v>Borex</v>
      </c>
      <c r="C177" s="321">
        <f>VPI!R177</f>
        <v>156857.9796491228</v>
      </c>
      <c r="D177" s="191">
        <f>(PCS!I183-PCS!F183)/C177</f>
        <v>26.810450092980865</v>
      </c>
      <c r="E177" s="448">
        <f>'Péréquation directe'!E183/C177</f>
        <v>-1.1242666876222871</v>
      </c>
      <c r="F177" s="191">
        <f>'Péréquation directe'!F183/Effort!C177</f>
        <v>0</v>
      </c>
      <c r="G177" s="191">
        <f>'Péréquation directe'!G183/Effort!C177</f>
        <v>0</v>
      </c>
      <c r="H177" s="191">
        <f>'Péréquation directe'!J183/Effort!C177</f>
        <v>19.118483643972599</v>
      </c>
      <c r="I177" s="341">
        <f t="shared" si="6"/>
        <v>44.804667049331172</v>
      </c>
      <c r="J177" s="208">
        <f t="shared" si="7"/>
        <v>0</v>
      </c>
      <c r="K177" s="42">
        <f t="shared" si="8"/>
        <v>0</v>
      </c>
      <c r="L177" s="222"/>
    </row>
    <row r="178" spans="1:12" x14ac:dyDescent="0.25">
      <c r="A178" s="38">
        <f>Données!A178</f>
        <v>5707</v>
      </c>
      <c r="B178" s="167" t="str">
        <f>Données!B178</f>
        <v>Chavannes-de-Bogis</v>
      </c>
      <c r="C178" s="321">
        <f>VPI!R178</f>
        <v>86804.197126436775</v>
      </c>
      <c r="D178" s="191">
        <f>(PCS!I184-PCS!F184)/C178</f>
        <v>15.439533707865733</v>
      </c>
      <c r="E178" s="448">
        <f>'Péréquation directe'!E184/C178</f>
        <v>-2.7932079446004798</v>
      </c>
      <c r="F178" s="191">
        <f>'Péréquation directe'!F184/Effort!C178</f>
        <v>0</v>
      </c>
      <c r="G178" s="191">
        <f>'Péréquation directe'!G184/Effort!C178</f>
        <v>0</v>
      </c>
      <c r="H178" s="191">
        <f>'Péréquation directe'!J184/Effort!C178</f>
        <v>19.118483643972599</v>
      </c>
      <c r="I178" s="341">
        <f t="shared" si="6"/>
        <v>31.764809407237852</v>
      </c>
      <c r="J178" s="208">
        <f t="shared" si="7"/>
        <v>0</v>
      </c>
      <c r="K178" s="42">
        <f t="shared" si="8"/>
        <v>0</v>
      </c>
      <c r="L178" s="222"/>
    </row>
    <row r="179" spans="1:12" x14ac:dyDescent="0.25">
      <c r="A179" s="38">
        <f>Données!A179</f>
        <v>5708</v>
      </c>
      <c r="B179" s="167" t="str">
        <f>Données!B179</f>
        <v>Chavannes-des-Bois</v>
      </c>
      <c r="C179" s="321">
        <f>VPI!R179</f>
        <v>68806.761617647047</v>
      </c>
      <c r="D179" s="191">
        <f>(PCS!I185-PCS!F185)/C179</f>
        <v>16.43747854794751</v>
      </c>
      <c r="E179" s="448">
        <f>'Péréquation directe'!E185/C179</f>
        <v>-1.9749255186775991</v>
      </c>
      <c r="F179" s="191">
        <f>'Péréquation directe'!F185/Effort!C179</f>
        <v>0</v>
      </c>
      <c r="G179" s="191">
        <f>'Péréquation directe'!G185/Effort!C179</f>
        <v>0</v>
      </c>
      <c r="H179" s="191">
        <f>'Péréquation directe'!J185/Effort!C179</f>
        <v>19.118483643972599</v>
      </c>
      <c r="I179" s="341">
        <f t="shared" si="6"/>
        <v>33.581036673242508</v>
      </c>
      <c r="J179" s="208">
        <f t="shared" si="7"/>
        <v>0</v>
      </c>
      <c r="K179" s="42">
        <f t="shared" si="8"/>
        <v>0</v>
      </c>
      <c r="L179" s="222"/>
    </row>
    <row r="180" spans="1:12" x14ac:dyDescent="0.25">
      <c r="A180" s="38">
        <f>Données!A180</f>
        <v>5709</v>
      </c>
      <c r="B180" s="167" t="str">
        <f>Données!B180</f>
        <v>Chéserex</v>
      </c>
      <c r="C180" s="321">
        <f>VPI!R180</f>
        <v>90983.63491228073</v>
      </c>
      <c r="D180" s="191">
        <f>(PCS!I186-PCS!F186)/C180</f>
        <v>16.603051824574056</v>
      </c>
      <c r="E180" s="448">
        <f>'Péréquation directe'!E186/C180</f>
        <v>-2.4147454000394628</v>
      </c>
      <c r="F180" s="191">
        <f>'Péréquation directe'!F186/Effort!C180</f>
        <v>0</v>
      </c>
      <c r="G180" s="191">
        <f>'Péréquation directe'!G186/Effort!C180</f>
        <v>0</v>
      </c>
      <c r="H180" s="191">
        <f>'Péréquation directe'!J186/Effort!C180</f>
        <v>19.118483643972599</v>
      </c>
      <c r="I180" s="341">
        <f t="shared" si="6"/>
        <v>33.30679006850719</v>
      </c>
      <c r="J180" s="208">
        <f t="shared" si="7"/>
        <v>0</v>
      </c>
      <c r="K180" s="42">
        <f t="shared" si="8"/>
        <v>0</v>
      </c>
      <c r="L180" s="222"/>
    </row>
    <row r="181" spans="1:12" x14ac:dyDescent="0.25">
      <c r="A181" s="38">
        <f>Données!A181</f>
        <v>5710</v>
      </c>
      <c r="B181" s="167" t="str">
        <f>Données!B181</f>
        <v>Coinsins</v>
      </c>
      <c r="C181" s="321">
        <f>VPI!R181</f>
        <v>33549.646470588232</v>
      </c>
      <c r="D181" s="191">
        <f>(PCS!I187-PCS!F187)/C181</f>
        <v>15.191946552625678</v>
      </c>
      <c r="E181" s="448">
        <f>'Péréquation directe'!E187/C181</f>
        <v>-1.9190380544301924</v>
      </c>
      <c r="F181" s="191">
        <f>'Péréquation directe'!F187/Effort!C181</f>
        <v>0</v>
      </c>
      <c r="G181" s="191">
        <f>'Péréquation directe'!G187/Effort!C181</f>
        <v>0</v>
      </c>
      <c r="H181" s="191">
        <f>'Péréquation directe'!J187/Effort!C181</f>
        <v>19.118483643972599</v>
      </c>
      <c r="I181" s="341">
        <f t="shared" si="6"/>
        <v>32.391392142168087</v>
      </c>
      <c r="J181" s="208">
        <f t="shared" si="7"/>
        <v>0</v>
      </c>
      <c r="K181" s="42">
        <f t="shared" si="8"/>
        <v>0</v>
      </c>
      <c r="L181" s="222"/>
    </row>
    <row r="182" spans="1:12" x14ac:dyDescent="0.25">
      <c r="A182" s="38">
        <f>Données!A182</f>
        <v>5711</v>
      </c>
      <c r="B182" s="167" t="str">
        <f>Données!B182</f>
        <v>Commugny</v>
      </c>
      <c r="C182" s="321">
        <f>VPI!R182</f>
        <v>305461.09360323887</v>
      </c>
      <c r="D182" s="191">
        <f>(PCS!I188-PCS!F188)/C182</f>
        <v>22.080485613137</v>
      </c>
      <c r="E182" s="448">
        <f>'Péréquation directe'!E188/C182</f>
        <v>-2.7676775358473407</v>
      </c>
      <c r="F182" s="191">
        <f>'Péréquation directe'!F188/Effort!C182</f>
        <v>0</v>
      </c>
      <c r="G182" s="191">
        <f>'Péréquation directe'!G188/Effort!C182</f>
        <v>0</v>
      </c>
      <c r="H182" s="191">
        <f>'Péréquation directe'!J188/Effort!C182</f>
        <v>19.118483643972599</v>
      </c>
      <c r="I182" s="341">
        <f t="shared" si="6"/>
        <v>38.431291721262255</v>
      </c>
      <c r="J182" s="208">
        <f t="shared" si="7"/>
        <v>0</v>
      </c>
      <c r="K182" s="42">
        <f t="shared" si="8"/>
        <v>0</v>
      </c>
      <c r="L182" s="222"/>
    </row>
    <row r="183" spans="1:12" x14ac:dyDescent="0.25">
      <c r="A183" s="38">
        <f>Données!A183</f>
        <v>5712</v>
      </c>
      <c r="B183" s="167" t="str">
        <f>Données!B183</f>
        <v>Coppet</v>
      </c>
      <c r="C183" s="321">
        <f>VPI!R183</f>
        <v>422782.58779874217</v>
      </c>
      <c r="D183" s="191">
        <f>(PCS!I189-PCS!F189)/C183</f>
        <v>25.19507459017716</v>
      </c>
      <c r="E183" s="448">
        <f>'Péréquation directe'!E189/C183</f>
        <v>-2.238789283373082</v>
      </c>
      <c r="F183" s="191">
        <f>'Péréquation directe'!F189/Effort!C183</f>
        <v>0</v>
      </c>
      <c r="G183" s="191">
        <f>'Péréquation directe'!G189/Effort!C183</f>
        <v>0</v>
      </c>
      <c r="H183" s="191">
        <f>'Péréquation directe'!J189/Effort!C183</f>
        <v>19.118483643972599</v>
      </c>
      <c r="I183" s="341">
        <f t="shared" si="6"/>
        <v>42.074768950776672</v>
      </c>
      <c r="J183" s="208">
        <f t="shared" si="7"/>
        <v>0</v>
      </c>
      <c r="K183" s="42">
        <f t="shared" si="8"/>
        <v>0</v>
      </c>
      <c r="L183" s="222"/>
    </row>
    <row r="184" spans="1:12" x14ac:dyDescent="0.25">
      <c r="A184" s="38">
        <f>Données!A184</f>
        <v>5713</v>
      </c>
      <c r="B184" s="167" t="str">
        <f>Données!B184</f>
        <v>Crans</v>
      </c>
      <c r="C184" s="321">
        <f>VPI!R184</f>
        <v>284269.17355932208</v>
      </c>
      <c r="D184" s="191">
        <f>(PCS!I190-PCS!F190)/C184</f>
        <v>25.270704605808689</v>
      </c>
      <c r="E184" s="448">
        <f>'Péréquation directe'!E190/C184</f>
        <v>-2.1784433322843424</v>
      </c>
      <c r="F184" s="191">
        <f>'Péréquation directe'!F190/Effort!C184</f>
        <v>0</v>
      </c>
      <c r="G184" s="191">
        <f>'Péréquation directe'!G190/Effort!C184</f>
        <v>0</v>
      </c>
      <c r="H184" s="191">
        <f>'Péréquation directe'!J190/Effort!C184</f>
        <v>19.118483643972599</v>
      </c>
      <c r="I184" s="341">
        <f t="shared" si="6"/>
        <v>42.210744917496946</v>
      </c>
      <c r="J184" s="208">
        <f t="shared" si="7"/>
        <v>0</v>
      </c>
      <c r="K184" s="42">
        <f t="shared" si="8"/>
        <v>0</v>
      </c>
      <c r="L184" s="222"/>
    </row>
    <row r="185" spans="1:12" x14ac:dyDescent="0.25">
      <c r="A185" s="38">
        <f>Données!A185</f>
        <v>5714</v>
      </c>
      <c r="B185" s="167" t="str">
        <f>Données!B185</f>
        <v>Crassier</v>
      </c>
      <c r="C185" s="321">
        <f>VPI!R185</f>
        <v>62524.655789473691</v>
      </c>
      <c r="D185" s="191">
        <f>(PCS!I191-PCS!F191)/C185</f>
        <v>12.24464670408582</v>
      </c>
      <c r="E185" s="448">
        <f>'Péréquation directe'!E191/C185</f>
        <v>-3.4098467922758946</v>
      </c>
      <c r="F185" s="191">
        <f>'Péréquation directe'!F191/Effort!C185</f>
        <v>0</v>
      </c>
      <c r="G185" s="191">
        <f>'Péréquation directe'!G191/Effort!C185</f>
        <v>0</v>
      </c>
      <c r="H185" s="191">
        <f>'Péréquation directe'!J191/Effort!C185</f>
        <v>19.118483643972599</v>
      </c>
      <c r="I185" s="341">
        <f t="shared" si="6"/>
        <v>27.953283555782527</v>
      </c>
      <c r="J185" s="208">
        <f t="shared" si="7"/>
        <v>0</v>
      </c>
      <c r="K185" s="42">
        <f t="shared" si="8"/>
        <v>0</v>
      </c>
      <c r="L185" s="222"/>
    </row>
    <row r="186" spans="1:12" x14ac:dyDescent="0.25">
      <c r="A186" s="38">
        <f>Données!A186</f>
        <v>5715</v>
      </c>
      <c r="B186" s="167" t="str">
        <f>Données!B186</f>
        <v>Duillier</v>
      </c>
      <c r="C186" s="321">
        <f>VPI!R186</f>
        <v>60550.113787878792</v>
      </c>
      <c r="D186" s="191">
        <f>(PCS!I192-PCS!F192)/C186</f>
        <v>13.065084528239492</v>
      </c>
      <c r="E186" s="448">
        <f>'Péréquation directe'!E192/C186</f>
        <v>-2.8229705351429777</v>
      </c>
      <c r="F186" s="191">
        <f>'Péréquation directe'!F192/Effort!C186</f>
        <v>0</v>
      </c>
      <c r="G186" s="191">
        <f>'Péréquation directe'!G192/Effort!C186</f>
        <v>0</v>
      </c>
      <c r="H186" s="191">
        <f>'Péréquation directe'!J192/Effort!C186</f>
        <v>19.118483643972599</v>
      </c>
      <c r="I186" s="341">
        <f t="shared" si="6"/>
        <v>29.360597637069112</v>
      </c>
      <c r="J186" s="208">
        <f t="shared" si="7"/>
        <v>0</v>
      </c>
      <c r="K186" s="42">
        <f t="shared" si="8"/>
        <v>0</v>
      </c>
      <c r="L186" s="222"/>
    </row>
    <row r="187" spans="1:12" x14ac:dyDescent="0.25">
      <c r="A187" s="38">
        <f>Données!A187</f>
        <v>5716</v>
      </c>
      <c r="B187" s="167" t="str">
        <f>Données!B187</f>
        <v>Eysins</v>
      </c>
      <c r="C187" s="321">
        <f>VPI!R187</f>
        <v>232557.04084033609</v>
      </c>
      <c r="D187" s="191">
        <f>(PCS!I193-PCS!F193)/C187</f>
        <v>26.717418876516138</v>
      </c>
      <c r="E187" s="448">
        <f>'Péréquation directe'!E193/C187</f>
        <v>-1.7478622213594741</v>
      </c>
      <c r="F187" s="191">
        <f>'Péréquation directe'!F193/Effort!C187</f>
        <v>0</v>
      </c>
      <c r="G187" s="191">
        <f>'Péréquation directe'!G193/Effort!C187</f>
        <v>0</v>
      </c>
      <c r="H187" s="191">
        <f>'Péréquation directe'!J193/Effort!C187</f>
        <v>19.118483643972603</v>
      </c>
      <c r="I187" s="341">
        <f t="shared" si="6"/>
        <v>44.088040299129268</v>
      </c>
      <c r="J187" s="208">
        <f t="shared" si="7"/>
        <v>0</v>
      </c>
      <c r="K187" s="42">
        <f t="shared" si="8"/>
        <v>0</v>
      </c>
      <c r="L187" s="222"/>
    </row>
    <row r="188" spans="1:12" x14ac:dyDescent="0.25">
      <c r="A188" s="38">
        <f>Données!A188</f>
        <v>5717</v>
      </c>
      <c r="B188" s="167" t="str">
        <f>Données!B188</f>
        <v>Founex</v>
      </c>
      <c r="C188" s="321">
        <f>VPI!R188</f>
        <v>361582.97087719297</v>
      </c>
      <c r="D188" s="191">
        <f>(PCS!I194-PCS!F194)/C188</f>
        <v>20.943665253718596</v>
      </c>
      <c r="E188" s="448">
        <f>'Péréquation directe'!E194/C188</f>
        <v>-3.4441363299175665</v>
      </c>
      <c r="F188" s="191">
        <f>'Péréquation directe'!F194/Effort!C188</f>
        <v>0</v>
      </c>
      <c r="G188" s="191">
        <f>'Péréquation directe'!G194/Effort!C188</f>
        <v>0</v>
      </c>
      <c r="H188" s="191">
        <f>'Péréquation directe'!J194/Effort!C188</f>
        <v>19.118483643972599</v>
      </c>
      <c r="I188" s="341">
        <f t="shared" si="6"/>
        <v>36.618012567773633</v>
      </c>
      <c r="J188" s="208">
        <f t="shared" si="7"/>
        <v>0</v>
      </c>
      <c r="K188" s="42">
        <f t="shared" si="8"/>
        <v>0</v>
      </c>
      <c r="L188" s="222"/>
    </row>
    <row r="189" spans="1:12" x14ac:dyDescent="0.25">
      <c r="A189" s="38">
        <f>Données!A189</f>
        <v>5718</v>
      </c>
      <c r="B189" s="167" t="str">
        <f>Données!B189</f>
        <v>Genolier</v>
      </c>
      <c r="C189" s="321">
        <f>VPI!R189</f>
        <v>212699.2265454545</v>
      </c>
      <c r="D189" s="191">
        <f>(PCS!I195-PCS!F195)/C189</f>
        <v>22.144115901438614</v>
      </c>
      <c r="E189" s="448">
        <f>'Péréquation directe'!E195/C189</f>
        <v>-2.3492549379003629</v>
      </c>
      <c r="F189" s="191">
        <f>'Péréquation directe'!F195/Effort!C189</f>
        <v>0</v>
      </c>
      <c r="G189" s="191">
        <f>'Péréquation directe'!G195/Effort!C189</f>
        <v>0</v>
      </c>
      <c r="H189" s="191">
        <f>'Péréquation directe'!J195/Effort!C189</f>
        <v>19.118483643972599</v>
      </c>
      <c r="I189" s="341">
        <f t="shared" si="6"/>
        <v>38.913344607510851</v>
      </c>
      <c r="J189" s="208">
        <f t="shared" si="7"/>
        <v>0</v>
      </c>
      <c r="K189" s="42">
        <f t="shared" si="8"/>
        <v>0</v>
      </c>
      <c r="L189" s="222"/>
    </row>
    <row r="190" spans="1:12" x14ac:dyDescent="0.25">
      <c r="A190" s="38">
        <f>Données!A190</f>
        <v>5719</v>
      </c>
      <c r="B190" s="167" t="str">
        <f>Données!B190</f>
        <v>Gingins</v>
      </c>
      <c r="C190" s="321">
        <f>VPI!R190</f>
        <v>119943.29911111109</v>
      </c>
      <c r="D190" s="191">
        <f>(PCS!I196-PCS!F196)/C190</f>
        <v>21.18456892665662</v>
      </c>
      <c r="E190" s="448">
        <f>'Péréquation directe'!E196/C190</f>
        <v>-1.8889458608309513</v>
      </c>
      <c r="F190" s="191">
        <f>'Péréquation directe'!F196/Effort!C190</f>
        <v>0</v>
      </c>
      <c r="G190" s="191">
        <f>'Péréquation directe'!G196/Effort!C190</f>
        <v>0</v>
      </c>
      <c r="H190" s="191">
        <f>'Péréquation directe'!J196/Effort!C190</f>
        <v>19.118483643972599</v>
      </c>
      <c r="I190" s="341">
        <f t="shared" si="6"/>
        <v>38.414106709798268</v>
      </c>
      <c r="J190" s="208">
        <f t="shared" si="7"/>
        <v>0</v>
      </c>
      <c r="K190" s="42">
        <f t="shared" si="8"/>
        <v>0</v>
      </c>
      <c r="L190" s="222"/>
    </row>
    <row r="191" spans="1:12" x14ac:dyDescent="0.25">
      <c r="A191" s="38">
        <f>Données!A191</f>
        <v>5720</v>
      </c>
      <c r="B191" s="167" t="str">
        <f>Données!B191</f>
        <v>Givrins</v>
      </c>
      <c r="C191" s="321">
        <f>VPI!R191</f>
        <v>84868.432139303477</v>
      </c>
      <c r="D191" s="191">
        <f>(PCS!I197-PCS!F197)/C191</f>
        <v>20.041040795911336</v>
      </c>
      <c r="E191" s="448">
        <f>'Péréquation directe'!E197/C191</f>
        <v>-1.6224474039818946</v>
      </c>
      <c r="F191" s="191">
        <f>'Péréquation directe'!F197/Effort!C191</f>
        <v>0</v>
      </c>
      <c r="G191" s="191">
        <f>'Péréquation directe'!G197/Effort!C191</f>
        <v>-0.22625522130542311</v>
      </c>
      <c r="H191" s="191">
        <f>'Péréquation directe'!J197/Effort!C191</f>
        <v>19.118483643972599</v>
      </c>
      <c r="I191" s="341">
        <f t="shared" si="6"/>
        <v>37.310821814596622</v>
      </c>
      <c r="J191" s="208">
        <f t="shared" si="7"/>
        <v>0</v>
      </c>
      <c r="K191" s="42">
        <f t="shared" si="8"/>
        <v>0</v>
      </c>
      <c r="L191" s="222"/>
    </row>
    <row r="192" spans="1:12" x14ac:dyDescent="0.25">
      <c r="A192" s="38">
        <f>Données!A192</f>
        <v>5721</v>
      </c>
      <c r="B192" s="167" t="str">
        <f>Données!B192</f>
        <v>Gland</v>
      </c>
      <c r="C192" s="321">
        <f>VPI!R192</f>
        <v>688985.30491803284</v>
      </c>
      <c r="D192" s="191">
        <f>(PCS!I198-PCS!F198)/C192</f>
        <v>12.111066726800237</v>
      </c>
      <c r="E192" s="448">
        <f>'Péréquation directe'!E198/C192</f>
        <v>-12.675722189672008</v>
      </c>
      <c r="F192" s="191">
        <f>'Péréquation directe'!F198/Effort!C192</f>
        <v>0</v>
      </c>
      <c r="G192" s="191">
        <f>'Péréquation directe'!G198/Effort!C192</f>
        <v>0</v>
      </c>
      <c r="H192" s="191">
        <f>'Péréquation directe'!J198/Effort!C192</f>
        <v>19.118483643972599</v>
      </c>
      <c r="I192" s="341">
        <f t="shared" si="6"/>
        <v>18.553828181100826</v>
      </c>
      <c r="J192" s="208">
        <f t="shared" si="7"/>
        <v>0</v>
      </c>
      <c r="K192" s="42">
        <f t="shared" si="8"/>
        <v>0</v>
      </c>
      <c r="L192" s="222"/>
    </row>
    <row r="193" spans="1:12" x14ac:dyDescent="0.25">
      <c r="A193" s="38">
        <f>Données!A193</f>
        <v>5722</v>
      </c>
      <c r="B193" s="167" t="str">
        <f>Données!B193</f>
        <v>Grens</v>
      </c>
      <c r="C193" s="321">
        <f>VPI!R193</f>
        <v>20912.723225806454</v>
      </c>
      <c r="D193" s="191">
        <f>(PCS!I199-PCS!F199)/C193</f>
        <v>12.56139583572716</v>
      </c>
      <c r="E193" s="448">
        <f>'Péréquation directe'!E199/C193</f>
        <v>-2.4678592735354243</v>
      </c>
      <c r="F193" s="191">
        <f>'Péréquation directe'!F199/Effort!C193</f>
        <v>0</v>
      </c>
      <c r="G193" s="191">
        <f>'Péréquation directe'!G199/Effort!C193</f>
        <v>0</v>
      </c>
      <c r="H193" s="191">
        <f>'Péréquation directe'!J199/Effort!C193</f>
        <v>19.118483643972599</v>
      </c>
      <c r="I193" s="341">
        <f t="shared" si="6"/>
        <v>29.212020206164333</v>
      </c>
      <c r="J193" s="208">
        <f t="shared" si="7"/>
        <v>0</v>
      </c>
      <c r="K193" s="42">
        <f t="shared" si="8"/>
        <v>0</v>
      </c>
      <c r="L193" s="222"/>
    </row>
    <row r="194" spans="1:12" x14ac:dyDescent="0.25">
      <c r="A194" s="38">
        <f>Données!A194</f>
        <v>5723</v>
      </c>
      <c r="B194" s="167" t="str">
        <f>Données!B194</f>
        <v>Mies</v>
      </c>
      <c r="C194" s="321">
        <f>VPI!R194</f>
        <v>253771.19326923077</v>
      </c>
      <c r="D194" s="191">
        <f>(PCS!I200-PCS!F200)/C194</f>
        <v>22.844581144382502</v>
      </c>
      <c r="E194" s="448">
        <f>'Péréquation directe'!E200/C194</f>
        <v>-2.2537555268122063</v>
      </c>
      <c r="F194" s="191">
        <f>'Péréquation directe'!F200/Effort!C194</f>
        <v>0</v>
      </c>
      <c r="G194" s="191">
        <f>'Péréquation directe'!G200/Effort!C194</f>
        <v>0</v>
      </c>
      <c r="H194" s="191">
        <f>'Péréquation directe'!J200/Effort!C194</f>
        <v>19.118483643972599</v>
      </c>
      <c r="I194" s="341">
        <f t="shared" si="6"/>
        <v>39.709309261542899</v>
      </c>
      <c r="J194" s="208">
        <f t="shared" si="7"/>
        <v>0</v>
      </c>
      <c r="K194" s="42">
        <f t="shared" si="8"/>
        <v>0</v>
      </c>
      <c r="L194" s="222"/>
    </row>
    <row r="195" spans="1:12" x14ac:dyDescent="0.25">
      <c r="A195" s="38">
        <f>Données!A195</f>
        <v>5724</v>
      </c>
      <c r="B195" s="167" t="str">
        <f>Données!B195</f>
        <v>Nyon</v>
      </c>
      <c r="C195" s="321">
        <f>VPI!R195</f>
        <v>1520148.6004918031</v>
      </c>
      <c r="D195" s="191">
        <f>(PCS!I201-PCS!F201)/C195</f>
        <v>15.977650214595785</v>
      </c>
      <c r="E195" s="448">
        <f>'Péréquation directe'!E201/C195</f>
        <v>-11.956686957968255</v>
      </c>
      <c r="F195" s="191">
        <f>'Péréquation directe'!F201/Effort!C195</f>
        <v>0</v>
      </c>
      <c r="G195" s="191">
        <f>'Péréquation directe'!G201/Effort!C195</f>
        <v>-0.97261208316795311</v>
      </c>
      <c r="H195" s="191">
        <f>'Péréquation directe'!J201/Effort!C195</f>
        <v>19.118483643972599</v>
      </c>
      <c r="I195" s="341">
        <f t="shared" si="6"/>
        <v>22.166834817432175</v>
      </c>
      <c r="J195" s="208">
        <f t="shared" si="7"/>
        <v>0</v>
      </c>
      <c r="K195" s="42">
        <f t="shared" si="8"/>
        <v>0</v>
      </c>
      <c r="L195" s="222"/>
    </row>
    <row r="196" spans="1:12" x14ac:dyDescent="0.25">
      <c r="A196" s="38">
        <f>Données!A196</f>
        <v>5725</v>
      </c>
      <c r="B196" s="167" t="str">
        <f>Données!B196</f>
        <v>Prangins</v>
      </c>
      <c r="C196" s="321">
        <f>VPI!R196</f>
        <v>388958.996077922</v>
      </c>
      <c r="D196" s="191">
        <f>(PCS!I202-PCS!F202)/C196</f>
        <v>19.879834966601614</v>
      </c>
      <c r="E196" s="448">
        <f>'Péréquation directe'!E202/C196</f>
        <v>-3.8837376262307699</v>
      </c>
      <c r="F196" s="191">
        <f>'Péréquation directe'!F202/Effort!C196</f>
        <v>0</v>
      </c>
      <c r="G196" s="191">
        <f>'Péréquation directe'!G202/Effort!C196</f>
        <v>0</v>
      </c>
      <c r="H196" s="191">
        <f>'Péréquation directe'!J202/Effort!C196</f>
        <v>19.118483643972599</v>
      </c>
      <c r="I196" s="341">
        <f t="shared" si="6"/>
        <v>35.114580984343441</v>
      </c>
      <c r="J196" s="208">
        <f t="shared" si="7"/>
        <v>0</v>
      </c>
      <c r="K196" s="42">
        <f t="shared" si="8"/>
        <v>0</v>
      </c>
      <c r="L196" s="222"/>
    </row>
    <row r="197" spans="1:12" x14ac:dyDescent="0.25">
      <c r="A197" s="38">
        <f>Données!A197</f>
        <v>5726</v>
      </c>
      <c r="B197" s="167" t="str">
        <f>Données!B197</f>
        <v>La Rippe</v>
      </c>
      <c r="C197" s="321">
        <f>VPI!R197</f>
        <v>69785.913125000021</v>
      </c>
      <c r="D197" s="191">
        <f>(PCS!I203-PCS!F203)/C197</f>
        <v>13.830582895788439</v>
      </c>
      <c r="E197" s="448">
        <f>'Péréquation directe'!E203/C197</f>
        <v>-2.8686858739024972</v>
      </c>
      <c r="F197" s="191">
        <f>'Péréquation directe'!F203/Effort!C197</f>
        <v>0</v>
      </c>
      <c r="G197" s="191">
        <f>'Péréquation directe'!G203/Effort!C197</f>
        <v>0</v>
      </c>
      <c r="H197" s="191">
        <f>'Péréquation directe'!J203/Effort!C197</f>
        <v>19.118483643972599</v>
      </c>
      <c r="I197" s="341">
        <f t="shared" si="6"/>
        <v>30.080380665858542</v>
      </c>
      <c r="J197" s="208">
        <f t="shared" si="7"/>
        <v>0</v>
      </c>
      <c r="K197" s="42">
        <f t="shared" si="8"/>
        <v>0</v>
      </c>
      <c r="L197" s="222"/>
    </row>
    <row r="198" spans="1:12" x14ac:dyDescent="0.25">
      <c r="A198" s="38">
        <f>Données!A198</f>
        <v>5727</v>
      </c>
      <c r="B198" s="167" t="str">
        <f>Données!B198</f>
        <v>Saint-Cergue</v>
      </c>
      <c r="C198" s="321">
        <f>VPI!R198</f>
        <v>107048.1634848485</v>
      </c>
      <c r="D198" s="191">
        <f>(PCS!I204-PCS!F204)/C198</f>
        <v>11.657506598737131</v>
      </c>
      <c r="E198" s="448">
        <f>'Péréquation directe'!E204/C198</f>
        <v>-7.232707814186587</v>
      </c>
      <c r="F198" s="191">
        <f>'Péréquation directe'!F204/Effort!C198</f>
        <v>-4.5523772040858077</v>
      </c>
      <c r="G198" s="191">
        <f>'Péréquation directe'!G204/Effort!C198</f>
        <v>-3.2793920516624313</v>
      </c>
      <c r="H198" s="191">
        <f>'Péréquation directe'!J204/Effort!C198</f>
        <v>19.118483643972599</v>
      </c>
      <c r="I198" s="341">
        <f t="shared" si="6"/>
        <v>15.711513172774904</v>
      </c>
      <c r="J198" s="208">
        <f t="shared" si="7"/>
        <v>0</v>
      </c>
      <c r="K198" s="42">
        <f t="shared" si="8"/>
        <v>0</v>
      </c>
      <c r="L198" s="222"/>
    </row>
    <row r="199" spans="1:12" x14ac:dyDescent="0.25">
      <c r="A199" s="38">
        <f>Données!A199</f>
        <v>5728</v>
      </c>
      <c r="B199" s="167" t="str">
        <f>Données!B199</f>
        <v>Signy-Avenex</v>
      </c>
      <c r="C199" s="321">
        <f>VPI!R199</f>
        <v>66000.760172413793</v>
      </c>
      <c r="D199" s="191">
        <f>(PCS!I205-PCS!F205)/C199</f>
        <v>24.019462688080953</v>
      </c>
      <c r="E199" s="448">
        <f>'Péréquation directe'!E205/C199</f>
        <v>-1.1397001528808528</v>
      </c>
      <c r="F199" s="191">
        <f>'Péréquation directe'!F205/Effort!C199</f>
        <v>0</v>
      </c>
      <c r="G199" s="191">
        <f>'Péréquation directe'!G205/Effort!C199</f>
        <v>0</v>
      </c>
      <c r="H199" s="191">
        <f>'Péréquation directe'!J205/Effort!C199</f>
        <v>19.118483643972599</v>
      </c>
      <c r="I199" s="341">
        <f t="shared" ref="I199:I262" si="9">SUM(D199:H199)</f>
        <v>41.998246179172696</v>
      </c>
      <c r="J199" s="208">
        <f t="shared" ref="J199:J262" si="10">IF(I199&gt;J$5,I199-J$5,0)</f>
        <v>0</v>
      </c>
      <c r="K199" s="42">
        <f t="shared" ref="K199:K262" si="11">-J199*C199</f>
        <v>0</v>
      </c>
      <c r="L199" s="222"/>
    </row>
    <row r="200" spans="1:12" x14ac:dyDescent="0.25">
      <c r="A200" s="38">
        <f>Données!A200</f>
        <v>5729</v>
      </c>
      <c r="B200" s="167" t="str">
        <f>Données!B200</f>
        <v>Tannay</v>
      </c>
      <c r="C200" s="321">
        <f>VPI!R200</f>
        <v>189085.86771349865</v>
      </c>
      <c r="D200" s="191">
        <f>(PCS!I206-PCS!F206)/C200</f>
        <v>24.035249383591079</v>
      </c>
      <c r="E200" s="448">
        <f>'Péréquation directe'!E206/C200</f>
        <v>-2.0579899790034553</v>
      </c>
      <c r="F200" s="191">
        <f>'Péréquation directe'!F206/Effort!C200</f>
        <v>0</v>
      </c>
      <c r="G200" s="191">
        <f>'Péréquation directe'!G206/Effort!C200</f>
        <v>0</v>
      </c>
      <c r="H200" s="191">
        <f>'Péréquation directe'!J206/Effort!C200</f>
        <v>19.118483643972599</v>
      </c>
      <c r="I200" s="341">
        <f t="shared" si="9"/>
        <v>41.095743048560223</v>
      </c>
      <c r="J200" s="208">
        <f t="shared" si="10"/>
        <v>0</v>
      </c>
      <c r="K200" s="42">
        <f t="shared" si="11"/>
        <v>0</v>
      </c>
      <c r="L200" s="222"/>
    </row>
    <row r="201" spans="1:12" x14ac:dyDescent="0.25">
      <c r="A201" s="38">
        <f>Données!A201</f>
        <v>5730</v>
      </c>
      <c r="B201" s="167" t="str">
        <f>Données!B201</f>
        <v>Trélex</v>
      </c>
      <c r="C201" s="321">
        <f>VPI!R201</f>
        <v>121414.34176176177</v>
      </c>
      <c r="D201" s="191">
        <f>(PCS!I207-PCS!F207)/C201</f>
        <v>18.997305823151233</v>
      </c>
      <c r="E201" s="448">
        <f>'Péréquation directe'!E207/C201</f>
        <v>-2.3332121095768845</v>
      </c>
      <c r="F201" s="191">
        <f>'Péréquation directe'!F207/Effort!C201</f>
        <v>0</v>
      </c>
      <c r="G201" s="191">
        <f>'Péréquation directe'!G207/Effort!C201</f>
        <v>0</v>
      </c>
      <c r="H201" s="191">
        <f>'Péréquation directe'!J207/Effort!C201</f>
        <v>19.118483643972599</v>
      </c>
      <c r="I201" s="341">
        <f t="shared" si="9"/>
        <v>35.782577357546948</v>
      </c>
      <c r="J201" s="208">
        <f t="shared" si="10"/>
        <v>0</v>
      </c>
      <c r="K201" s="42">
        <f t="shared" si="11"/>
        <v>0</v>
      </c>
      <c r="L201" s="222"/>
    </row>
    <row r="202" spans="1:12" x14ac:dyDescent="0.25">
      <c r="A202" s="38">
        <f>Données!A202</f>
        <v>5731</v>
      </c>
      <c r="B202" s="167" t="str">
        <f>Données!B202</f>
        <v>Le Vaud</v>
      </c>
      <c r="C202" s="321">
        <f>VPI!R202</f>
        <v>69610.558648648643</v>
      </c>
      <c r="D202" s="191">
        <f>(PCS!I208-PCS!F208)/C202</f>
        <v>11.916533775894214</v>
      </c>
      <c r="E202" s="448">
        <f>'Péréquation directe'!E208/C202</f>
        <v>-3.9865379070635489</v>
      </c>
      <c r="F202" s="191">
        <f>'Péréquation directe'!F208/Effort!C202</f>
        <v>0</v>
      </c>
      <c r="G202" s="191">
        <f>'Péréquation directe'!G208/Effort!C202</f>
        <v>-0.36120092405832538</v>
      </c>
      <c r="H202" s="191">
        <f>'Péréquation directe'!J208/Effort!C202</f>
        <v>19.118483643972599</v>
      </c>
      <c r="I202" s="341">
        <f t="shared" si="9"/>
        <v>26.687278588744938</v>
      </c>
      <c r="J202" s="208">
        <f t="shared" si="10"/>
        <v>0</v>
      </c>
      <c r="K202" s="42">
        <f t="shared" si="11"/>
        <v>0</v>
      </c>
      <c r="L202" s="222"/>
    </row>
    <row r="203" spans="1:12" x14ac:dyDescent="0.25">
      <c r="A203" s="38">
        <f>Données!A203</f>
        <v>5732</v>
      </c>
      <c r="B203" s="167" t="str">
        <f>Données!B203</f>
        <v>Vich</v>
      </c>
      <c r="C203" s="321">
        <f>VPI!R203</f>
        <v>79861.73920634923</v>
      </c>
      <c r="D203" s="191">
        <f>(PCS!I209-PCS!F209)/C203</f>
        <v>16.364003208688363</v>
      </c>
      <c r="E203" s="448">
        <f>'Péréquation directe'!E209/C203</f>
        <v>-2.3393800789623977</v>
      </c>
      <c r="F203" s="191">
        <f>'Péréquation directe'!F209/Effort!C203</f>
        <v>0</v>
      </c>
      <c r="G203" s="191">
        <f>'Péréquation directe'!G209/Effort!C203</f>
        <v>0</v>
      </c>
      <c r="H203" s="191">
        <f>'Péréquation directe'!J209/Effort!C203</f>
        <v>19.118483643972599</v>
      </c>
      <c r="I203" s="341">
        <f t="shared" si="9"/>
        <v>33.143106773698563</v>
      </c>
      <c r="J203" s="208">
        <f t="shared" si="10"/>
        <v>0</v>
      </c>
      <c r="K203" s="42">
        <f t="shared" si="11"/>
        <v>0</v>
      </c>
      <c r="L203" s="222"/>
    </row>
    <row r="204" spans="1:12" x14ac:dyDescent="0.25">
      <c r="A204" s="38">
        <f>Données!A204</f>
        <v>5741</v>
      </c>
      <c r="B204" s="167" t="str">
        <f>Données!B204</f>
        <v>L'Abergement</v>
      </c>
      <c r="C204" s="321">
        <f>VPI!R204</f>
        <v>10833.904395833331</v>
      </c>
      <c r="D204" s="191">
        <f>(PCS!I210-PCS!F210)/C204</f>
        <v>11.657506598737131</v>
      </c>
      <c r="E204" s="448">
        <f>'Péréquation directe'!E210/C204</f>
        <v>-3.0964162540420528</v>
      </c>
      <c r="F204" s="191">
        <f>'Péréquation directe'!F210/Effort!C204</f>
        <v>-4.1754549187149781</v>
      </c>
      <c r="G204" s="191">
        <f>'Péréquation directe'!G210/Effort!C204</f>
        <v>-10.50015222322579</v>
      </c>
      <c r="H204" s="191">
        <f>'Péréquation directe'!J210/Effort!C204</f>
        <v>19.118483643972599</v>
      </c>
      <c r="I204" s="341">
        <f t="shared" si="9"/>
        <v>13.003966846726909</v>
      </c>
      <c r="J204" s="208">
        <f t="shared" si="10"/>
        <v>0</v>
      </c>
      <c r="K204" s="42">
        <f t="shared" si="11"/>
        <v>0</v>
      </c>
      <c r="L204" s="222"/>
    </row>
    <row r="205" spans="1:12" x14ac:dyDescent="0.25">
      <c r="A205" s="38">
        <f>Données!A205</f>
        <v>5742</v>
      </c>
      <c r="B205" s="167" t="str">
        <f>Données!B205</f>
        <v>Agiez</v>
      </c>
      <c r="C205" s="321">
        <f>VPI!R205</f>
        <v>9049.0364473684222</v>
      </c>
      <c r="D205" s="191">
        <f>(PCS!I211-PCS!F211)/C205</f>
        <v>11.657506598737129</v>
      </c>
      <c r="E205" s="448">
        <f>'Péréquation directe'!E211/C205</f>
        <v>-5.4324236045559147</v>
      </c>
      <c r="F205" s="191">
        <f>'Péréquation directe'!F211/Effort!C205</f>
        <v>-24.027231923658107</v>
      </c>
      <c r="G205" s="191">
        <f>'Péréquation directe'!G211/Effort!C205</f>
        <v>-4.5893012169644045</v>
      </c>
      <c r="H205" s="191">
        <f>'Péréquation directe'!J211/Effort!C205</f>
        <v>19.118483643972599</v>
      </c>
      <c r="I205" s="341">
        <f t="shared" si="9"/>
        <v>-3.272966502468698</v>
      </c>
      <c r="J205" s="208">
        <f t="shared" si="10"/>
        <v>0</v>
      </c>
      <c r="K205" s="42">
        <f t="shared" si="11"/>
        <v>0</v>
      </c>
      <c r="L205" s="222"/>
    </row>
    <row r="206" spans="1:12" x14ac:dyDescent="0.25">
      <c r="A206" s="38">
        <f>Données!A206</f>
        <v>5743</v>
      </c>
      <c r="B206" s="167" t="str">
        <f>Données!B206</f>
        <v>Arnex-sur-Orbe</v>
      </c>
      <c r="C206" s="321">
        <f>VPI!R206</f>
        <v>19423.544507042254</v>
      </c>
      <c r="D206" s="191">
        <f>(PCS!I212-PCS!F212)/C206</f>
        <v>11.657506598737129</v>
      </c>
      <c r="E206" s="448">
        <f>'Péréquation directe'!E212/C206</f>
        <v>-4.5967258044547767</v>
      </c>
      <c r="F206" s="191">
        <f>'Péréquation directe'!F212/Effort!C206</f>
        <v>-14.64446526796211</v>
      </c>
      <c r="G206" s="191">
        <f>'Péréquation directe'!G212/Effort!C206</f>
        <v>-4.7228111699431201</v>
      </c>
      <c r="H206" s="191">
        <f>'Péréquation directe'!J212/Effort!C206</f>
        <v>19.118483643972599</v>
      </c>
      <c r="I206" s="341">
        <f t="shared" si="9"/>
        <v>6.8119880003497215</v>
      </c>
      <c r="J206" s="208">
        <f t="shared" si="10"/>
        <v>0</v>
      </c>
      <c r="K206" s="42">
        <f t="shared" si="11"/>
        <v>0</v>
      </c>
      <c r="L206" s="222"/>
    </row>
    <row r="207" spans="1:12" x14ac:dyDescent="0.25">
      <c r="A207" s="38">
        <f>Données!A207</f>
        <v>5744</v>
      </c>
      <c r="B207" s="167" t="str">
        <f>Données!B207</f>
        <v>Ballaigues</v>
      </c>
      <c r="C207" s="321">
        <f>VPI!R207</f>
        <v>54105.101538461538</v>
      </c>
      <c r="D207" s="191">
        <f>(PCS!I213-PCS!F213)/C207</f>
        <v>11.657506598737129</v>
      </c>
      <c r="E207" s="448">
        <f>'Péréquation directe'!E213/C207</f>
        <v>-3.399620658595357</v>
      </c>
      <c r="F207" s="191">
        <f>'Péréquation directe'!F213/Effort!C207</f>
        <v>-0.54093701065015176</v>
      </c>
      <c r="G207" s="191">
        <f>'Péréquation directe'!G213/Effort!C207</f>
        <v>-5.8821359828545674</v>
      </c>
      <c r="H207" s="191">
        <f>'Péréquation directe'!J213/Effort!C207</f>
        <v>19.118483643972599</v>
      </c>
      <c r="I207" s="341">
        <f t="shared" si="9"/>
        <v>20.953296590609654</v>
      </c>
      <c r="J207" s="208">
        <f t="shared" si="10"/>
        <v>0</v>
      </c>
      <c r="K207" s="42">
        <f t="shared" si="11"/>
        <v>0</v>
      </c>
      <c r="L207" s="222"/>
    </row>
    <row r="208" spans="1:12" x14ac:dyDescent="0.25">
      <c r="A208" s="38">
        <f>Données!A208</f>
        <v>5745</v>
      </c>
      <c r="B208" s="167" t="str">
        <f>Données!B208</f>
        <v>Baulmes</v>
      </c>
      <c r="C208" s="321">
        <f>VPI!R208</f>
        <v>27705.104967320265</v>
      </c>
      <c r="D208" s="191">
        <f>(PCS!I214-PCS!F214)/C208</f>
        <v>11.657506598737129</v>
      </c>
      <c r="E208" s="448">
        <f>'Péréquation directe'!E214/C208</f>
        <v>-6.3782999205856958</v>
      </c>
      <c r="F208" s="191">
        <f>'Péréquation directe'!F214/Effort!C208</f>
        <v>-22.932892189877077</v>
      </c>
      <c r="G208" s="191">
        <f>'Péréquation directe'!G214/Effort!C208</f>
        <v>-13.379349831297221</v>
      </c>
      <c r="H208" s="191">
        <f>'Péréquation directe'!J214/Effort!C208</f>
        <v>19.118483643972599</v>
      </c>
      <c r="I208" s="341">
        <f t="shared" si="9"/>
        <v>-11.914551699050268</v>
      </c>
      <c r="J208" s="208">
        <f t="shared" si="10"/>
        <v>0</v>
      </c>
      <c r="K208" s="42">
        <f t="shared" si="11"/>
        <v>0</v>
      </c>
      <c r="L208" s="222"/>
    </row>
    <row r="209" spans="1:12" x14ac:dyDescent="0.25">
      <c r="A209" s="38">
        <f>Données!A209</f>
        <v>5746</v>
      </c>
      <c r="B209" s="167" t="str">
        <f>Données!B209</f>
        <v>Bavois</v>
      </c>
      <c r="C209" s="321">
        <f>VPI!R209</f>
        <v>29513.59275462963</v>
      </c>
      <c r="D209" s="191">
        <f>(PCS!I215-PCS!F215)/C209</f>
        <v>11.657506598737129</v>
      </c>
      <c r="E209" s="448">
        <f>'Péréquation directe'!E215/C209</f>
        <v>-4.4818519527471006</v>
      </c>
      <c r="F209" s="191">
        <f>'Péréquation directe'!F215/Effort!C209</f>
        <v>-13.614518298626685</v>
      </c>
      <c r="G209" s="191">
        <f>'Péréquation directe'!G215/Effort!C209</f>
        <v>-8.9127491557254501</v>
      </c>
      <c r="H209" s="191">
        <f>'Péréquation directe'!J215/Effort!C209</f>
        <v>19.118483643972599</v>
      </c>
      <c r="I209" s="341">
        <f t="shared" si="9"/>
        <v>3.7668708356104936</v>
      </c>
      <c r="J209" s="208">
        <f t="shared" si="10"/>
        <v>0</v>
      </c>
      <c r="K209" s="42">
        <f t="shared" si="11"/>
        <v>0</v>
      </c>
      <c r="L209" s="222"/>
    </row>
    <row r="210" spans="1:12" x14ac:dyDescent="0.25">
      <c r="A210" s="38">
        <f>Données!A210</f>
        <v>5747</v>
      </c>
      <c r="B210" s="167" t="str">
        <f>Données!B210</f>
        <v>Bofflens</v>
      </c>
      <c r="C210" s="321">
        <f>VPI!R210</f>
        <v>5778.0378260869547</v>
      </c>
      <c r="D210" s="191">
        <f>(PCS!I216-PCS!F216)/C210</f>
        <v>11.657506598737129</v>
      </c>
      <c r="E210" s="448">
        <f>'Péréquation directe'!E216/C210</f>
        <v>-4.5553397789271939</v>
      </c>
      <c r="F210" s="191">
        <f>'Péréquation directe'!F216/Effort!C210</f>
        <v>-13.535199034854481</v>
      </c>
      <c r="G210" s="191">
        <f>'Péréquation directe'!G216/Effort!C210</f>
        <v>-3.5706798163089393</v>
      </c>
      <c r="H210" s="191">
        <f>'Péréquation directe'!J216/Effort!C210</f>
        <v>19.118483643972599</v>
      </c>
      <c r="I210" s="341">
        <f t="shared" si="9"/>
        <v>9.1147716126191138</v>
      </c>
      <c r="J210" s="208">
        <f t="shared" si="10"/>
        <v>0</v>
      </c>
      <c r="K210" s="42">
        <f t="shared" si="11"/>
        <v>0</v>
      </c>
      <c r="L210" s="222"/>
    </row>
    <row r="211" spans="1:12" x14ac:dyDescent="0.25">
      <c r="A211" s="38">
        <f>Données!A211</f>
        <v>5748</v>
      </c>
      <c r="B211" s="167" t="str">
        <f>Données!B211</f>
        <v>Bretonnières</v>
      </c>
      <c r="C211" s="321">
        <f>VPI!R211</f>
        <v>6762.4759338061467</v>
      </c>
      <c r="D211" s="191">
        <f>(PCS!I217-PCS!F217)/C211</f>
        <v>11.657506598737129</v>
      </c>
      <c r="E211" s="448">
        <f>'Péréquation directe'!E217/C211</f>
        <v>-5.0369679062652706</v>
      </c>
      <c r="F211" s="191">
        <f>'Péréquation directe'!F217/Effort!C211</f>
        <v>-17.724298778009565</v>
      </c>
      <c r="G211" s="191">
        <f>'Péréquation directe'!G217/Effort!C211</f>
        <v>-12.159605187759576</v>
      </c>
      <c r="H211" s="191">
        <f>'Péréquation directe'!J217/Effort!C211</f>
        <v>19.118483643972599</v>
      </c>
      <c r="I211" s="341">
        <f t="shared" si="9"/>
        <v>-4.1448816293246828</v>
      </c>
      <c r="J211" s="208">
        <f t="shared" si="10"/>
        <v>0</v>
      </c>
      <c r="K211" s="42">
        <f t="shared" si="11"/>
        <v>0</v>
      </c>
      <c r="L211" s="222"/>
    </row>
    <row r="212" spans="1:12" x14ac:dyDescent="0.25">
      <c r="A212" s="38">
        <f>Données!A212</f>
        <v>5749</v>
      </c>
      <c r="B212" s="167" t="str">
        <f>Données!B212</f>
        <v>Chavornay</v>
      </c>
      <c r="C212" s="321">
        <f>VPI!R212</f>
        <v>144692.07858156026</v>
      </c>
      <c r="D212" s="191">
        <f>(PCS!I218-PCS!F218)/C212</f>
        <v>11.657506598737129</v>
      </c>
      <c r="E212" s="448">
        <f>'Péréquation directe'!E218/C212</f>
        <v>-14.75253845021707</v>
      </c>
      <c r="F212" s="191">
        <f>'Péréquation directe'!F218/Effort!C212</f>
        <v>-16.10306657135046</v>
      </c>
      <c r="G212" s="191">
        <f>'Péréquation directe'!G218/Effort!C212</f>
        <v>-5.5590808941283418</v>
      </c>
      <c r="H212" s="191">
        <f>'Péréquation directe'!J218/Effort!C212</f>
        <v>19.118483643972599</v>
      </c>
      <c r="I212" s="341">
        <f t="shared" si="9"/>
        <v>-5.6386956729861453</v>
      </c>
      <c r="J212" s="208">
        <f t="shared" si="10"/>
        <v>0</v>
      </c>
      <c r="K212" s="42">
        <f t="shared" si="11"/>
        <v>0</v>
      </c>
      <c r="L212" s="222"/>
    </row>
    <row r="213" spans="1:12" x14ac:dyDescent="0.25">
      <c r="A213" s="38">
        <f>Données!A213</f>
        <v>5750</v>
      </c>
      <c r="B213" s="167" t="str">
        <f>Données!B213</f>
        <v>Les Clées</v>
      </c>
      <c r="C213" s="321">
        <f>VPI!R213</f>
        <v>5460.4465833333343</v>
      </c>
      <c r="D213" s="191">
        <f>(PCS!I219-PCS!F219)/C213</f>
        <v>11.657506598737127</v>
      </c>
      <c r="E213" s="448">
        <f>'Péréquation directe'!E219/C213</f>
        <v>-4.3949685395556308</v>
      </c>
      <c r="F213" s="191">
        <f>'Péréquation directe'!F219/Effort!C213</f>
        <v>-16.653700829550388</v>
      </c>
      <c r="G213" s="191">
        <f>'Péréquation directe'!G219/Effort!C213</f>
        <v>-9.8914960046231837</v>
      </c>
      <c r="H213" s="191">
        <f>'Péréquation directe'!J219/Effort!C213</f>
        <v>19.118483643972599</v>
      </c>
      <c r="I213" s="341">
        <f t="shared" si="9"/>
        <v>-0.16417513101947634</v>
      </c>
      <c r="J213" s="208">
        <f t="shared" si="10"/>
        <v>0</v>
      </c>
      <c r="K213" s="42">
        <f t="shared" si="11"/>
        <v>0</v>
      </c>
      <c r="L213" s="222"/>
    </row>
    <row r="214" spans="1:12" x14ac:dyDescent="0.25">
      <c r="A214" s="38">
        <f>Données!A214</f>
        <v>5752</v>
      </c>
      <c r="B214" s="167" t="str">
        <f>Données!B214</f>
        <v>Croy</v>
      </c>
      <c r="C214" s="321">
        <f>VPI!R214</f>
        <v>10204.254034749034</v>
      </c>
      <c r="D214" s="191">
        <f>(PCS!I220-PCS!F220)/C214</f>
        <v>11.657506598737129</v>
      </c>
      <c r="E214" s="448">
        <f>'Péréquation directe'!E220/C214</f>
        <v>-4.8806428916723812</v>
      </c>
      <c r="F214" s="191">
        <f>'Péréquation directe'!F220/Effort!C214</f>
        <v>-18.242538142886787</v>
      </c>
      <c r="G214" s="191">
        <f>'Péréquation directe'!G220/Effort!C214</f>
        <v>-25.347293874761622</v>
      </c>
      <c r="H214" s="191">
        <f>'Péréquation directe'!J220/Effort!C214</f>
        <v>19.118483643972599</v>
      </c>
      <c r="I214" s="341">
        <f t="shared" si="9"/>
        <v>-17.694484666611057</v>
      </c>
      <c r="J214" s="208">
        <f t="shared" si="10"/>
        <v>0</v>
      </c>
      <c r="K214" s="42">
        <f t="shared" si="11"/>
        <v>0</v>
      </c>
      <c r="L214" s="222"/>
    </row>
    <row r="215" spans="1:12" x14ac:dyDescent="0.25">
      <c r="A215" s="38">
        <f>Données!A215</f>
        <v>5754</v>
      </c>
      <c r="B215" s="167" t="str">
        <f>Données!B215</f>
        <v>Juriens</v>
      </c>
      <c r="C215" s="321">
        <f>VPI!R215</f>
        <v>8633.2483544303759</v>
      </c>
      <c r="D215" s="191">
        <f>(PCS!I221-PCS!F221)/C215</f>
        <v>11.657506598737127</v>
      </c>
      <c r="E215" s="448">
        <f>'Péréquation directe'!E221/C215</f>
        <v>-5.1709799477550185</v>
      </c>
      <c r="F215" s="191">
        <f>'Péréquation directe'!F221/Effort!C215</f>
        <v>-23.511668155523147</v>
      </c>
      <c r="G215" s="191">
        <f>'Péréquation directe'!G221/Effort!C215</f>
        <v>-3.7429433912711545</v>
      </c>
      <c r="H215" s="191">
        <f>'Péréquation directe'!J221/Effort!C215</f>
        <v>19.118483643972599</v>
      </c>
      <c r="I215" s="341">
        <f t="shared" si="9"/>
        <v>-1.6496012518395951</v>
      </c>
      <c r="J215" s="208">
        <f t="shared" si="10"/>
        <v>0</v>
      </c>
      <c r="K215" s="42">
        <f t="shared" si="11"/>
        <v>0</v>
      </c>
      <c r="L215" s="222"/>
    </row>
    <row r="216" spans="1:12" x14ac:dyDescent="0.25">
      <c r="A216" s="38">
        <f>Données!A216</f>
        <v>5755</v>
      </c>
      <c r="B216" s="167" t="str">
        <f>Données!B216</f>
        <v>Lignerolle</v>
      </c>
      <c r="C216" s="321">
        <f>VPI!R216</f>
        <v>10920.942602365787</v>
      </c>
      <c r="D216" s="191">
        <f>(PCS!I222-PCS!F222)/C216</f>
        <v>11.657506598737127</v>
      </c>
      <c r="E216" s="448">
        <f>'Péréquation directe'!E222/C216</f>
        <v>-5.2810270007321014</v>
      </c>
      <c r="F216" s="191">
        <f>'Péréquation directe'!F222/Effort!C216</f>
        <v>-24.233191025105913</v>
      </c>
      <c r="G216" s="191">
        <f>'Péréquation directe'!G222/Effort!C216</f>
        <v>-11.230384766188795</v>
      </c>
      <c r="H216" s="191">
        <f>'Péréquation directe'!J222/Effort!C216</f>
        <v>19.118483643972599</v>
      </c>
      <c r="I216" s="341">
        <f t="shared" si="9"/>
        <v>-9.9686125493170827</v>
      </c>
      <c r="J216" s="208">
        <f t="shared" si="10"/>
        <v>0</v>
      </c>
      <c r="K216" s="42">
        <f t="shared" si="11"/>
        <v>0</v>
      </c>
      <c r="L216" s="222"/>
    </row>
    <row r="217" spans="1:12" x14ac:dyDescent="0.25">
      <c r="A217" s="38">
        <f>Données!A217</f>
        <v>5756</v>
      </c>
      <c r="B217" s="167" t="str">
        <f>Données!B217</f>
        <v>Montcherand</v>
      </c>
      <c r="C217" s="321">
        <f>VPI!R217</f>
        <v>17503.400416666664</v>
      </c>
      <c r="D217" s="191">
        <f>(PCS!I223-PCS!F223)/C217</f>
        <v>11.657506598737129</v>
      </c>
      <c r="E217" s="448">
        <f>'Péréquation directe'!E223/C217</f>
        <v>-3.656202471046373</v>
      </c>
      <c r="F217" s="191">
        <f>'Péréquation directe'!F223/Effort!C217</f>
        <v>-7.739256523553502</v>
      </c>
      <c r="G217" s="191">
        <f>'Péréquation directe'!G223/Effort!C217</f>
        <v>-3.1734603664273728</v>
      </c>
      <c r="H217" s="191">
        <f>'Péréquation directe'!J223/Effort!C217</f>
        <v>19.118483643972599</v>
      </c>
      <c r="I217" s="341">
        <f t="shared" si="9"/>
        <v>16.20707088168248</v>
      </c>
      <c r="J217" s="208">
        <f t="shared" si="10"/>
        <v>0</v>
      </c>
      <c r="K217" s="42">
        <f t="shared" si="11"/>
        <v>0</v>
      </c>
      <c r="L217" s="222"/>
    </row>
    <row r="218" spans="1:12" x14ac:dyDescent="0.25">
      <c r="A218" s="38">
        <f>Données!A218</f>
        <v>5757</v>
      </c>
      <c r="B218" s="167" t="str">
        <f>Données!B218</f>
        <v>Orbe</v>
      </c>
      <c r="C218" s="321">
        <f>VPI!R218</f>
        <v>217762.06927152316</v>
      </c>
      <c r="D218" s="191">
        <f>(PCS!I224-PCS!F224)/C218</f>
        <v>11.657506598737127</v>
      </c>
      <c r="E218" s="448">
        <f>'Péréquation directe'!E224/C218</f>
        <v>-16.093262821221561</v>
      </c>
      <c r="F218" s="191">
        <f>'Péréquation directe'!F224/Effort!C218</f>
        <v>-15.843705298720332</v>
      </c>
      <c r="G218" s="191">
        <f>'Péréquation directe'!G224/Effort!C218</f>
        <v>-9.4014769937648897</v>
      </c>
      <c r="H218" s="191">
        <f>'Péréquation directe'!J224/Effort!C218</f>
        <v>19.118483643972599</v>
      </c>
      <c r="I218" s="341">
        <f t="shared" si="9"/>
        <v>-10.562454870997055</v>
      </c>
      <c r="J218" s="208">
        <f t="shared" si="10"/>
        <v>0</v>
      </c>
      <c r="K218" s="42">
        <f t="shared" si="11"/>
        <v>0</v>
      </c>
      <c r="L218" s="222"/>
    </row>
    <row r="219" spans="1:12" x14ac:dyDescent="0.25">
      <c r="A219" s="38">
        <f>Données!A219</f>
        <v>5758</v>
      </c>
      <c r="B219" s="167" t="str">
        <f>Données!B219</f>
        <v>La Praz</v>
      </c>
      <c r="C219" s="321">
        <f>VPI!R219</f>
        <v>4500.7334939759048</v>
      </c>
      <c r="D219" s="191">
        <f>(PCS!I225-PCS!F225)/C219</f>
        <v>11.657506598737129</v>
      </c>
      <c r="E219" s="448">
        <f>'Péréquation directe'!E225/C219</f>
        <v>-5.2461267797059215</v>
      </c>
      <c r="F219" s="191">
        <f>'Péréquation directe'!F225/Effort!C219</f>
        <v>-26.730159496943902</v>
      </c>
      <c r="G219" s="191">
        <f>'Péréquation directe'!G225/Effort!C219</f>
        <v>-14.694460164030016</v>
      </c>
      <c r="H219" s="191">
        <f>'Péréquation directe'!J225/Effort!C219</f>
        <v>19.118483643972599</v>
      </c>
      <c r="I219" s="341">
        <f t="shared" si="9"/>
        <v>-15.894756197970107</v>
      </c>
      <c r="J219" s="208">
        <f t="shared" si="10"/>
        <v>0</v>
      </c>
      <c r="K219" s="42">
        <f t="shared" si="11"/>
        <v>0</v>
      </c>
      <c r="L219" s="222"/>
    </row>
    <row r="220" spans="1:12" x14ac:dyDescent="0.25">
      <c r="A220" s="38">
        <f>Données!A220</f>
        <v>5759</v>
      </c>
      <c r="B220" s="167" t="str">
        <f>Données!B220</f>
        <v>Premier</v>
      </c>
      <c r="C220" s="321">
        <f>VPI!R220</f>
        <v>5667.0675471698114</v>
      </c>
      <c r="D220" s="191">
        <f>(PCS!I226-PCS!F226)/C220</f>
        <v>11.657506598737127</v>
      </c>
      <c r="E220" s="448">
        <f>'Péréquation directe'!E226/C220</f>
        <v>-5.3730960387690585</v>
      </c>
      <c r="F220" s="191">
        <f>'Péréquation directe'!F226/Effort!C220</f>
        <v>-25.728228989572855</v>
      </c>
      <c r="G220" s="191">
        <f>'Péréquation directe'!G226/Effort!C220</f>
        <v>-6.2763227049842225</v>
      </c>
      <c r="H220" s="191">
        <f>'Péréquation directe'!J226/Effort!C220</f>
        <v>19.118483643972599</v>
      </c>
      <c r="I220" s="341">
        <f t="shared" si="9"/>
        <v>-6.6016574906164074</v>
      </c>
      <c r="J220" s="208">
        <f t="shared" si="10"/>
        <v>0</v>
      </c>
      <c r="K220" s="42">
        <f t="shared" si="11"/>
        <v>0</v>
      </c>
      <c r="L220" s="222"/>
    </row>
    <row r="221" spans="1:12" x14ac:dyDescent="0.25">
      <c r="A221" s="38">
        <f>Données!A221</f>
        <v>5760</v>
      </c>
      <c r="B221" s="167" t="str">
        <f>Données!B221</f>
        <v>Rances</v>
      </c>
      <c r="C221" s="321">
        <f>VPI!R221</f>
        <v>16308.735686274507</v>
      </c>
      <c r="D221" s="191">
        <f>(PCS!I227-PCS!F227)/C221</f>
        <v>11.657506598737129</v>
      </c>
      <c r="E221" s="448">
        <f>'Péréquation directe'!E227/C221</f>
        <v>-4.1218142699703622</v>
      </c>
      <c r="F221" s="191">
        <f>'Péréquation directe'!F227/Effort!C221</f>
        <v>-12.828191731318165</v>
      </c>
      <c r="G221" s="191">
        <f>'Péréquation directe'!G227/Effort!C221</f>
        <v>-9.418788621789032</v>
      </c>
      <c r="H221" s="191">
        <f>'Péréquation directe'!J227/Effort!C221</f>
        <v>19.118483643972599</v>
      </c>
      <c r="I221" s="341">
        <f t="shared" si="9"/>
        <v>4.4071956196321693</v>
      </c>
      <c r="J221" s="208">
        <f t="shared" si="10"/>
        <v>0</v>
      </c>
      <c r="K221" s="42">
        <f t="shared" si="11"/>
        <v>0</v>
      </c>
      <c r="L221" s="222"/>
    </row>
    <row r="222" spans="1:12" x14ac:dyDescent="0.25">
      <c r="A222" s="38">
        <f>Données!A222</f>
        <v>5761</v>
      </c>
      <c r="B222" s="167" t="str">
        <f>Données!B222</f>
        <v>Romainmôtier-Envy</v>
      </c>
      <c r="C222" s="321">
        <f>VPI!R222</f>
        <v>14407.779147025813</v>
      </c>
      <c r="D222" s="191">
        <f>(PCS!I228-PCS!F228)/C222</f>
        <v>11.657506598737129</v>
      </c>
      <c r="E222" s="448">
        <f>'Péréquation directe'!E228/C222</f>
        <v>-5.0059413214131583</v>
      </c>
      <c r="F222" s="191">
        <f>'Péréquation directe'!F228/Effort!C222</f>
        <v>-23.091391635444744</v>
      </c>
      <c r="G222" s="191">
        <f>'Péréquation directe'!G228/Effort!C222</f>
        <v>-13.27312996446936</v>
      </c>
      <c r="H222" s="191">
        <f>'Péréquation directe'!J228/Effort!C222</f>
        <v>19.118483643972599</v>
      </c>
      <c r="I222" s="341">
        <f t="shared" si="9"/>
        <v>-10.594472678617532</v>
      </c>
      <c r="J222" s="208">
        <f t="shared" si="10"/>
        <v>0</v>
      </c>
      <c r="K222" s="42">
        <f t="shared" si="11"/>
        <v>0</v>
      </c>
      <c r="L222" s="222"/>
    </row>
    <row r="223" spans="1:12" x14ac:dyDescent="0.25">
      <c r="A223" s="38">
        <f>Données!A223</f>
        <v>5762</v>
      </c>
      <c r="B223" s="167" t="str">
        <f>Données!B223</f>
        <v>Sergey</v>
      </c>
      <c r="C223" s="321">
        <f>VPI!R223</f>
        <v>3741.4505128205124</v>
      </c>
      <c r="D223" s="191">
        <f>(PCS!I229-PCS!F229)/C223</f>
        <v>11.657506598737129</v>
      </c>
      <c r="E223" s="448">
        <f>'Péréquation directe'!E229/C223</f>
        <v>-4.8279083793287869</v>
      </c>
      <c r="F223" s="191">
        <f>'Péréquation directe'!F229/Effort!C223</f>
        <v>-19.786282241243548</v>
      </c>
      <c r="G223" s="191">
        <f>'Péréquation directe'!G229/Effort!C223</f>
        <v>-11.183285438384415</v>
      </c>
      <c r="H223" s="191">
        <f>'Péréquation directe'!J229/Effort!C223</f>
        <v>19.118483643972599</v>
      </c>
      <c r="I223" s="341">
        <f t="shared" si="9"/>
        <v>-5.0214858162470186</v>
      </c>
      <c r="J223" s="208">
        <f t="shared" si="10"/>
        <v>0</v>
      </c>
      <c r="K223" s="42">
        <f t="shared" si="11"/>
        <v>0</v>
      </c>
      <c r="L223" s="222"/>
    </row>
    <row r="224" spans="1:12" x14ac:dyDescent="0.25">
      <c r="A224" s="38">
        <f>Données!A224</f>
        <v>5763</v>
      </c>
      <c r="B224" s="167" t="str">
        <f>Données!B224</f>
        <v>Valeyres-sous-Rances</v>
      </c>
      <c r="C224" s="321">
        <f>VPI!R224</f>
        <v>22297.189859154929</v>
      </c>
      <c r="D224" s="191">
        <f>(PCS!I230-PCS!F230)/C224</f>
        <v>11.657506598737129</v>
      </c>
      <c r="E224" s="448">
        <f>'Péréquation directe'!E230/C224</f>
        <v>-3.5066585648074948</v>
      </c>
      <c r="F224" s="191">
        <f>'Péréquation directe'!F230/Effort!C224</f>
        <v>-6.3938922845231589</v>
      </c>
      <c r="G224" s="191">
        <f>'Péréquation directe'!G230/Effort!C224</f>
        <v>-3.1568986448668124</v>
      </c>
      <c r="H224" s="191">
        <f>'Péréquation directe'!J230/Effort!C224</f>
        <v>19.118483643972599</v>
      </c>
      <c r="I224" s="341">
        <f t="shared" si="9"/>
        <v>17.718540748512261</v>
      </c>
      <c r="J224" s="208">
        <f t="shared" si="10"/>
        <v>0</v>
      </c>
      <c r="K224" s="42">
        <f t="shared" si="11"/>
        <v>0</v>
      </c>
      <c r="L224" s="222"/>
    </row>
    <row r="225" spans="1:12" x14ac:dyDescent="0.25">
      <c r="A225" s="38">
        <f>Données!A225</f>
        <v>5764</v>
      </c>
      <c r="B225" s="167" t="str">
        <f>Données!B225</f>
        <v>Vallorbe</v>
      </c>
      <c r="C225" s="321">
        <f>VPI!R225</f>
        <v>83717.114965034954</v>
      </c>
      <c r="D225" s="191">
        <f>(PCS!I231-PCS!F231)/C225</f>
        <v>11.657506598737129</v>
      </c>
      <c r="E225" s="448">
        <f>'Péréquation directe'!E231/C225</f>
        <v>-16.256492840787594</v>
      </c>
      <c r="F225" s="191">
        <f>'Péréquation directe'!F231/Effort!C225</f>
        <v>-26.73371034553449</v>
      </c>
      <c r="G225" s="191">
        <f>'Péréquation directe'!G231/Effort!C225</f>
        <v>-26.162320272273842</v>
      </c>
      <c r="H225" s="191">
        <f>'Péréquation directe'!J231/Effort!C225</f>
        <v>19.118483643972599</v>
      </c>
      <c r="I225" s="341">
        <f t="shared" si="9"/>
        <v>-38.376533215886198</v>
      </c>
      <c r="J225" s="208">
        <f t="shared" si="10"/>
        <v>0</v>
      </c>
      <c r="K225" s="42">
        <f t="shared" si="11"/>
        <v>0</v>
      </c>
      <c r="L225" s="222"/>
    </row>
    <row r="226" spans="1:12" x14ac:dyDescent="0.25">
      <c r="A226" s="38">
        <f>Données!A226</f>
        <v>5765</v>
      </c>
      <c r="B226" s="167" t="str">
        <f>Données!B226</f>
        <v>Vaulion</v>
      </c>
      <c r="C226" s="321">
        <f>VPI!R226</f>
        <v>9628.0504938271606</v>
      </c>
      <c r="D226" s="191">
        <f>(PCS!I232-PCS!F232)/C226</f>
        <v>11.657506598737131</v>
      </c>
      <c r="E226" s="448">
        <f>'Péréquation directe'!E232/C226</f>
        <v>-6.4726147844556268</v>
      </c>
      <c r="F226" s="191">
        <f>'Péréquation directe'!F232/Effort!C226</f>
        <v>-37.539719798188649</v>
      </c>
      <c r="G226" s="191">
        <f>'Péréquation directe'!G232/Effort!C226</f>
        <v>-17.973774574366416</v>
      </c>
      <c r="H226" s="191">
        <f>'Péréquation directe'!J232/Effort!C226</f>
        <v>19.118483643972599</v>
      </c>
      <c r="I226" s="341">
        <f t="shared" si="9"/>
        <v>-31.21011891430096</v>
      </c>
      <c r="J226" s="208">
        <f t="shared" si="10"/>
        <v>0</v>
      </c>
      <c r="K226" s="42">
        <f t="shared" si="11"/>
        <v>0</v>
      </c>
      <c r="L226" s="222"/>
    </row>
    <row r="227" spans="1:12" x14ac:dyDescent="0.25">
      <c r="A227" s="38">
        <f>Données!A227</f>
        <v>5766</v>
      </c>
      <c r="B227" s="167" t="str">
        <f>Données!B227</f>
        <v>Vuiteboeuf</v>
      </c>
      <c r="C227" s="321">
        <f>VPI!R227</f>
        <v>15422.760361904762</v>
      </c>
      <c r="D227" s="191">
        <f>(PCS!I233-PCS!F233)/C227</f>
        <v>11.657506598737131</v>
      </c>
      <c r="E227" s="448">
        <f>'Péréquation directe'!E233/C227</f>
        <v>-4.9525695770547511</v>
      </c>
      <c r="F227" s="191">
        <f>'Péréquation directe'!F233/Effort!C227</f>
        <v>-19.346383683403751</v>
      </c>
      <c r="G227" s="191">
        <f>'Péréquation directe'!G233/Effort!C227</f>
        <v>-3.7127184896537555</v>
      </c>
      <c r="H227" s="191">
        <f>'Péréquation directe'!J233/Effort!C227</f>
        <v>19.118483643972599</v>
      </c>
      <c r="I227" s="341">
        <f t="shared" si="9"/>
        <v>2.7643184925974715</v>
      </c>
      <c r="J227" s="208">
        <f t="shared" si="10"/>
        <v>0</v>
      </c>
      <c r="K227" s="42">
        <f t="shared" si="11"/>
        <v>0</v>
      </c>
      <c r="L227" s="222"/>
    </row>
    <row r="228" spans="1:12" x14ac:dyDescent="0.25">
      <c r="A228" s="38">
        <f>Données!A228</f>
        <v>5785</v>
      </c>
      <c r="B228" s="167" t="str">
        <f>Données!B228</f>
        <v>Corcelles-le-Jorat</v>
      </c>
      <c r="C228" s="321">
        <f>VPI!R228</f>
        <v>15461.968933333332</v>
      </c>
      <c r="D228" s="191">
        <f>(PCS!I234-PCS!F234)/C228</f>
        <v>11.657506598737129</v>
      </c>
      <c r="E228" s="448">
        <f>'Péréquation directe'!E234/C228</f>
        <v>-4.0471372392079275</v>
      </c>
      <c r="F228" s="191">
        <f>'Péréquation directe'!F234/Effort!C228</f>
        <v>-11.699356159235229</v>
      </c>
      <c r="G228" s="191">
        <f>'Péréquation directe'!G234/Effort!C228</f>
        <v>-5.163101157699046</v>
      </c>
      <c r="H228" s="191">
        <f>'Péréquation directe'!J234/Effort!C228</f>
        <v>19.118483643972599</v>
      </c>
      <c r="I228" s="341">
        <f t="shared" si="9"/>
        <v>9.8663956865675253</v>
      </c>
      <c r="J228" s="208">
        <f t="shared" si="10"/>
        <v>0</v>
      </c>
      <c r="K228" s="42">
        <f t="shared" si="11"/>
        <v>0</v>
      </c>
      <c r="L228" s="222"/>
    </row>
    <row r="229" spans="1:12" x14ac:dyDescent="0.25">
      <c r="A229" s="38">
        <f>Données!A229</f>
        <v>5790</v>
      </c>
      <c r="B229" s="167" t="str">
        <f>Données!B229</f>
        <v>Maracon</v>
      </c>
      <c r="C229" s="321">
        <f>VPI!R229</f>
        <v>16326.697583892621</v>
      </c>
      <c r="D229" s="191">
        <f>(PCS!I235-PCS!F235)/C229</f>
        <v>11.657506598737131</v>
      </c>
      <c r="E229" s="448">
        <f>'Péréquation directe'!E235/C229</f>
        <v>-4.2990405406969368</v>
      </c>
      <c r="F229" s="191">
        <f>'Péréquation directe'!F235/Effort!C229</f>
        <v>-13.643117160531544</v>
      </c>
      <c r="G229" s="191">
        <f>'Péréquation directe'!G235/Effort!C229</f>
        <v>-3.3962357795705564</v>
      </c>
      <c r="H229" s="191">
        <f>'Péréquation directe'!J235/Effort!C229</f>
        <v>19.118483643972599</v>
      </c>
      <c r="I229" s="341">
        <f t="shared" si="9"/>
        <v>9.4375967619106937</v>
      </c>
      <c r="J229" s="208">
        <f t="shared" si="10"/>
        <v>0</v>
      </c>
      <c r="K229" s="42">
        <f t="shared" si="11"/>
        <v>0</v>
      </c>
      <c r="L229" s="222"/>
    </row>
    <row r="230" spans="1:12" x14ac:dyDescent="0.25">
      <c r="A230" s="38">
        <f>Données!A230</f>
        <v>5792</v>
      </c>
      <c r="B230" s="167" t="str">
        <f>Données!B230</f>
        <v>Montpreveyres</v>
      </c>
      <c r="C230" s="321">
        <f>VPI!R230</f>
        <v>19363.161854304632</v>
      </c>
      <c r="D230" s="191">
        <f>(PCS!I236-PCS!F236)/C230</f>
        <v>11.657506598737129</v>
      </c>
      <c r="E230" s="448">
        <f>'Péréquation directe'!E236/C230</f>
        <v>-4.4044955261060093</v>
      </c>
      <c r="F230" s="191">
        <f>'Péréquation directe'!F236/Effort!C230</f>
        <v>-14.914391498479752</v>
      </c>
      <c r="G230" s="191">
        <f>'Péréquation directe'!G236/Effort!C230</f>
        <v>-8.3032167000365149</v>
      </c>
      <c r="H230" s="191">
        <f>'Péréquation directe'!J236/Effort!C230</f>
        <v>19.118483643972599</v>
      </c>
      <c r="I230" s="341">
        <f t="shared" si="9"/>
        <v>3.153886518087452</v>
      </c>
      <c r="J230" s="208">
        <f t="shared" si="10"/>
        <v>0</v>
      </c>
      <c r="K230" s="42">
        <f t="shared" si="11"/>
        <v>0</v>
      </c>
      <c r="L230" s="222"/>
    </row>
    <row r="231" spans="1:12" x14ac:dyDescent="0.25">
      <c r="A231" s="38">
        <f>Données!A231</f>
        <v>5798</v>
      </c>
      <c r="B231" s="167" t="str">
        <f>Données!B231</f>
        <v>Ropraz</v>
      </c>
      <c r="C231" s="321">
        <f>VPI!R231</f>
        <v>16208.351096774193</v>
      </c>
      <c r="D231" s="191">
        <f>(PCS!I237-PCS!F237)/C231</f>
        <v>11.657506598737129</v>
      </c>
      <c r="E231" s="448">
        <f>'Péréquation directe'!E237/C231</f>
        <v>-4.2110250591374978</v>
      </c>
      <c r="F231" s="191">
        <f>'Péréquation directe'!F237/Effort!C231</f>
        <v>-13.97027772124836</v>
      </c>
      <c r="G231" s="191">
        <f>'Péréquation directe'!G237/Effort!C231</f>
        <v>-5.3580638510513428</v>
      </c>
      <c r="H231" s="191">
        <f>'Péréquation directe'!J237/Effort!C231</f>
        <v>19.118483643972599</v>
      </c>
      <c r="I231" s="341">
        <f t="shared" si="9"/>
        <v>7.2366236112725275</v>
      </c>
      <c r="J231" s="208">
        <f t="shared" si="10"/>
        <v>0</v>
      </c>
      <c r="K231" s="42">
        <f t="shared" si="11"/>
        <v>0</v>
      </c>
      <c r="L231" s="222"/>
    </row>
    <row r="232" spans="1:12" x14ac:dyDescent="0.25">
      <c r="A232" s="38">
        <f>Données!A232</f>
        <v>5799</v>
      </c>
      <c r="B232" s="167" t="str">
        <f>Données!B232</f>
        <v>Servion</v>
      </c>
      <c r="C232" s="321">
        <f>VPI!R232</f>
        <v>73170.718115942043</v>
      </c>
      <c r="D232" s="191">
        <f>(PCS!I238-PCS!F238)/C232</f>
        <v>11.657506598737127</v>
      </c>
      <c r="E232" s="448">
        <f>'Péréquation directe'!E238/C232</f>
        <v>-7.3721313492437677</v>
      </c>
      <c r="F232" s="191">
        <f>'Péréquation directe'!F238/Effort!C232</f>
        <v>-7.8960226553944368</v>
      </c>
      <c r="G232" s="191">
        <f>'Péréquation directe'!G238/Effort!C232</f>
        <v>-5.0651230553332409</v>
      </c>
      <c r="H232" s="191">
        <f>'Péréquation directe'!J238/Effort!C232</f>
        <v>19.118483643972599</v>
      </c>
      <c r="I232" s="341">
        <f t="shared" si="9"/>
        <v>10.442713182738281</v>
      </c>
      <c r="J232" s="208">
        <f t="shared" si="10"/>
        <v>0</v>
      </c>
      <c r="K232" s="42">
        <f t="shared" si="11"/>
        <v>0</v>
      </c>
      <c r="L232" s="222"/>
    </row>
    <row r="233" spans="1:12" x14ac:dyDescent="0.25">
      <c r="A233" s="38">
        <f>Données!A233</f>
        <v>5803</v>
      </c>
      <c r="B233" s="167" t="str">
        <f>Données!B233</f>
        <v>Vulliens</v>
      </c>
      <c r="C233" s="321">
        <f>VPI!R233</f>
        <v>16577.57405405405</v>
      </c>
      <c r="D233" s="191">
        <f>(PCS!I239-PCS!F239)/C233</f>
        <v>11.657506598737129</v>
      </c>
      <c r="E233" s="448">
        <f>'Péréquation directe'!E239/C233</f>
        <v>-4.9188897779287934</v>
      </c>
      <c r="F233" s="191">
        <f>'Péréquation directe'!F239/Effort!C233</f>
        <v>-18.557004108427584</v>
      </c>
      <c r="G233" s="191">
        <f>'Péréquation directe'!G239/Effort!C233</f>
        <v>-6.1339267617548616</v>
      </c>
      <c r="H233" s="191">
        <f>'Péréquation directe'!J239/Effort!C233</f>
        <v>19.118483643972599</v>
      </c>
      <c r="I233" s="341">
        <f t="shared" si="9"/>
        <v>1.1661695945984896</v>
      </c>
      <c r="J233" s="208">
        <f t="shared" si="10"/>
        <v>0</v>
      </c>
      <c r="K233" s="42">
        <f t="shared" si="11"/>
        <v>0</v>
      </c>
      <c r="L233" s="222"/>
    </row>
    <row r="234" spans="1:12" x14ac:dyDescent="0.25">
      <c r="A234" s="38">
        <f>Données!A234</f>
        <v>5804</v>
      </c>
      <c r="B234" s="167" t="str">
        <f>Données!B234</f>
        <v>Jorat-Menthue</v>
      </c>
      <c r="C234" s="321">
        <f>VPI!R234</f>
        <v>45125.345957446807</v>
      </c>
      <c r="D234" s="191">
        <f>(PCS!I240-PCS!F240)/C234</f>
        <v>11.657506598737129</v>
      </c>
      <c r="E234" s="448">
        <f>'Péréquation directe'!E240/C234</f>
        <v>-7.382554858780809</v>
      </c>
      <c r="F234" s="191">
        <f>'Péréquation directe'!F240/Effort!C234</f>
        <v>-13.52836343297013</v>
      </c>
      <c r="G234" s="191">
        <f>'Péréquation directe'!G240/Effort!C234</f>
        <v>-9.372358390028916</v>
      </c>
      <c r="H234" s="191">
        <f>'Péréquation directe'!J240/Effort!C234</f>
        <v>19.118483643972599</v>
      </c>
      <c r="I234" s="341">
        <f t="shared" si="9"/>
        <v>0.49271356092987517</v>
      </c>
      <c r="J234" s="208">
        <f t="shared" si="10"/>
        <v>0</v>
      </c>
      <c r="K234" s="42">
        <f t="shared" si="11"/>
        <v>0</v>
      </c>
      <c r="L234" s="222"/>
    </row>
    <row r="235" spans="1:12" x14ac:dyDescent="0.25">
      <c r="A235" s="38">
        <f>Données!A235</f>
        <v>5805</v>
      </c>
      <c r="B235" s="167" t="str">
        <f>Données!B235</f>
        <v>Oron</v>
      </c>
      <c r="C235" s="321">
        <f>VPI!R235</f>
        <v>174509.83123847167</v>
      </c>
      <c r="D235" s="191">
        <f>(PCS!I241-PCS!F241)/C235</f>
        <v>11.657506598737129</v>
      </c>
      <c r="E235" s="448">
        <f>'Péréquation directe'!E241/C235</f>
        <v>-14.765741183319701</v>
      </c>
      <c r="F235" s="191">
        <f>'Péréquation directe'!F241/Effort!C235</f>
        <v>-13.311834276455341</v>
      </c>
      <c r="G235" s="191">
        <f>'Péréquation directe'!G241/Effort!C235</f>
        <v>-6.9835693721105407</v>
      </c>
      <c r="H235" s="191">
        <f>'Péréquation directe'!J241/Effort!C235</f>
        <v>19.118483643972599</v>
      </c>
      <c r="I235" s="341">
        <f t="shared" si="9"/>
        <v>-4.2851545891758533</v>
      </c>
      <c r="J235" s="208">
        <f t="shared" si="10"/>
        <v>0</v>
      </c>
      <c r="K235" s="42">
        <f t="shared" si="11"/>
        <v>0</v>
      </c>
      <c r="L235" s="222"/>
    </row>
    <row r="236" spans="1:12" x14ac:dyDescent="0.25">
      <c r="A236" s="38">
        <f>Données!A236</f>
        <v>5806</v>
      </c>
      <c r="B236" s="167" t="str">
        <f>Données!B236</f>
        <v>Jorat-Mézières</v>
      </c>
      <c r="C236" s="321">
        <f>VPI!R236</f>
        <v>102977.86342465752</v>
      </c>
      <c r="D236" s="191">
        <f>(PCS!I242-PCS!F242)/C236</f>
        <v>11.657506598737129</v>
      </c>
      <c r="E236" s="448">
        <f>'Péréquation directe'!E242/C236</f>
        <v>-8.8206333834440436</v>
      </c>
      <c r="F236" s="191">
        <f>'Péréquation directe'!F242/Effort!C236</f>
        <v>-9.8793386652774302</v>
      </c>
      <c r="G236" s="191">
        <f>'Péréquation directe'!G242/Effort!C236</f>
        <v>-4.9327986866197131</v>
      </c>
      <c r="H236" s="191">
        <f>'Péréquation directe'!J242/Effort!C236</f>
        <v>19.118483643972599</v>
      </c>
      <c r="I236" s="341">
        <f t="shared" si="9"/>
        <v>7.1432195073685421</v>
      </c>
      <c r="J236" s="208">
        <f t="shared" si="10"/>
        <v>0</v>
      </c>
      <c r="K236" s="42">
        <f t="shared" si="11"/>
        <v>0</v>
      </c>
      <c r="L236" s="222"/>
    </row>
    <row r="237" spans="1:12" x14ac:dyDescent="0.25">
      <c r="A237" s="38">
        <f>Données!A237</f>
        <v>5812</v>
      </c>
      <c r="B237" s="167" t="str">
        <f>Données!B237</f>
        <v>Champtauroz</v>
      </c>
      <c r="C237" s="321">
        <f>VPI!R237</f>
        <v>3659.293116883116</v>
      </c>
      <c r="D237" s="191">
        <f>(PCS!I243-PCS!F243)/C237</f>
        <v>11.657506598737131</v>
      </c>
      <c r="E237" s="448">
        <f>'Péréquation directe'!E243/C237</f>
        <v>-5.9588231350732404</v>
      </c>
      <c r="F237" s="191">
        <f>'Péréquation directe'!F243/Effort!C237</f>
        <v>-29.349782124964612</v>
      </c>
      <c r="G237" s="191">
        <f>'Péréquation directe'!G243/Effort!C237</f>
        <v>-10.76465322750399</v>
      </c>
      <c r="H237" s="191">
        <f>'Péréquation directe'!J243/Effort!C237</f>
        <v>19.118483643972599</v>
      </c>
      <c r="I237" s="341">
        <f t="shared" si="9"/>
        <v>-15.297268244832114</v>
      </c>
      <c r="J237" s="208">
        <f t="shared" si="10"/>
        <v>0</v>
      </c>
      <c r="K237" s="42">
        <f t="shared" si="11"/>
        <v>0</v>
      </c>
      <c r="L237" s="222"/>
    </row>
    <row r="238" spans="1:12" x14ac:dyDescent="0.25">
      <c r="A238" s="38">
        <f>Données!A238</f>
        <v>5813</v>
      </c>
      <c r="B238" s="167" t="str">
        <f>Données!B238</f>
        <v>Chevroux</v>
      </c>
      <c r="C238" s="321">
        <f>VPI!R238</f>
        <v>17498.80282238443</v>
      </c>
      <c r="D238" s="191">
        <f>(PCS!I244-PCS!F244)/C238</f>
        <v>11.657506598737127</v>
      </c>
      <c r="E238" s="448">
        <f>'Péréquation directe'!E244/C238</f>
        <v>-3.8488692229605341</v>
      </c>
      <c r="F238" s="191">
        <f>'Péréquation directe'!F244/Effort!C238</f>
        <v>-8.3624988490520806</v>
      </c>
      <c r="G238" s="191">
        <f>'Péréquation directe'!G244/Effort!C238</f>
        <v>-9.7068030761745696</v>
      </c>
      <c r="H238" s="191">
        <f>'Péréquation directe'!J244/Effort!C238</f>
        <v>19.118483643972599</v>
      </c>
      <c r="I238" s="341">
        <f t="shared" si="9"/>
        <v>8.8578190945225419</v>
      </c>
      <c r="J238" s="208">
        <f t="shared" si="10"/>
        <v>0</v>
      </c>
      <c r="K238" s="42">
        <f t="shared" si="11"/>
        <v>0</v>
      </c>
      <c r="L238" s="222"/>
    </row>
    <row r="239" spans="1:12" x14ac:dyDescent="0.25">
      <c r="A239" s="38">
        <f>Données!A239</f>
        <v>5816</v>
      </c>
      <c r="B239" s="167" t="str">
        <f>Données!B239</f>
        <v>Corcelles-près-Payerne</v>
      </c>
      <c r="C239" s="321">
        <f>VPI!R239</f>
        <v>65701.749572471308</v>
      </c>
      <c r="D239" s="191">
        <f>(PCS!I245-PCS!F245)/C239</f>
        <v>11.657506598737129</v>
      </c>
      <c r="E239" s="448">
        <f>'Péréquation directe'!E245/C239</f>
        <v>-12.169186149961444</v>
      </c>
      <c r="F239" s="191">
        <f>'Péréquation directe'!F245/Effort!C239</f>
        <v>-20.760008501950047</v>
      </c>
      <c r="G239" s="191">
        <f>'Péréquation directe'!G245/Effort!C239</f>
        <v>-5.1392695744383881</v>
      </c>
      <c r="H239" s="191">
        <f>'Péréquation directe'!J245/Effort!C239</f>
        <v>19.118483643972599</v>
      </c>
      <c r="I239" s="341">
        <f t="shared" si="9"/>
        <v>-7.29247398364015</v>
      </c>
      <c r="J239" s="208">
        <f t="shared" si="10"/>
        <v>0</v>
      </c>
      <c r="K239" s="42">
        <f t="shared" si="11"/>
        <v>0</v>
      </c>
      <c r="L239" s="222"/>
    </row>
    <row r="240" spans="1:12" x14ac:dyDescent="0.25">
      <c r="A240" s="38">
        <f>Données!A240</f>
        <v>5817</v>
      </c>
      <c r="B240" s="167" t="str">
        <f>Données!B240</f>
        <v>Grandcour</v>
      </c>
      <c r="C240" s="321">
        <f>VPI!R240</f>
        <v>25916.897414965984</v>
      </c>
      <c r="D240" s="191">
        <f>(PCS!I246-PCS!F246)/C240</f>
        <v>11.657506598737129</v>
      </c>
      <c r="E240" s="448">
        <f>'Péréquation directe'!E246/C240</f>
        <v>-4.9923187333424455</v>
      </c>
      <c r="F240" s="191">
        <f>'Péréquation directe'!F246/Effort!C240</f>
        <v>-18.829997235837507</v>
      </c>
      <c r="G240" s="191">
        <f>'Péréquation directe'!G246/Effort!C240</f>
        <v>-4.6300658804817472</v>
      </c>
      <c r="H240" s="191">
        <f>'Péréquation directe'!J246/Effort!C240</f>
        <v>19.118483643972599</v>
      </c>
      <c r="I240" s="341">
        <f t="shared" si="9"/>
        <v>2.3236083930480298</v>
      </c>
      <c r="J240" s="208">
        <f t="shared" si="10"/>
        <v>0</v>
      </c>
      <c r="K240" s="42">
        <f t="shared" si="11"/>
        <v>0</v>
      </c>
      <c r="L240" s="222"/>
    </row>
    <row r="241" spans="1:13" x14ac:dyDescent="0.25">
      <c r="A241" s="38">
        <f>Données!A241</f>
        <v>5819</v>
      </c>
      <c r="B241" s="167" t="str">
        <f>Données!B241</f>
        <v>Henniez</v>
      </c>
      <c r="C241" s="321">
        <f>VPI!R241</f>
        <v>10275.75579710145</v>
      </c>
      <c r="D241" s="191">
        <f>(PCS!I247-PCS!F247)/C241</f>
        <v>11.657506598737129</v>
      </c>
      <c r="E241" s="448">
        <f>'Péréquation directe'!E247/C241</f>
        <v>-5.1982547104634893</v>
      </c>
      <c r="F241" s="191">
        <f>'Péréquation directe'!F247/Effort!C241</f>
        <v>-18.131048751290869</v>
      </c>
      <c r="G241" s="191">
        <f>'Péréquation directe'!G247/Effort!C241</f>
        <v>-10.02123028716178</v>
      </c>
      <c r="H241" s="191">
        <f>'Péréquation directe'!J247/Effort!C241</f>
        <v>19.118483643972599</v>
      </c>
      <c r="I241" s="341">
        <f t="shared" si="9"/>
        <v>-2.5745435062064104</v>
      </c>
      <c r="J241" s="208">
        <f t="shared" si="10"/>
        <v>0</v>
      </c>
      <c r="K241" s="42">
        <f t="shared" si="11"/>
        <v>0</v>
      </c>
      <c r="L241" s="222"/>
    </row>
    <row r="242" spans="1:13" x14ac:dyDescent="0.25">
      <c r="A242" s="38">
        <f>Données!A242</f>
        <v>5821</v>
      </c>
      <c r="B242" s="167" t="str">
        <f>Données!B242</f>
        <v>Missy</v>
      </c>
      <c r="C242" s="321">
        <f>VPI!R242</f>
        <v>8375.965000000002</v>
      </c>
      <c r="D242" s="191">
        <f>(PCS!I248-PCS!F248)/C242</f>
        <v>11.657506598737127</v>
      </c>
      <c r="E242" s="448">
        <f>'Péréquation directe'!E248/C242</f>
        <v>-5.9613840392583173</v>
      </c>
      <c r="F242" s="191">
        <f>'Péréquation directe'!F248/Effort!C242</f>
        <v>-25.681810294021751</v>
      </c>
      <c r="G242" s="191">
        <f>'Péréquation directe'!G248/Effort!C242</f>
        <v>-5.5131211746944953</v>
      </c>
      <c r="H242" s="191">
        <f>'Péréquation directe'!J248/Effort!C242</f>
        <v>19.118483643972599</v>
      </c>
      <c r="I242" s="341">
        <f t="shared" si="9"/>
        <v>-6.3803252652648403</v>
      </c>
      <c r="J242" s="208">
        <f t="shared" si="10"/>
        <v>0</v>
      </c>
      <c r="K242" s="42">
        <f t="shared" si="11"/>
        <v>0</v>
      </c>
      <c r="L242" s="222"/>
    </row>
    <row r="243" spans="1:13" x14ac:dyDescent="0.25">
      <c r="A243" s="38">
        <f>Données!A243</f>
        <v>5822</v>
      </c>
      <c r="B243" s="167" t="str">
        <f>Données!B243</f>
        <v>Payerne</v>
      </c>
      <c r="C243" s="321">
        <f>VPI!R243</f>
        <v>226844.26479452057</v>
      </c>
      <c r="D243" s="191">
        <f>(PCS!I249-PCS!F249)/C243</f>
        <v>11.657506598737129</v>
      </c>
      <c r="E243" s="448">
        <f>'Péréquation directe'!E249/C243</f>
        <v>-24.531189993240346</v>
      </c>
      <c r="F243" s="191">
        <f>'Péréquation directe'!F249/Effort!C243</f>
        <v>-25.903962199051573</v>
      </c>
      <c r="G243" s="191">
        <f>'Péréquation directe'!G249/Effort!C243</f>
        <v>-7.4623956782255236</v>
      </c>
      <c r="H243" s="191">
        <f>'Péréquation directe'!J249/Effort!C243</f>
        <v>19.118483643972599</v>
      </c>
      <c r="I243" s="341">
        <f t="shared" si="9"/>
        <v>-27.121557627807722</v>
      </c>
      <c r="J243" s="208">
        <f t="shared" si="10"/>
        <v>0</v>
      </c>
      <c r="K243" s="42">
        <f t="shared" si="11"/>
        <v>0</v>
      </c>
      <c r="L243" s="222"/>
    </row>
    <row r="244" spans="1:13" x14ac:dyDescent="0.25">
      <c r="A244" s="38">
        <f>Données!A244</f>
        <v>5827</v>
      </c>
      <c r="B244" s="167" t="str">
        <f>Données!B244</f>
        <v>Trey</v>
      </c>
      <c r="C244" s="321">
        <f>VPI!R244</f>
        <v>7715.2558974358981</v>
      </c>
      <c r="D244" s="191">
        <f>(PCS!I250-PCS!F250)/C244</f>
        <v>11.657506598737129</v>
      </c>
      <c r="E244" s="448">
        <f>'Péréquation directe'!E250/C244</f>
        <v>-5.0504211744231071</v>
      </c>
      <c r="F244" s="191">
        <f>'Péréquation directe'!F250/Effort!C244</f>
        <v>-21.818912187703745</v>
      </c>
      <c r="G244" s="191">
        <f>'Péréquation directe'!G250/Effort!C244</f>
        <v>-4.046361524542549</v>
      </c>
      <c r="H244" s="191">
        <f>'Péréquation directe'!J250/Effort!C244</f>
        <v>19.118483643972599</v>
      </c>
      <c r="I244" s="341">
        <f t="shared" si="9"/>
        <v>-0.13970464395967142</v>
      </c>
      <c r="J244" s="208">
        <f t="shared" si="10"/>
        <v>0</v>
      </c>
      <c r="K244" s="42">
        <f t="shared" si="11"/>
        <v>0</v>
      </c>
      <c r="L244" s="222"/>
    </row>
    <row r="245" spans="1:13" x14ac:dyDescent="0.25">
      <c r="A245" s="38">
        <f>Données!A245</f>
        <v>5828</v>
      </c>
      <c r="B245" s="167" t="str">
        <f>Données!B245</f>
        <v>Treytorrens (Payerne)</v>
      </c>
      <c r="C245" s="321">
        <f>VPI!R245</f>
        <v>2864.8065848670758</v>
      </c>
      <c r="D245" s="191">
        <f>(PCS!I251-PCS!F251)/C245</f>
        <v>11.657506598737129</v>
      </c>
      <c r="E245" s="448">
        <f>'Péréquation directe'!E251/C245</f>
        <v>-4.7289528315211529</v>
      </c>
      <c r="F245" s="191">
        <f>'Péréquation directe'!F251/Effort!C245</f>
        <v>-20.614921795476469</v>
      </c>
      <c r="G245" s="191">
        <f>'Péréquation directe'!G251/Effort!C245</f>
        <v>-13.986478446329869</v>
      </c>
      <c r="H245" s="191">
        <f>'Péréquation directe'!J251/Effort!C245</f>
        <v>19.118483643972599</v>
      </c>
      <c r="I245" s="341">
        <f t="shared" si="9"/>
        <v>-8.5543628306177624</v>
      </c>
      <c r="J245" s="208">
        <f t="shared" si="10"/>
        <v>0</v>
      </c>
      <c r="K245" s="42">
        <f t="shared" si="11"/>
        <v>0</v>
      </c>
      <c r="L245" s="222"/>
    </row>
    <row r="246" spans="1:13" x14ac:dyDescent="0.25">
      <c r="A246" s="38">
        <f>Données!A246</f>
        <v>5830</v>
      </c>
      <c r="B246" s="167" t="str">
        <f>Données!B246</f>
        <v>Villarzel</v>
      </c>
      <c r="C246" s="321">
        <f>VPI!R246</f>
        <v>12474.180666666667</v>
      </c>
      <c r="D246" s="191">
        <f>(PCS!I252-PCS!F252)/C246</f>
        <v>11.657506598737129</v>
      </c>
      <c r="E246" s="448">
        <f>'Péréquation directe'!E252/C246</f>
        <v>-5.0268419291056139</v>
      </c>
      <c r="F246" s="191">
        <f>'Péréquation directe'!F252/Effort!C246</f>
        <v>-19.973667133173542</v>
      </c>
      <c r="G246" s="191">
        <f>'Péréquation directe'!G252/Effort!C246</f>
        <v>-8.4384524573450932</v>
      </c>
      <c r="H246" s="191">
        <f>'Péréquation directe'!J252/Effort!C246</f>
        <v>19.118483643972599</v>
      </c>
      <c r="I246" s="341">
        <f t="shared" si="9"/>
        <v>-2.6629712769145222</v>
      </c>
      <c r="J246" s="208">
        <f t="shared" si="10"/>
        <v>0</v>
      </c>
      <c r="K246" s="42">
        <f t="shared" si="11"/>
        <v>0</v>
      </c>
      <c r="L246" s="222"/>
      <c r="M246" s="203"/>
    </row>
    <row r="247" spans="1:13" x14ac:dyDescent="0.25">
      <c r="A247" s="38">
        <f>Données!A247</f>
        <v>5831</v>
      </c>
      <c r="B247" s="167" t="str">
        <f>Données!B247</f>
        <v>Valbroye</v>
      </c>
      <c r="C247" s="321">
        <f>VPI!R247</f>
        <v>87470.557399527184</v>
      </c>
      <c r="D247" s="191">
        <f>(PCS!I253-PCS!F253)/C247</f>
        <v>11.657506598737129</v>
      </c>
      <c r="E247" s="448">
        <f>'Péréquation directe'!E253/C247</f>
        <v>-11.865366497979785</v>
      </c>
      <c r="F247" s="191">
        <f>'Péréquation directe'!F253/Effort!C247</f>
        <v>-17.132526600208308</v>
      </c>
      <c r="G247" s="191">
        <f>'Péréquation directe'!G253/Effort!C247</f>
        <v>-11.061100836291994</v>
      </c>
      <c r="H247" s="191">
        <f>'Péréquation directe'!J253/Effort!C247</f>
        <v>19.118483643972599</v>
      </c>
      <c r="I247" s="341">
        <f t="shared" si="9"/>
        <v>-9.2830036917703573</v>
      </c>
      <c r="J247" s="208">
        <f t="shared" si="10"/>
        <v>0</v>
      </c>
      <c r="K247" s="42">
        <f t="shared" si="11"/>
        <v>0</v>
      </c>
      <c r="L247" s="222"/>
    </row>
    <row r="248" spans="1:13" x14ac:dyDescent="0.25">
      <c r="A248" s="38">
        <f>Données!A248</f>
        <v>5841</v>
      </c>
      <c r="B248" s="167" t="str">
        <f>Données!B248</f>
        <v>Château-d'Oex</v>
      </c>
      <c r="C248" s="321">
        <f>VPI!R248</f>
        <v>123828.98781186093</v>
      </c>
      <c r="D248" s="191">
        <f>(PCS!I254-PCS!F254)/C248</f>
        <v>11.657506598737127</v>
      </c>
      <c r="E248" s="448">
        <f>'Péréquation directe'!E254/C248</f>
        <v>-9.2442184459980918</v>
      </c>
      <c r="F248" s="191">
        <f>'Péréquation directe'!F254/Effort!C248</f>
        <v>-10.529544679622175</v>
      </c>
      <c r="G248" s="191">
        <f>'Péréquation directe'!G254/Effort!C248</f>
        <v>-17.210312470346334</v>
      </c>
      <c r="H248" s="191">
        <f>'Péréquation directe'!J254/Effort!C248</f>
        <v>19.118483643972599</v>
      </c>
      <c r="I248" s="341">
        <f t="shared" si="9"/>
        <v>-6.2080853532568732</v>
      </c>
      <c r="J248" s="208">
        <f t="shared" si="10"/>
        <v>0</v>
      </c>
      <c r="K248" s="42">
        <f t="shared" si="11"/>
        <v>0</v>
      </c>
      <c r="L248" s="222"/>
    </row>
    <row r="249" spans="1:13" x14ac:dyDescent="0.25">
      <c r="A249" s="38">
        <f>Données!A249</f>
        <v>5842</v>
      </c>
      <c r="B249" s="167" t="str">
        <f>Données!B249</f>
        <v>Rossinière</v>
      </c>
      <c r="C249" s="321">
        <f>VPI!R249</f>
        <v>16474.219053497945</v>
      </c>
      <c r="D249" s="191">
        <f>(PCS!I255-PCS!F255)/C249</f>
        <v>11.657506598737129</v>
      </c>
      <c r="E249" s="448">
        <f>'Péréquation directe'!E255/C249</f>
        <v>-4.1822251565564654</v>
      </c>
      <c r="F249" s="191">
        <f>'Péréquation directe'!F255/Effort!C249</f>
        <v>-14.976891876160741</v>
      </c>
      <c r="G249" s="191">
        <f>'Péréquation directe'!G255/Effort!C249</f>
        <v>-19.38560913581388</v>
      </c>
      <c r="H249" s="191">
        <f>'Péréquation directe'!J255/Effort!C249</f>
        <v>19.118483643972599</v>
      </c>
      <c r="I249" s="341">
        <f t="shared" si="9"/>
        <v>-7.7687359258213569</v>
      </c>
      <c r="J249" s="208">
        <f t="shared" si="10"/>
        <v>0</v>
      </c>
      <c r="K249" s="42">
        <f t="shared" si="11"/>
        <v>0</v>
      </c>
      <c r="L249" s="222"/>
    </row>
    <row r="250" spans="1:13" x14ac:dyDescent="0.25">
      <c r="A250" s="38">
        <f>Données!A250</f>
        <v>5843</v>
      </c>
      <c r="B250" s="167" t="str">
        <f>Données!B250</f>
        <v>Rougemont</v>
      </c>
      <c r="C250" s="321">
        <f>VPI!R250</f>
        <v>89736.824345991568</v>
      </c>
      <c r="D250" s="191">
        <f>(PCS!I256-PCS!F256)/C250</f>
        <v>27.542335439981606</v>
      </c>
      <c r="E250" s="448">
        <f>'Péréquation directe'!E256/C250</f>
        <v>-1.1876277597150375</v>
      </c>
      <c r="F250" s="191">
        <f>'Péréquation directe'!F256/Effort!C250</f>
        <v>0</v>
      </c>
      <c r="G250" s="191">
        <f>'Péréquation directe'!G256/Effort!C250</f>
        <v>-1.1294059563918337</v>
      </c>
      <c r="H250" s="191">
        <f>'Péréquation directe'!J256/Effort!C250</f>
        <v>19.118483643972599</v>
      </c>
      <c r="I250" s="341">
        <f t="shared" si="9"/>
        <v>44.343785367847332</v>
      </c>
      <c r="J250" s="208">
        <f t="shared" si="10"/>
        <v>0</v>
      </c>
      <c r="K250" s="42">
        <f t="shared" si="11"/>
        <v>0</v>
      </c>
      <c r="L250" s="222"/>
    </row>
    <row r="251" spans="1:13" x14ac:dyDescent="0.25">
      <c r="A251" s="38">
        <f>Données!A251</f>
        <v>5851</v>
      </c>
      <c r="B251" s="167" t="str">
        <f>Données!B251</f>
        <v>Allaman</v>
      </c>
      <c r="C251" s="321">
        <f>VPI!R251</f>
        <v>24651.765025641023</v>
      </c>
      <c r="D251" s="191">
        <f>(PCS!I257-PCS!F257)/C251</f>
        <v>13.980619599126197</v>
      </c>
      <c r="E251" s="448">
        <f>'Péréquation directe'!E257/C251</f>
        <v>-2.1982255951533554</v>
      </c>
      <c r="F251" s="191">
        <f>'Péréquation directe'!F257/Effort!C251</f>
        <v>0</v>
      </c>
      <c r="G251" s="191">
        <f>'Péréquation directe'!G257/Effort!C251</f>
        <v>-0.30240876620395291</v>
      </c>
      <c r="H251" s="191">
        <f>'Péréquation directe'!J257/Effort!C251</f>
        <v>19.118483643972599</v>
      </c>
      <c r="I251" s="341">
        <f t="shared" si="9"/>
        <v>30.598468881741489</v>
      </c>
      <c r="J251" s="208">
        <f t="shared" si="10"/>
        <v>0</v>
      </c>
      <c r="K251" s="42">
        <f t="shared" si="11"/>
        <v>0</v>
      </c>
      <c r="L251" s="222"/>
    </row>
    <row r="252" spans="1:13" x14ac:dyDescent="0.25">
      <c r="A252" s="38">
        <f>Données!A252</f>
        <v>5852</v>
      </c>
      <c r="B252" s="167" t="str">
        <f>Données!B252</f>
        <v>Bursinel</v>
      </c>
      <c r="C252" s="321">
        <f>VPI!R252</f>
        <v>35649.594677419358</v>
      </c>
      <c r="D252" s="191">
        <f>(PCS!I258-PCS!F258)/C252</f>
        <v>16.688910678144733</v>
      </c>
      <c r="E252" s="448">
        <f>'Péréquation directe'!E258/C252</f>
        <v>-1.8204735693761684</v>
      </c>
      <c r="F252" s="191">
        <f>'Péréquation directe'!F258/Effort!C252</f>
        <v>0</v>
      </c>
      <c r="G252" s="191">
        <f>'Péréquation directe'!G258/Effort!C252</f>
        <v>0</v>
      </c>
      <c r="H252" s="191">
        <f>'Péréquation directe'!J258/Effort!C252</f>
        <v>19.118483643972599</v>
      </c>
      <c r="I252" s="341">
        <f t="shared" si="9"/>
        <v>33.986920752741163</v>
      </c>
      <c r="J252" s="208">
        <f t="shared" si="10"/>
        <v>0</v>
      </c>
      <c r="K252" s="42">
        <f t="shared" si="11"/>
        <v>0</v>
      </c>
      <c r="L252" s="222"/>
    </row>
    <row r="253" spans="1:13" x14ac:dyDescent="0.25">
      <c r="A253" s="38">
        <f>Données!A253</f>
        <v>5853</v>
      </c>
      <c r="B253" s="167" t="str">
        <f>Données!B253</f>
        <v>Bursins</v>
      </c>
      <c r="C253" s="321">
        <f>VPI!R253</f>
        <v>47536.23239436619</v>
      </c>
      <c r="D253" s="191">
        <f>(PCS!I259-PCS!F259)/C253</f>
        <v>15.211845151469447</v>
      </c>
      <c r="E253" s="448">
        <f>'Péréquation directe'!E259/C253</f>
        <v>-2.0790981950334819</v>
      </c>
      <c r="F253" s="191">
        <f>'Péréquation directe'!F259/Effort!C253</f>
        <v>0</v>
      </c>
      <c r="G253" s="191">
        <f>'Péréquation directe'!G259/Effort!C253</f>
        <v>0</v>
      </c>
      <c r="H253" s="191">
        <f>'Péréquation directe'!J259/Effort!C253</f>
        <v>19.118483643972599</v>
      </c>
      <c r="I253" s="341">
        <f t="shared" si="9"/>
        <v>32.251230600408562</v>
      </c>
      <c r="J253" s="208">
        <f t="shared" si="10"/>
        <v>0</v>
      </c>
      <c r="K253" s="42">
        <f t="shared" si="11"/>
        <v>0</v>
      </c>
      <c r="L253" s="222"/>
    </row>
    <row r="254" spans="1:13" x14ac:dyDescent="0.25">
      <c r="A254" s="38">
        <f>Données!A254</f>
        <v>5854</v>
      </c>
      <c r="B254" s="167" t="str">
        <f>Données!B254</f>
        <v>Burtigny</v>
      </c>
      <c r="C254" s="321">
        <f>VPI!R254</f>
        <v>15260.883397027597</v>
      </c>
      <c r="D254" s="191">
        <f>(PCS!I260-PCS!F260)/C254</f>
        <v>11.657506598737129</v>
      </c>
      <c r="E254" s="448">
        <f>'Péréquation directe'!E260/C254</f>
        <v>-3.5001902960780824</v>
      </c>
      <c r="F254" s="191">
        <f>'Péréquation directe'!F260/Effort!C254</f>
        <v>-7.7562139699905046</v>
      </c>
      <c r="G254" s="191">
        <f>'Péréquation directe'!G260/Effort!C254</f>
        <v>-2.1483380887668297</v>
      </c>
      <c r="H254" s="191">
        <f>'Péréquation directe'!J260/Effort!C254</f>
        <v>19.118483643972599</v>
      </c>
      <c r="I254" s="341">
        <f t="shared" si="9"/>
        <v>17.371247887874311</v>
      </c>
      <c r="J254" s="208">
        <f t="shared" si="10"/>
        <v>0</v>
      </c>
      <c r="K254" s="42">
        <f t="shared" si="11"/>
        <v>0</v>
      </c>
      <c r="L254" s="222"/>
    </row>
    <row r="255" spans="1:13" x14ac:dyDescent="0.25">
      <c r="A255" s="38">
        <f>Données!A255</f>
        <v>5855</v>
      </c>
      <c r="B255" s="167" t="str">
        <f>Données!B255</f>
        <v>Dully</v>
      </c>
      <c r="C255" s="321">
        <f>VPI!R255</f>
        <v>82571.89</v>
      </c>
      <c r="D255" s="191">
        <f>(PCS!I261-PCS!F261)/C255</f>
        <v>25.00442062210978</v>
      </c>
      <c r="E255" s="448">
        <f>'Péréquation directe'!E261/C255</f>
        <v>-0.98598004008960971</v>
      </c>
      <c r="F255" s="191">
        <f>'Péréquation directe'!F261/Effort!C255</f>
        <v>0</v>
      </c>
      <c r="G255" s="191">
        <f>'Péréquation directe'!G261/Effort!C255</f>
        <v>0</v>
      </c>
      <c r="H255" s="191">
        <f>'Péréquation directe'!J261/Effort!C255</f>
        <v>19.118483643972599</v>
      </c>
      <c r="I255" s="341">
        <f t="shared" si="9"/>
        <v>43.136924225992772</v>
      </c>
      <c r="J255" s="208">
        <f t="shared" si="10"/>
        <v>0</v>
      </c>
      <c r="K255" s="42">
        <f t="shared" si="11"/>
        <v>0</v>
      </c>
      <c r="L255" s="222"/>
    </row>
    <row r="256" spans="1:13" x14ac:dyDescent="0.25">
      <c r="A256" s="38">
        <f>Données!A256</f>
        <v>5856</v>
      </c>
      <c r="B256" s="167" t="str">
        <f>Données!B256</f>
        <v>Essertines-sur-Rolle</v>
      </c>
      <c r="C256" s="321">
        <f>VPI!R256</f>
        <v>36460.812481203015</v>
      </c>
      <c r="D256" s="191">
        <f>(PCS!I262-PCS!F262)/C256</f>
        <v>11.714488600441795</v>
      </c>
      <c r="E256" s="448">
        <f>'Péréquation directe'!E262/C256</f>
        <v>-2.6504918001172766</v>
      </c>
      <c r="F256" s="191">
        <f>'Péréquation directe'!F262/Effort!C256</f>
        <v>0</v>
      </c>
      <c r="G256" s="191">
        <f>'Péréquation directe'!G262/Effort!C256</f>
        <v>0</v>
      </c>
      <c r="H256" s="191">
        <f>'Péréquation directe'!J262/Effort!C256</f>
        <v>19.118483643972599</v>
      </c>
      <c r="I256" s="341">
        <f t="shared" si="9"/>
        <v>28.18248044429712</v>
      </c>
      <c r="J256" s="208">
        <f t="shared" si="10"/>
        <v>0</v>
      </c>
      <c r="K256" s="42">
        <f t="shared" si="11"/>
        <v>0</v>
      </c>
      <c r="L256" s="222"/>
    </row>
    <row r="257" spans="1:12" x14ac:dyDescent="0.25">
      <c r="A257" s="38">
        <f>Données!A257</f>
        <v>5857</v>
      </c>
      <c r="B257" s="167" t="str">
        <f>Données!B257</f>
        <v>Gilly</v>
      </c>
      <c r="C257" s="321">
        <f>VPI!R257</f>
        <v>86828.689767441872</v>
      </c>
      <c r="D257" s="191">
        <f>(PCS!I263-PCS!F263)/C257</f>
        <v>14.346754937132042</v>
      </c>
      <c r="E257" s="448">
        <f>'Péréquation directe'!E263/C257</f>
        <v>-3.3416316399454473</v>
      </c>
      <c r="F257" s="191">
        <f>'Péréquation directe'!F263/Effort!C257</f>
        <v>0</v>
      </c>
      <c r="G257" s="191">
        <f>'Péréquation directe'!G263/Effort!C257</f>
        <v>0</v>
      </c>
      <c r="H257" s="191">
        <f>'Péréquation directe'!J263/Effort!C257</f>
        <v>19.118483643972599</v>
      </c>
      <c r="I257" s="341">
        <f t="shared" si="9"/>
        <v>30.123606941159196</v>
      </c>
      <c r="J257" s="208">
        <f t="shared" si="10"/>
        <v>0</v>
      </c>
      <c r="K257" s="42">
        <f t="shared" si="11"/>
        <v>0</v>
      </c>
      <c r="L257" s="222"/>
    </row>
    <row r="258" spans="1:12" x14ac:dyDescent="0.25">
      <c r="A258" s="38">
        <f>Données!A258</f>
        <v>5858</v>
      </c>
      <c r="B258" s="167" t="str">
        <f>Données!B258</f>
        <v>Luins</v>
      </c>
      <c r="C258" s="321">
        <f>VPI!R258</f>
        <v>41161.285925925928</v>
      </c>
      <c r="D258" s="191">
        <f>(PCS!I264-PCS!F264)/C258</f>
        <v>15.584115073812201</v>
      </c>
      <c r="E258" s="448">
        <f>'Péréquation directe'!E264/C258</f>
        <v>-1.9371824697768196</v>
      </c>
      <c r="F258" s="191">
        <f>'Péréquation directe'!F264/Effort!C258</f>
        <v>0</v>
      </c>
      <c r="G258" s="191">
        <f>'Péréquation directe'!G264/Effort!C258</f>
        <v>0</v>
      </c>
      <c r="H258" s="191">
        <f>'Péréquation directe'!J264/Effort!C258</f>
        <v>19.118483643972599</v>
      </c>
      <c r="I258" s="341">
        <f t="shared" si="9"/>
        <v>32.76541624800798</v>
      </c>
      <c r="J258" s="208">
        <f t="shared" si="10"/>
        <v>0</v>
      </c>
      <c r="K258" s="42">
        <f t="shared" si="11"/>
        <v>0</v>
      </c>
      <c r="L258" s="222"/>
    </row>
    <row r="259" spans="1:12" x14ac:dyDescent="0.25">
      <c r="A259" s="38">
        <f>Données!A259</f>
        <v>5859</v>
      </c>
      <c r="B259" s="167" t="str">
        <f>Données!B259</f>
        <v>Mont-sur-Rolle</v>
      </c>
      <c r="C259" s="321">
        <f>VPI!R259</f>
        <v>158436.40771653541</v>
      </c>
      <c r="D259" s="191">
        <f>(PCS!I265-PCS!F265)/C259</f>
        <v>13.637864460288521</v>
      </c>
      <c r="E259" s="448">
        <f>'Péréquation directe'!E265/C259</f>
        <v>-4.8252410806161379</v>
      </c>
      <c r="F259" s="191">
        <f>'Péréquation directe'!F265/Effort!C259</f>
        <v>0</v>
      </c>
      <c r="G259" s="191">
        <f>'Péréquation directe'!G265/Effort!C259</f>
        <v>-1.450129468422737</v>
      </c>
      <c r="H259" s="191">
        <f>'Péréquation directe'!J265/Effort!C259</f>
        <v>19.118483643972599</v>
      </c>
      <c r="I259" s="341">
        <f t="shared" si="9"/>
        <v>26.480977555222246</v>
      </c>
      <c r="J259" s="208">
        <f t="shared" si="10"/>
        <v>0</v>
      </c>
      <c r="K259" s="42">
        <f t="shared" si="11"/>
        <v>0</v>
      </c>
      <c r="L259" s="222"/>
    </row>
    <row r="260" spans="1:12" x14ac:dyDescent="0.25">
      <c r="A260" s="38">
        <f>Données!A260</f>
        <v>5860</v>
      </c>
      <c r="B260" s="167" t="str">
        <f>Données!B260</f>
        <v>Perroy</v>
      </c>
      <c r="C260" s="321">
        <f>VPI!R260</f>
        <v>132374.98733727811</v>
      </c>
      <c r="D260" s="191">
        <f>(PCS!I266-PCS!F266)/C260</f>
        <v>19.53320687748564</v>
      </c>
      <c r="E260" s="448">
        <f>'Péréquation directe'!E266/C260</f>
        <v>-2.4538713366982181</v>
      </c>
      <c r="F260" s="191">
        <f>'Péréquation directe'!F266/Effort!C260</f>
        <v>0</v>
      </c>
      <c r="G260" s="191">
        <f>'Péréquation directe'!G266/Effort!C260</f>
        <v>0</v>
      </c>
      <c r="H260" s="191">
        <f>'Péréquation directe'!J266/Effort!C260</f>
        <v>19.118483643972599</v>
      </c>
      <c r="I260" s="341">
        <f t="shared" si="9"/>
        <v>36.197819184760021</v>
      </c>
      <c r="J260" s="208">
        <f t="shared" si="10"/>
        <v>0</v>
      </c>
      <c r="K260" s="42">
        <f t="shared" si="11"/>
        <v>0</v>
      </c>
      <c r="L260" s="222"/>
    </row>
    <row r="261" spans="1:12" x14ac:dyDescent="0.25">
      <c r="A261" s="38">
        <f>Données!A261</f>
        <v>5861</v>
      </c>
      <c r="B261" s="167" t="str">
        <f>Données!B261</f>
        <v>Rolle</v>
      </c>
      <c r="C261" s="321">
        <f>VPI!R261</f>
        <v>897513.79815126071</v>
      </c>
      <c r="D261" s="191">
        <f>(PCS!I267-PCS!F267)/C261</f>
        <v>27.798817967996044</v>
      </c>
      <c r="E261" s="448">
        <f>'Péréquation directe'!E267/C261</f>
        <v>-3.0103925069928663</v>
      </c>
      <c r="F261" s="191">
        <f>'Péréquation directe'!F267/Effort!C261</f>
        <v>0</v>
      </c>
      <c r="G261" s="191">
        <f>'Péréquation directe'!G267/Effort!C261</f>
        <v>0</v>
      </c>
      <c r="H261" s="191">
        <f>'Péréquation directe'!J267/Effort!C261</f>
        <v>19.118483643972599</v>
      </c>
      <c r="I261" s="341">
        <f t="shared" si="9"/>
        <v>43.906909104975782</v>
      </c>
      <c r="J261" s="208">
        <f t="shared" si="10"/>
        <v>0</v>
      </c>
      <c r="K261" s="42">
        <f t="shared" si="11"/>
        <v>0</v>
      </c>
      <c r="L261" s="222"/>
    </row>
    <row r="262" spans="1:12" x14ac:dyDescent="0.25">
      <c r="A262" s="38">
        <f>Données!A262</f>
        <v>5862</v>
      </c>
      <c r="B262" s="167" t="str">
        <f>Données!B262</f>
        <v>Tartegnin</v>
      </c>
      <c r="C262" s="321">
        <f>VPI!R262</f>
        <v>10371.497468354431</v>
      </c>
      <c r="D262" s="191">
        <f>(PCS!I268-PCS!F268)/C262</f>
        <v>11.657506598737129</v>
      </c>
      <c r="E262" s="448">
        <f>'Péréquation directe'!E268/C262</f>
        <v>-3.0976252147253289</v>
      </c>
      <c r="F262" s="191">
        <f>'Péréquation directe'!F268/Effort!C262</f>
        <v>-4.0830496712438613</v>
      </c>
      <c r="G262" s="191">
        <f>'Péréquation directe'!G268/Effort!C262</f>
        <v>0</v>
      </c>
      <c r="H262" s="191">
        <f>'Péréquation directe'!J268/Effort!C262</f>
        <v>19.118483643972599</v>
      </c>
      <c r="I262" s="341">
        <f t="shared" si="9"/>
        <v>23.595315356740535</v>
      </c>
      <c r="J262" s="208">
        <f t="shared" si="10"/>
        <v>0</v>
      </c>
      <c r="K262" s="42">
        <f t="shared" si="11"/>
        <v>0</v>
      </c>
      <c r="L262" s="222"/>
    </row>
    <row r="263" spans="1:12" x14ac:dyDescent="0.25">
      <c r="A263" s="38">
        <f>Données!A263</f>
        <v>5863</v>
      </c>
      <c r="B263" s="167" t="str">
        <f>Données!B263</f>
        <v>Vinzel</v>
      </c>
      <c r="C263" s="321">
        <f>VPI!R263</f>
        <v>23661.929552238806</v>
      </c>
      <c r="D263" s="191">
        <f>(PCS!I269-PCS!F269)/C263</f>
        <v>15.156046857601808</v>
      </c>
      <c r="E263" s="448">
        <f>'Péréquation directe'!E269/C263</f>
        <v>-2.0611643971338265</v>
      </c>
      <c r="F263" s="191">
        <f>'Péréquation directe'!F269/Effort!C263</f>
        <v>0</v>
      </c>
      <c r="G263" s="191">
        <f>'Péréquation directe'!G269/Effort!C263</f>
        <v>0</v>
      </c>
      <c r="H263" s="191">
        <f>'Péréquation directe'!J269/Effort!C263</f>
        <v>19.118483643972599</v>
      </c>
      <c r="I263" s="341">
        <f t="shared" ref="I263:I305" si="12">SUM(D263:H263)</f>
        <v>32.213366104440581</v>
      </c>
      <c r="J263" s="208">
        <f t="shared" ref="J263:J305" si="13">IF(I263&gt;J$5,I263-J$5,0)</f>
        <v>0</v>
      </c>
      <c r="K263" s="42">
        <f t="shared" ref="K263:K305" si="14">-J263*C263</f>
        <v>0</v>
      </c>
      <c r="L263" s="222"/>
    </row>
    <row r="264" spans="1:12" x14ac:dyDescent="0.25">
      <c r="A264" s="38">
        <f>Données!A264</f>
        <v>5871</v>
      </c>
      <c r="B264" s="167" t="str">
        <f>Données!B264</f>
        <v>L'Abbaye</v>
      </c>
      <c r="C264" s="321">
        <f>VPI!R264</f>
        <v>50236.516429495467</v>
      </c>
      <c r="D264" s="191">
        <f>(PCS!I270-PCS!F270)/C264</f>
        <v>11.657506598737129</v>
      </c>
      <c r="E264" s="448">
        <f>'Péréquation directe'!E270/C264</f>
        <v>-6.4085065836420947</v>
      </c>
      <c r="F264" s="191">
        <f>'Péréquation directe'!F270/Effort!C264</f>
        <v>-11.465141605289318</v>
      </c>
      <c r="G264" s="191">
        <f>'Péréquation directe'!G270/Effort!C264</f>
        <v>-8.5385727735527848</v>
      </c>
      <c r="H264" s="191">
        <f>'Péréquation directe'!J270/Effort!C264</f>
        <v>19.118483643972599</v>
      </c>
      <c r="I264" s="341">
        <f t="shared" si="12"/>
        <v>4.3637692802255295</v>
      </c>
      <c r="J264" s="208">
        <f t="shared" si="13"/>
        <v>0</v>
      </c>
      <c r="K264" s="42">
        <f t="shared" si="14"/>
        <v>0</v>
      </c>
      <c r="L264" s="222"/>
    </row>
    <row r="265" spans="1:12" x14ac:dyDescent="0.25">
      <c r="A265" s="38">
        <f>Données!A265</f>
        <v>5872</v>
      </c>
      <c r="B265" s="167" t="str">
        <f>Données!B265</f>
        <v>Le Chenit</v>
      </c>
      <c r="C265" s="321">
        <f>VPI!R265</f>
        <v>317064.3538829867</v>
      </c>
      <c r="D265" s="191">
        <f>(PCS!I271-PCS!F271)/C265</f>
        <v>16.625256996972034</v>
      </c>
      <c r="E265" s="448">
        <f>'Péréquation directe'!E271/C265</f>
        <v>-5.3112975905657622</v>
      </c>
      <c r="F265" s="191">
        <f>'Péréquation directe'!F271/Effort!C265</f>
        <v>0</v>
      </c>
      <c r="G265" s="191">
        <f>'Péréquation directe'!G271/Effort!C265</f>
        <v>-3.7682661158774629</v>
      </c>
      <c r="H265" s="191">
        <f>'Péréquation directe'!J271/Effort!C265</f>
        <v>19.118483643972599</v>
      </c>
      <c r="I265" s="341">
        <f t="shared" si="12"/>
        <v>26.664176934501409</v>
      </c>
      <c r="J265" s="208">
        <f t="shared" si="13"/>
        <v>0</v>
      </c>
      <c r="K265" s="42">
        <f t="shared" si="14"/>
        <v>0</v>
      </c>
      <c r="L265" s="222"/>
    </row>
    <row r="266" spans="1:12" x14ac:dyDescent="0.25">
      <c r="A266" s="38">
        <f>Données!A266</f>
        <v>5873</v>
      </c>
      <c r="B266" s="167" t="str">
        <f>Données!B266</f>
        <v>Le Lieu</v>
      </c>
      <c r="C266" s="321">
        <f>VPI!R266</f>
        <v>35207.025785714286</v>
      </c>
      <c r="D266" s="191">
        <f>(PCS!I272-PCS!F272)/C266</f>
        <v>11.657506598737131</v>
      </c>
      <c r="E266" s="448">
        <f>'Péréquation directe'!E272/C266</f>
        <v>-3.2469482952038993</v>
      </c>
      <c r="F266" s="191">
        <f>'Péréquation directe'!F272/Effort!C266</f>
        <v>-4.3043209948292525</v>
      </c>
      <c r="G266" s="191">
        <f>'Péréquation directe'!G272/Effort!C266</f>
        <v>-18.808733801510854</v>
      </c>
      <c r="H266" s="191">
        <f>'Péréquation directe'!J272/Effort!C266</f>
        <v>19.118483643972599</v>
      </c>
      <c r="I266" s="341">
        <f t="shared" si="12"/>
        <v>4.4159871511657247</v>
      </c>
      <c r="J266" s="208">
        <f t="shared" si="13"/>
        <v>0</v>
      </c>
      <c r="K266" s="42">
        <f t="shared" si="14"/>
        <v>0</v>
      </c>
      <c r="L266" s="222"/>
    </row>
    <row r="267" spans="1:12" x14ac:dyDescent="0.25">
      <c r="A267" s="38">
        <f>Données!A267</f>
        <v>5882</v>
      </c>
      <c r="B267" s="167" t="str">
        <f>Données!B267</f>
        <v>Chardonne</v>
      </c>
      <c r="C267" s="321">
        <f>VPI!R267</f>
        <v>201756.91955882352</v>
      </c>
      <c r="D267" s="191">
        <f>(PCS!I273-PCS!F273)/C267</f>
        <v>15.370701708632545</v>
      </c>
      <c r="E267" s="448">
        <f>'Péréquation directe'!E273/C267</f>
        <v>-4.7118577220307429</v>
      </c>
      <c r="F267" s="191">
        <f>'Péréquation directe'!F273/Effort!C267</f>
        <v>0</v>
      </c>
      <c r="G267" s="191">
        <f>'Péréquation directe'!G273/Effort!C267</f>
        <v>-1.3432797409857482</v>
      </c>
      <c r="H267" s="191">
        <f>'Péréquation directe'!J273/Effort!C267</f>
        <v>19.118483643972599</v>
      </c>
      <c r="I267" s="341">
        <f t="shared" si="12"/>
        <v>28.434047889588655</v>
      </c>
      <c r="J267" s="208">
        <f t="shared" si="13"/>
        <v>0</v>
      </c>
      <c r="K267" s="42">
        <f t="shared" si="14"/>
        <v>0</v>
      </c>
      <c r="L267" s="222"/>
    </row>
    <row r="268" spans="1:12" x14ac:dyDescent="0.25">
      <c r="A268" s="38">
        <f>Données!A268</f>
        <v>5883</v>
      </c>
      <c r="B268" s="167" t="str">
        <f>Données!B268</f>
        <v>Corseaux</v>
      </c>
      <c r="C268" s="321">
        <f>VPI!R268</f>
        <v>180896.25407407407</v>
      </c>
      <c r="D268" s="191">
        <f>(PCS!I274-PCS!F274)/C268</f>
        <v>19.046517229591693</v>
      </c>
      <c r="E268" s="448">
        <f>'Péréquation directe'!E274/C268</f>
        <v>-3.3234569090989217</v>
      </c>
      <c r="F268" s="191">
        <f>'Péréquation directe'!F274/Effort!C268</f>
        <v>0</v>
      </c>
      <c r="G268" s="191">
        <f>'Péréquation directe'!G274/Effort!C268</f>
        <v>0</v>
      </c>
      <c r="H268" s="191">
        <f>'Péréquation directe'!J274/Effort!C268</f>
        <v>19.118483643972599</v>
      </c>
      <c r="I268" s="341">
        <f t="shared" si="12"/>
        <v>34.841543964465373</v>
      </c>
      <c r="J268" s="208">
        <f t="shared" si="13"/>
        <v>0</v>
      </c>
      <c r="K268" s="42">
        <f t="shared" si="14"/>
        <v>0</v>
      </c>
      <c r="L268" s="222"/>
    </row>
    <row r="269" spans="1:12" x14ac:dyDescent="0.25">
      <c r="A269" s="38">
        <f>Données!A269</f>
        <v>5884</v>
      </c>
      <c r="B269" s="167" t="str">
        <f>Données!B269</f>
        <v>Corsier-sur-Vevey</v>
      </c>
      <c r="C269" s="321">
        <f>VPI!R269</f>
        <v>128051.27881136951</v>
      </c>
      <c r="D269" s="191">
        <f>(PCS!I275-PCS!F275)/C269</f>
        <v>11.657506598737129</v>
      </c>
      <c r="E269" s="448">
        <f>'Péréquation directe'!E275/C269</f>
        <v>-8.1252660175149423</v>
      </c>
      <c r="F269" s="191">
        <f>'Péréquation directe'!F275/Effort!C269</f>
        <v>-4.5578924481265037</v>
      </c>
      <c r="G269" s="191">
        <f>'Péréquation directe'!G275/Effort!C269</f>
        <v>-11.039138697037936</v>
      </c>
      <c r="H269" s="191">
        <f>'Péréquation directe'!J275/Effort!C269</f>
        <v>19.118483643972599</v>
      </c>
      <c r="I269" s="341">
        <f t="shared" si="12"/>
        <v>7.0536930800303459</v>
      </c>
      <c r="J269" s="208">
        <f t="shared" si="13"/>
        <v>0</v>
      </c>
      <c r="K269" s="42">
        <f t="shared" si="14"/>
        <v>0</v>
      </c>
      <c r="L269" s="222"/>
    </row>
    <row r="270" spans="1:12" x14ac:dyDescent="0.25">
      <c r="A270" s="38">
        <f>Données!A270</f>
        <v>5885</v>
      </c>
      <c r="B270" s="167" t="str">
        <f>Données!B270</f>
        <v>Jongny</v>
      </c>
      <c r="C270" s="321">
        <f>VPI!R270</f>
        <v>104091.36242206233</v>
      </c>
      <c r="D270" s="191">
        <f>(PCS!I276-PCS!F276)/C270</f>
        <v>13.634944698198208</v>
      </c>
      <c r="E270" s="448">
        <f>'Péréquation directe'!E276/C270</f>
        <v>-4.1618387802085035</v>
      </c>
      <c r="F270" s="191">
        <f>'Péréquation directe'!F276/Effort!C270</f>
        <v>0</v>
      </c>
      <c r="G270" s="191">
        <f>'Péréquation directe'!G276/Effort!C270</f>
        <v>-0.59349377345196663</v>
      </c>
      <c r="H270" s="191">
        <f>'Péréquation directe'!J276/Effort!C270</f>
        <v>19.118483643972599</v>
      </c>
      <c r="I270" s="341">
        <f t="shared" si="12"/>
        <v>27.998095788510337</v>
      </c>
      <c r="J270" s="208">
        <f t="shared" si="13"/>
        <v>0</v>
      </c>
      <c r="K270" s="42">
        <f t="shared" si="14"/>
        <v>0</v>
      </c>
      <c r="L270" s="222"/>
    </row>
    <row r="271" spans="1:12" x14ac:dyDescent="0.25">
      <c r="A271" s="38">
        <f>Données!A271</f>
        <v>5886</v>
      </c>
      <c r="B271" s="167" t="str">
        <f>Données!B271</f>
        <v>Montreux</v>
      </c>
      <c r="C271" s="321">
        <f>VPI!R271</f>
        <v>1153112.7161538461</v>
      </c>
      <c r="D271" s="191">
        <f>(PCS!I277-PCS!F277)/C271</f>
        <v>11.657506598737127</v>
      </c>
      <c r="E271" s="448">
        <f>'Péréquation directe'!E277/C271</f>
        <v>-19.164914958676675</v>
      </c>
      <c r="F271" s="191">
        <f>'Péréquation directe'!F277/Effort!C271</f>
        <v>-1.6262655464186009</v>
      </c>
      <c r="G271" s="191">
        <f>'Péréquation directe'!G277/Effort!C271</f>
        <v>-5.7143818844873469</v>
      </c>
      <c r="H271" s="191">
        <f>'Péréquation directe'!J277/Effort!C271</f>
        <v>19.118483643972599</v>
      </c>
      <c r="I271" s="341">
        <f t="shared" si="12"/>
        <v>4.2704278531271029</v>
      </c>
      <c r="J271" s="208">
        <f t="shared" si="13"/>
        <v>0</v>
      </c>
      <c r="K271" s="42">
        <f t="shared" si="14"/>
        <v>0</v>
      </c>
      <c r="L271" s="222"/>
    </row>
    <row r="272" spans="1:12" x14ac:dyDescent="0.25">
      <c r="A272" s="38">
        <f>Données!A272</f>
        <v>5889</v>
      </c>
      <c r="B272" s="167" t="str">
        <f>Données!B272</f>
        <v>La Tour-de-Peilz</v>
      </c>
      <c r="C272" s="321">
        <f>VPI!R272</f>
        <v>709179.36611979152</v>
      </c>
      <c r="D272" s="191">
        <f>(PCS!I278-PCS!F278)/C272</f>
        <v>13.609363224213409</v>
      </c>
      <c r="E272" s="448">
        <f>'Péréquation directe'!E278/C272</f>
        <v>-10.443036373173285</v>
      </c>
      <c r="F272" s="191">
        <f>'Péréquation directe'!F278/Effort!C272</f>
        <v>0</v>
      </c>
      <c r="G272" s="191">
        <f>'Péréquation directe'!G278/Effort!C272</f>
        <v>-1.0768418960912836</v>
      </c>
      <c r="H272" s="191">
        <f>'Péréquation directe'!J278/Effort!C272</f>
        <v>19.118483643972599</v>
      </c>
      <c r="I272" s="341">
        <f t="shared" si="12"/>
        <v>21.20796859892144</v>
      </c>
      <c r="J272" s="208">
        <f t="shared" si="13"/>
        <v>0</v>
      </c>
      <c r="K272" s="42">
        <f t="shared" si="14"/>
        <v>0</v>
      </c>
      <c r="L272" s="222"/>
    </row>
    <row r="273" spans="1:12" x14ac:dyDescent="0.25">
      <c r="A273" s="38">
        <f>Données!A273</f>
        <v>5890</v>
      </c>
      <c r="B273" s="167" t="str">
        <f>Données!B273</f>
        <v>Vevey</v>
      </c>
      <c r="C273" s="321">
        <f>VPI!R273</f>
        <v>945087.70393736032</v>
      </c>
      <c r="D273" s="191">
        <f>(PCS!I279-PCS!F279)/C273</f>
        <v>11.657506598737129</v>
      </c>
      <c r="E273" s="448">
        <f>'Péréquation directe'!E279/C273</f>
        <v>-16.11508098760055</v>
      </c>
      <c r="F273" s="191">
        <f>'Péréquation directe'!F279/Effort!C273</f>
        <v>-0.27862301485776081</v>
      </c>
      <c r="G273" s="191">
        <f>'Péréquation directe'!G279/Effort!C273</f>
        <v>-3.8948039013105258</v>
      </c>
      <c r="H273" s="191">
        <f>'Péréquation directe'!J279/Effort!C273</f>
        <v>19.118483643972599</v>
      </c>
      <c r="I273" s="341">
        <f t="shared" si="12"/>
        <v>10.487482338940891</v>
      </c>
      <c r="J273" s="208">
        <f t="shared" si="13"/>
        <v>0</v>
      </c>
      <c r="K273" s="42">
        <f t="shared" si="14"/>
        <v>0</v>
      </c>
      <c r="L273" s="222"/>
    </row>
    <row r="274" spans="1:12" x14ac:dyDescent="0.25">
      <c r="A274" s="38">
        <f>Données!A274</f>
        <v>5891</v>
      </c>
      <c r="B274" s="167" t="str">
        <f>Données!B274</f>
        <v>Veytaux</v>
      </c>
      <c r="C274" s="321">
        <f>VPI!R274</f>
        <v>41113.316211031175</v>
      </c>
      <c r="D274" s="191">
        <f>(PCS!I280-PCS!F280)/C274</f>
        <v>11.657506598737129</v>
      </c>
      <c r="E274" s="448">
        <f>'Péréquation directe'!E280/C274</f>
        <v>-3.0441091125010904</v>
      </c>
      <c r="F274" s="191">
        <f>'Péréquation directe'!F280/Effort!C274</f>
        <v>-2.7719726903881998</v>
      </c>
      <c r="G274" s="191">
        <f>'Péréquation directe'!G280/Effort!C274</f>
        <v>-17.03382699612143</v>
      </c>
      <c r="H274" s="191">
        <f>'Péréquation directe'!J280/Effort!C274</f>
        <v>19.118483643972599</v>
      </c>
      <c r="I274" s="341">
        <f t="shared" si="12"/>
        <v>7.9260814436990081</v>
      </c>
      <c r="J274" s="208">
        <f t="shared" si="13"/>
        <v>0</v>
      </c>
      <c r="K274" s="42">
        <f t="shared" si="14"/>
        <v>0</v>
      </c>
      <c r="L274" s="222"/>
    </row>
    <row r="275" spans="1:12" x14ac:dyDescent="0.25">
      <c r="A275" s="38">
        <f>Données!A275</f>
        <v>5892</v>
      </c>
      <c r="B275" s="167" t="str">
        <f>Données!B275</f>
        <v>Blonay-Saint-Légier</v>
      </c>
      <c r="C275" s="321">
        <f>VPI!R275</f>
        <v>749734.6567883211</v>
      </c>
      <c r="D275" s="191">
        <f>(PCS!I281-PCS!F281)/C275</f>
        <v>15.027516034871056</v>
      </c>
      <c r="E275" s="448">
        <f>'Péréquation directe'!E281/C275</f>
        <v>-9.4967844236564947</v>
      </c>
      <c r="F275" s="191">
        <f>'Péréquation directe'!F281/Effort!C275</f>
        <v>0</v>
      </c>
      <c r="G275" s="191">
        <f>'Péréquation directe'!G281/Effort!C275</f>
        <v>-2.7382618611673237</v>
      </c>
      <c r="H275" s="191">
        <f>'Péréquation directe'!J281/Effort!C275</f>
        <v>19.118483643972599</v>
      </c>
      <c r="I275" s="341">
        <f t="shared" si="12"/>
        <v>21.910953394019835</v>
      </c>
      <c r="J275" s="208">
        <f t="shared" si="13"/>
        <v>0</v>
      </c>
      <c r="K275" s="42">
        <f t="shared" si="14"/>
        <v>0</v>
      </c>
      <c r="L275" s="222"/>
    </row>
    <row r="276" spans="1:12" x14ac:dyDescent="0.25">
      <c r="A276" s="38">
        <f>Données!A276</f>
        <v>5902</v>
      </c>
      <c r="B276" s="167" t="str">
        <f>Données!B276</f>
        <v>Belmont-sur-Yverdon</v>
      </c>
      <c r="C276" s="321">
        <f>VPI!R276</f>
        <v>11918.01</v>
      </c>
      <c r="D276" s="191">
        <f>(PCS!I282-PCS!F282)/C276</f>
        <v>11.657506598737129</v>
      </c>
      <c r="E276" s="448">
        <f>'Péréquation directe'!E282/C276</f>
        <v>-4.6984755737945703</v>
      </c>
      <c r="F276" s="191">
        <f>'Péréquation directe'!F282/Effort!C276</f>
        <v>-14.983439531287669</v>
      </c>
      <c r="G276" s="191">
        <f>'Péréquation directe'!G282/Effort!C276</f>
        <v>-0.53232397858367297</v>
      </c>
      <c r="H276" s="191">
        <f>'Péréquation directe'!J282/Effort!C276</f>
        <v>19.118483643972599</v>
      </c>
      <c r="I276" s="341">
        <f t="shared" si="12"/>
        <v>10.561751159043816</v>
      </c>
      <c r="J276" s="208">
        <f t="shared" si="13"/>
        <v>0</v>
      </c>
      <c r="K276" s="42">
        <f t="shared" si="14"/>
        <v>0</v>
      </c>
      <c r="L276" s="222"/>
    </row>
    <row r="277" spans="1:12" x14ac:dyDescent="0.25">
      <c r="A277" s="38">
        <f>Données!A277</f>
        <v>5903</v>
      </c>
      <c r="B277" s="167" t="str">
        <f>Données!B277</f>
        <v>Bioley-Magnoux</v>
      </c>
      <c r="C277" s="321">
        <f>VPI!R277</f>
        <v>6275.4313293650803</v>
      </c>
      <c r="D277" s="191">
        <f>(PCS!I283-PCS!F283)/C277</f>
        <v>11.657506598737129</v>
      </c>
      <c r="E277" s="448">
        <f>'Péréquation directe'!E283/C277</f>
        <v>-5.0783702521879919</v>
      </c>
      <c r="F277" s="191">
        <f>'Péréquation directe'!F283/Effort!C277</f>
        <v>-18.808806200524931</v>
      </c>
      <c r="G277" s="191">
        <f>'Péréquation directe'!G283/Effort!C277</f>
        <v>-22.84123289757806</v>
      </c>
      <c r="H277" s="191">
        <f>'Péréquation directe'!J283/Effort!C277</f>
        <v>19.118483643972599</v>
      </c>
      <c r="I277" s="341">
        <f t="shared" si="12"/>
        <v>-15.952419107581253</v>
      </c>
      <c r="J277" s="208">
        <f t="shared" si="13"/>
        <v>0</v>
      </c>
      <c r="K277" s="42">
        <f t="shared" si="14"/>
        <v>0</v>
      </c>
      <c r="L277" s="222"/>
    </row>
    <row r="278" spans="1:12" x14ac:dyDescent="0.25">
      <c r="A278" s="38">
        <f>Données!A278</f>
        <v>5904</v>
      </c>
      <c r="B278" s="167" t="str">
        <f>Données!B278</f>
        <v>Chamblon</v>
      </c>
      <c r="C278" s="321">
        <f>VPI!R278</f>
        <v>18890.250303030305</v>
      </c>
      <c r="D278" s="191">
        <f>(PCS!I284-PCS!F284)/C278</f>
        <v>11.657506598737129</v>
      </c>
      <c r="E278" s="448">
        <f>'Péréquation directe'!E284/C278</f>
        <v>-3.8727221168217936</v>
      </c>
      <c r="F278" s="191">
        <f>'Péréquation directe'!F284/Effort!C278</f>
        <v>-7.9192428203570469</v>
      </c>
      <c r="G278" s="191">
        <f>'Péréquation directe'!G284/Effort!C278</f>
        <v>0</v>
      </c>
      <c r="H278" s="191">
        <f>'Péréquation directe'!J284/Effort!C278</f>
        <v>19.118483643972599</v>
      </c>
      <c r="I278" s="341">
        <f t="shared" si="12"/>
        <v>18.984025305530889</v>
      </c>
      <c r="J278" s="208">
        <f t="shared" si="13"/>
        <v>0</v>
      </c>
      <c r="K278" s="42">
        <f t="shared" si="14"/>
        <v>0</v>
      </c>
      <c r="L278" s="222"/>
    </row>
    <row r="279" spans="1:12" x14ac:dyDescent="0.25">
      <c r="A279" s="38">
        <f>Données!A279</f>
        <v>5905</v>
      </c>
      <c r="B279" s="167" t="str">
        <f>Données!B279</f>
        <v>Champvent</v>
      </c>
      <c r="C279" s="321">
        <f>VPI!R279</f>
        <v>21534.177714285714</v>
      </c>
      <c r="D279" s="191">
        <f>(PCS!I285-PCS!F285)/C279</f>
        <v>11.657506598737129</v>
      </c>
      <c r="E279" s="448">
        <f>'Péréquation directe'!E285/C279</f>
        <v>-4.3978332300646805</v>
      </c>
      <c r="F279" s="191">
        <f>'Péréquation directe'!F285/Effort!C279</f>
        <v>-12.771565684254341</v>
      </c>
      <c r="G279" s="191">
        <f>'Péréquation directe'!G285/Effort!C279</f>
        <v>-3.8326717095648966</v>
      </c>
      <c r="H279" s="191">
        <f>'Péréquation directe'!J285/Effort!C279</f>
        <v>19.118483643972599</v>
      </c>
      <c r="I279" s="341">
        <f t="shared" si="12"/>
        <v>9.7739196188258095</v>
      </c>
      <c r="J279" s="208">
        <f t="shared" si="13"/>
        <v>0</v>
      </c>
      <c r="K279" s="42">
        <f t="shared" si="14"/>
        <v>0</v>
      </c>
      <c r="L279" s="222"/>
    </row>
    <row r="280" spans="1:12" x14ac:dyDescent="0.25">
      <c r="A280" s="38">
        <f>Données!A280</f>
        <v>5907</v>
      </c>
      <c r="B280" s="167" t="str">
        <f>Données!B280</f>
        <v>Chavannes-le-Chêne</v>
      </c>
      <c r="C280" s="321">
        <f>VPI!R280</f>
        <v>8453.4726666666666</v>
      </c>
      <c r="D280" s="191">
        <f>(PCS!I286-PCS!F286)/C280</f>
        <v>11.657506598737129</v>
      </c>
      <c r="E280" s="448">
        <f>'Péréquation directe'!E286/C280</f>
        <v>-4.8230628271196503</v>
      </c>
      <c r="F280" s="191">
        <f>'Péréquation directe'!F286/Effort!C280</f>
        <v>-18.252606004030806</v>
      </c>
      <c r="G280" s="191">
        <f>'Péréquation directe'!G286/Effort!C280</f>
        <v>-5.4401677645849533</v>
      </c>
      <c r="H280" s="191">
        <f>'Péréquation directe'!J286/Effort!C280</f>
        <v>19.118483643972599</v>
      </c>
      <c r="I280" s="341">
        <f t="shared" si="12"/>
        <v>2.2601536469743202</v>
      </c>
      <c r="J280" s="208">
        <f t="shared" si="13"/>
        <v>0</v>
      </c>
      <c r="K280" s="42">
        <f t="shared" si="14"/>
        <v>0</v>
      </c>
      <c r="L280" s="222"/>
    </row>
    <row r="281" spans="1:12" x14ac:dyDescent="0.25">
      <c r="A281" s="38">
        <f>Données!A281</f>
        <v>5908</v>
      </c>
      <c r="B281" s="167" t="str">
        <f>Données!B281</f>
        <v>Chêne-Pâquier</v>
      </c>
      <c r="C281" s="321">
        <f>VPI!R281</f>
        <v>4917.9366666666683</v>
      </c>
      <c r="D281" s="191">
        <f>(PCS!I287-PCS!F287)/C281</f>
        <v>11.657506598737129</v>
      </c>
      <c r="E281" s="448">
        <f>'Péréquation directe'!E287/C281</f>
        <v>-4.2763738207992539</v>
      </c>
      <c r="F281" s="191">
        <f>'Péréquation directe'!F287/Effort!C281</f>
        <v>-13.635424019528218</v>
      </c>
      <c r="G281" s="191">
        <f>'Péréquation directe'!G287/Effort!C281</f>
        <v>-8.0424841108838958</v>
      </c>
      <c r="H281" s="191">
        <f>'Péréquation directe'!J287/Effort!C281</f>
        <v>19.118483643972599</v>
      </c>
      <c r="I281" s="341">
        <f t="shared" si="12"/>
        <v>4.8217082914983607</v>
      </c>
      <c r="J281" s="208">
        <f t="shared" si="13"/>
        <v>0</v>
      </c>
      <c r="K281" s="42">
        <f t="shared" si="14"/>
        <v>0</v>
      </c>
      <c r="L281" s="222"/>
    </row>
    <row r="282" spans="1:12" x14ac:dyDescent="0.25">
      <c r="A282" s="38">
        <f>Données!A282</f>
        <v>5909</v>
      </c>
      <c r="B282" s="167" t="str">
        <f>Données!B282</f>
        <v>Cheseaux-Noréaz</v>
      </c>
      <c r="C282" s="321">
        <f>VPI!R282</f>
        <v>34179.649850746275</v>
      </c>
      <c r="D282" s="191">
        <f>(PCS!I288-PCS!F288)/C282</f>
        <v>11.657506598737129</v>
      </c>
      <c r="E282" s="448">
        <f>'Péréquation directe'!E288/C282</f>
        <v>-2.7707633854515996</v>
      </c>
      <c r="F282" s="191">
        <f>'Péréquation directe'!F288/Effort!C282</f>
        <v>-0.73377046526390577</v>
      </c>
      <c r="G282" s="191">
        <f>'Péréquation directe'!G288/Effort!C282</f>
        <v>-1.5070107833301196</v>
      </c>
      <c r="H282" s="191">
        <f>'Péréquation directe'!J288/Effort!C282</f>
        <v>19.118483643972599</v>
      </c>
      <c r="I282" s="341">
        <f t="shared" si="12"/>
        <v>25.764445608664104</v>
      </c>
      <c r="J282" s="208">
        <f t="shared" si="13"/>
        <v>0</v>
      </c>
      <c r="K282" s="42">
        <f t="shared" si="14"/>
        <v>0</v>
      </c>
      <c r="L282" s="222"/>
    </row>
    <row r="283" spans="1:12" x14ac:dyDescent="0.25">
      <c r="A283" s="38">
        <f>Données!A283</f>
        <v>5910</v>
      </c>
      <c r="B283" s="167" t="str">
        <f>Données!B283</f>
        <v>Cronay</v>
      </c>
      <c r="C283" s="321">
        <f>VPI!R283</f>
        <v>10620.023506493504</v>
      </c>
      <c r="D283" s="191">
        <f>(PCS!I289-PCS!F289)/C283</f>
        <v>11.657506598737129</v>
      </c>
      <c r="E283" s="448">
        <f>'Péréquation directe'!E289/C283</f>
        <v>-4.9811471098941693</v>
      </c>
      <c r="F283" s="191">
        <f>'Péréquation directe'!F289/Effort!C283</f>
        <v>-20.646350116668923</v>
      </c>
      <c r="G283" s="191">
        <f>'Péréquation directe'!G289/Effort!C283</f>
        <v>-5.2169932860593278</v>
      </c>
      <c r="H283" s="191">
        <f>'Péréquation directe'!J289/Effort!C283</f>
        <v>19.118483643972599</v>
      </c>
      <c r="I283" s="341">
        <f t="shared" si="12"/>
        <v>-6.8500269912693312E-2</v>
      </c>
      <c r="J283" s="208">
        <f t="shared" si="13"/>
        <v>0</v>
      </c>
      <c r="K283" s="42">
        <f t="shared" si="14"/>
        <v>0</v>
      </c>
      <c r="L283" s="222"/>
    </row>
    <row r="284" spans="1:12" x14ac:dyDescent="0.25">
      <c r="A284" s="38">
        <f>Données!A284</f>
        <v>5911</v>
      </c>
      <c r="B284" s="167" t="str">
        <f>Données!B284</f>
        <v>Cuarny</v>
      </c>
      <c r="C284" s="321">
        <f>VPI!R284</f>
        <v>7630.7251948051926</v>
      </c>
      <c r="D284" s="191">
        <f>(PCS!I290-PCS!F290)/C284</f>
        <v>11.657506598737127</v>
      </c>
      <c r="E284" s="448">
        <f>'Péréquation directe'!E290/C284</f>
        <v>-3.9904068632774505</v>
      </c>
      <c r="F284" s="191">
        <f>'Péréquation directe'!F290/Effort!C284</f>
        <v>-11.826618270701486</v>
      </c>
      <c r="G284" s="191">
        <f>'Péréquation directe'!G290/Effort!C284</f>
        <v>-1.0786269841691278</v>
      </c>
      <c r="H284" s="191">
        <f>'Péréquation directe'!J290/Effort!C284</f>
        <v>19.118483643972599</v>
      </c>
      <c r="I284" s="341">
        <f t="shared" si="12"/>
        <v>13.880338124561662</v>
      </c>
      <c r="J284" s="208">
        <f t="shared" si="13"/>
        <v>0</v>
      </c>
      <c r="K284" s="42">
        <f t="shared" si="14"/>
        <v>0</v>
      </c>
      <c r="L284" s="222"/>
    </row>
    <row r="285" spans="1:12" x14ac:dyDescent="0.25">
      <c r="A285" s="38">
        <f>Données!A285</f>
        <v>5912</v>
      </c>
      <c r="B285" s="167" t="str">
        <f>Données!B285</f>
        <v>Démoret</v>
      </c>
      <c r="C285" s="321">
        <f>VPI!R285</f>
        <v>3035.5994871794869</v>
      </c>
      <c r="D285" s="191">
        <f>(PCS!I291-PCS!F291)/C285</f>
        <v>11.657506598737131</v>
      </c>
      <c r="E285" s="448">
        <f>'Péréquation directe'!E291/C285</f>
        <v>-7.0981143211284685</v>
      </c>
      <c r="F285" s="191">
        <f>'Péréquation directe'!F291/Effort!C285</f>
        <v>-40.524364201779278</v>
      </c>
      <c r="G285" s="191">
        <f>'Péréquation directe'!G291/Effort!C285</f>
        <v>-4.9968559836700193</v>
      </c>
      <c r="H285" s="191">
        <f>'Péréquation directe'!J291/Effort!C285</f>
        <v>19.118483643972599</v>
      </c>
      <c r="I285" s="341">
        <f t="shared" si="12"/>
        <v>-21.84334426386803</v>
      </c>
      <c r="J285" s="208">
        <f t="shared" si="13"/>
        <v>0</v>
      </c>
      <c r="K285" s="42">
        <f t="shared" si="14"/>
        <v>0</v>
      </c>
      <c r="L285" s="222"/>
    </row>
    <row r="286" spans="1:12" s="202" customFormat="1" x14ac:dyDescent="0.25">
      <c r="A286" s="38">
        <f>Données!A286</f>
        <v>5913</v>
      </c>
      <c r="B286" s="167" t="str">
        <f>Données!B286</f>
        <v>Donneloye</v>
      </c>
      <c r="C286" s="321">
        <f>VPI!R286</f>
        <v>21868.165342465756</v>
      </c>
      <c r="D286" s="191">
        <f>(PCS!I292-PCS!F292)/C286</f>
        <v>11.657506598737129</v>
      </c>
      <c r="E286" s="448">
        <f>'Péréquation directe'!E292/C286</f>
        <v>-5.339581500231775</v>
      </c>
      <c r="F286" s="191">
        <f>'Péréquation directe'!F292/Effort!C286</f>
        <v>-21.424927429664752</v>
      </c>
      <c r="G286" s="191">
        <f>'Péréquation directe'!G292/Effort!C286</f>
        <v>-4.2910839784136812</v>
      </c>
      <c r="H286" s="191">
        <f>'Péréquation directe'!J292/Effort!C286</f>
        <v>19.118483643972599</v>
      </c>
      <c r="I286" s="341">
        <f t="shared" si="12"/>
        <v>-0.27960266560048197</v>
      </c>
      <c r="J286" s="208">
        <f t="shared" si="13"/>
        <v>0</v>
      </c>
      <c r="K286" s="42">
        <f t="shared" si="14"/>
        <v>0</v>
      </c>
      <c r="L286" s="222"/>
    </row>
    <row r="287" spans="1:12" s="202" customFormat="1" x14ac:dyDescent="0.25">
      <c r="A287" s="38">
        <f>Données!A287</f>
        <v>5914</v>
      </c>
      <c r="B287" s="167" t="str">
        <f>Données!B287</f>
        <v>Ependes</v>
      </c>
      <c r="C287" s="321">
        <f>VPI!R287</f>
        <v>9826.1438095238063</v>
      </c>
      <c r="D287" s="191">
        <f>(PCS!I293-PCS!F293)/C287</f>
        <v>11.657506598737131</v>
      </c>
      <c r="E287" s="448">
        <f>'Péréquation directe'!E293/C287</f>
        <v>-4.8846203375150994</v>
      </c>
      <c r="F287" s="191">
        <f>'Péréquation directe'!F293/Effort!C287</f>
        <v>-18.029112330742532</v>
      </c>
      <c r="G287" s="191">
        <f>'Péréquation directe'!G293/Effort!C287</f>
        <v>-7.4792594847312621</v>
      </c>
      <c r="H287" s="191">
        <f>'Péréquation directe'!J293/Effort!C287</f>
        <v>19.118483643972599</v>
      </c>
      <c r="I287" s="341">
        <f t="shared" si="12"/>
        <v>0.38299808972083582</v>
      </c>
      <c r="J287" s="208">
        <f t="shared" si="13"/>
        <v>0</v>
      </c>
      <c r="K287" s="42">
        <f t="shared" si="14"/>
        <v>0</v>
      </c>
      <c r="L287" s="222"/>
    </row>
    <row r="288" spans="1:12" s="202" customFormat="1" x14ac:dyDescent="0.25">
      <c r="A288" s="38">
        <f>Données!A288</f>
        <v>5919</v>
      </c>
      <c r="B288" s="167" t="str">
        <f>Données!B288</f>
        <v>Mathod</v>
      </c>
      <c r="C288" s="321">
        <f>VPI!R288</f>
        <v>20854.383912037036</v>
      </c>
      <c r="D288" s="191">
        <f>(PCS!I294-PCS!F294)/C288</f>
        <v>11.657506598737127</v>
      </c>
      <c r="E288" s="448">
        <f>'Péréquation directe'!E294/C288</f>
        <v>-4.2318447508585653</v>
      </c>
      <c r="F288" s="191">
        <f>'Péréquation directe'!F294/Effort!C288</f>
        <v>-12.219811418019654</v>
      </c>
      <c r="G288" s="191">
        <f>'Péréquation directe'!G294/Effort!C288</f>
        <v>-4.7373107229868641</v>
      </c>
      <c r="H288" s="191">
        <f>'Péréquation directe'!J294/Effort!C288</f>
        <v>19.118483643972599</v>
      </c>
      <c r="I288" s="341">
        <f t="shared" si="12"/>
        <v>9.5870233508446425</v>
      </c>
      <c r="J288" s="208">
        <f t="shared" si="13"/>
        <v>0</v>
      </c>
      <c r="K288" s="42">
        <f t="shared" si="14"/>
        <v>0</v>
      </c>
      <c r="L288" s="222"/>
    </row>
    <row r="289" spans="1:12" s="202" customFormat="1" x14ac:dyDescent="0.25">
      <c r="A289" s="38">
        <f>Données!A289</f>
        <v>5921</v>
      </c>
      <c r="B289" s="167" t="str">
        <f>Données!B289</f>
        <v>Molondin</v>
      </c>
      <c r="C289" s="321">
        <f>VPI!R289</f>
        <v>5090.9675308641981</v>
      </c>
      <c r="D289" s="191">
        <f>(PCS!I295-PCS!F295)/C289</f>
        <v>11.657506598737129</v>
      </c>
      <c r="E289" s="448">
        <f>'Péréquation directe'!E295/C289</f>
        <v>-6.5133405448687878</v>
      </c>
      <c r="F289" s="191">
        <f>'Péréquation directe'!F295/Effort!C289</f>
        <v>-37.940912814871467</v>
      </c>
      <c r="G289" s="191">
        <f>'Péréquation directe'!G295/Effort!C289</f>
        <v>-1.8592181366868645</v>
      </c>
      <c r="H289" s="191">
        <f>'Péréquation directe'!J295/Effort!C289</f>
        <v>19.118483643972599</v>
      </c>
      <c r="I289" s="341">
        <f t="shared" si="12"/>
        <v>-15.537481253717392</v>
      </c>
      <c r="J289" s="208">
        <f t="shared" si="13"/>
        <v>0</v>
      </c>
      <c r="K289" s="42">
        <f t="shared" si="14"/>
        <v>0</v>
      </c>
      <c r="L289" s="222"/>
    </row>
    <row r="290" spans="1:12" s="202" customFormat="1" x14ac:dyDescent="0.25">
      <c r="A290" s="38">
        <f>Données!A290</f>
        <v>5922</v>
      </c>
      <c r="B290" s="167" t="str">
        <f>Données!B290</f>
        <v>Montagny-près-Yverdon</v>
      </c>
      <c r="C290" s="321">
        <f>VPI!R290</f>
        <v>39799.996472868217</v>
      </c>
      <c r="D290" s="191">
        <f>(PCS!I296-PCS!F296)/C290</f>
        <v>12.460518465528001</v>
      </c>
      <c r="E290" s="448">
        <f>'Péréquation directe'!E296/C290</f>
        <v>-2.4961959887866323</v>
      </c>
      <c r="F290" s="191">
        <f>'Péréquation directe'!F296/Effort!C290</f>
        <v>0</v>
      </c>
      <c r="G290" s="191">
        <f>'Péréquation directe'!G296/Effort!C290</f>
        <v>-4.0386378243115209</v>
      </c>
      <c r="H290" s="191">
        <f>'Péréquation directe'!J296/Effort!C290</f>
        <v>19.118483643972599</v>
      </c>
      <c r="I290" s="341">
        <f t="shared" si="12"/>
        <v>25.044168296402447</v>
      </c>
      <c r="J290" s="208">
        <f t="shared" si="13"/>
        <v>0</v>
      </c>
      <c r="K290" s="42">
        <f t="shared" si="14"/>
        <v>0</v>
      </c>
      <c r="L290" s="222"/>
    </row>
    <row r="291" spans="1:12" s="202" customFormat="1" x14ac:dyDescent="0.25">
      <c r="A291" s="38">
        <f>Données!A291</f>
        <v>5923</v>
      </c>
      <c r="B291" s="167" t="str">
        <f>Données!B291</f>
        <v>Oppens</v>
      </c>
      <c r="C291" s="321">
        <f>VPI!R291</f>
        <v>4459.4095061728403</v>
      </c>
      <c r="D291" s="191">
        <f>(PCS!I297-PCS!F297)/C291</f>
        <v>11.657506598737129</v>
      </c>
      <c r="E291" s="448">
        <f>'Péréquation directe'!E297/C291</f>
        <v>-5.8444682479831718</v>
      </c>
      <c r="F291" s="191">
        <f>'Péréquation directe'!F297/Effort!C291</f>
        <v>-31.351793499707444</v>
      </c>
      <c r="G291" s="191">
        <f>'Péréquation directe'!G297/Effort!C291</f>
        <v>-9.0701999395535289</v>
      </c>
      <c r="H291" s="191">
        <f>'Péréquation directe'!J297/Effort!C291</f>
        <v>19.118483643972599</v>
      </c>
      <c r="I291" s="341">
        <f t="shared" si="12"/>
        <v>-15.490471444534418</v>
      </c>
      <c r="J291" s="208">
        <f t="shared" si="13"/>
        <v>0</v>
      </c>
      <c r="K291" s="42">
        <f t="shared" si="14"/>
        <v>0</v>
      </c>
      <c r="L291" s="222"/>
    </row>
    <row r="292" spans="1:12" s="202" customFormat="1" x14ac:dyDescent="0.25">
      <c r="A292" s="38">
        <f>Données!A292</f>
        <v>5924</v>
      </c>
      <c r="B292" s="167" t="str">
        <f>Données!B292</f>
        <v>Orges</v>
      </c>
      <c r="C292" s="321">
        <f>VPI!R292</f>
        <v>11637.592027027025</v>
      </c>
      <c r="D292" s="191">
        <f>(PCS!I298-PCS!F298)/C292</f>
        <v>11.657506598737127</v>
      </c>
      <c r="E292" s="448">
        <f>'Péréquation directe'!E298/C292</f>
        <v>-4.5123447221568993</v>
      </c>
      <c r="F292" s="191">
        <f>'Péréquation directe'!F298/Effort!C292</f>
        <v>-15.214389950452409</v>
      </c>
      <c r="G292" s="191">
        <f>'Péréquation directe'!G298/Effort!C292</f>
        <v>-2.8830876490528765</v>
      </c>
      <c r="H292" s="191">
        <f>'Péréquation directe'!J298/Effort!C292</f>
        <v>19.118483643972599</v>
      </c>
      <c r="I292" s="341">
        <f t="shared" si="12"/>
        <v>8.1661679210475402</v>
      </c>
      <c r="J292" s="208">
        <f t="shared" si="13"/>
        <v>0</v>
      </c>
      <c r="K292" s="42">
        <f t="shared" si="14"/>
        <v>0</v>
      </c>
      <c r="L292" s="222"/>
    </row>
    <row r="293" spans="1:12" s="202" customFormat="1" x14ac:dyDescent="0.25">
      <c r="A293" s="38">
        <f>Données!A293</f>
        <v>5925</v>
      </c>
      <c r="B293" s="167" t="str">
        <f>Données!B293</f>
        <v>Orzens</v>
      </c>
      <c r="C293" s="321">
        <f>VPI!R293</f>
        <v>5255.7360759493668</v>
      </c>
      <c r="D293" s="191">
        <f>(PCS!I299-PCS!F299)/C293</f>
        <v>11.657506598737129</v>
      </c>
      <c r="E293" s="448">
        <f>'Péréquation directe'!E299/C293</f>
        <v>-5.2044315614407486</v>
      </c>
      <c r="F293" s="191">
        <f>'Péréquation directe'!F299/Effort!C293</f>
        <v>-23.825130502139473</v>
      </c>
      <c r="G293" s="191">
        <f>'Péréquation directe'!G299/Effort!C293</f>
        <v>-9.8749786399741915</v>
      </c>
      <c r="H293" s="191">
        <f>'Péréquation directe'!J299/Effort!C293</f>
        <v>19.118483643972599</v>
      </c>
      <c r="I293" s="341">
        <f t="shared" si="12"/>
        <v>-8.1285504608446857</v>
      </c>
      <c r="J293" s="208">
        <f t="shared" si="13"/>
        <v>0</v>
      </c>
      <c r="K293" s="42">
        <f t="shared" si="14"/>
        <v>0</v>
      </c>
      <c r="L293" s="222"/>
    </row>
    <row r="294" spans="1:12" x14ac:dyDescent="0.25">
      <c r="A294" s="38">
        <f>Données!A294</f>
        <v>5926</v>
      </c>
      <c r="B294" s="167" t="str">
        <f>Données!B294</f>
        <v>Pomy</v>
      </c>
      <c r="C294" s="321">
        <f>VPI!R294</f>
        <v>26782.680140845066</v>
      </c>
      <c r="D294" s="191">
        <f>(PCS!I300-PCS!F300)/C294</f>
        <v>11.657506598737131</v>
      </c>
      <c r="E294" s="448">
        <f>'Péréquation directe'!E300/C294</f>
        <v>-4.1815440858617956</v>
      </c>
      <c r="F294" s="191">
        <f>'Péréquation directe'!F300/Effort!C294</f>
        <v>-11.502010430268429</v>
      </c>
      <c r="G294" s="191">
        <f>'Péréquation directe'!G300/Effort!C294</f>
        <v>-2.0107923764942726</v>
      </c>
      <c r="H294" s="191">
        <f>'Péréquation directe'!J300/Effort!C294</f>
        <v>19.118483643972599</v>
      </c>
      <c r="I294" s="341">
        <f t="shared" si="12"/>
        <v>13.081643350085233</v>
      </c>
      <c r="J294" s="208">
        <f t="shared" si="13"/>
        <v>0</v>
      </c>
      <c r="K294" s="42">
        <f t="shared" si="14"/>
        <v>0</v>
      </c>
      <c r="L294" s="222"/>
    </row>
    <row r="295" spans="1:12" x14ac:dyDescent="0.25">
      <c r="A295" s="38">
        <f>Données!A295</f>
        <v>5928</v>
      </c>
      <c r="B295" s="167" t="str">
        <f>Données!B295</f>
        <v>Rovray</v>
      </c>
      <c r="C295" s="321">
        <f>VPI!R295</f>
        <v>5095.519580419581</v>
      </c>
      <c r="D295" s="191">
        <f>(PCS!I301-PCS!F301)/C295</f>
        <v>11.657506598737129</v>
      </c>
      <c r="E295" s="448">
        <f>'Péréquation directe'!E301/C295</f>
        <v>-4.988256082246755</v>
      </c>
      <c r="F295" s="191">
        <f>'Péréquation directe'!F301/Effort!C295</f>
        <v>-17.856777421023448</v>
      </c>
      <c r="G295" s="191">
        <f>'Péréquation directe'!G301/Effort!C295</f>
        <v>-1.1122776447099481</v>
      </c>
      <c r="H295" s="191">
        <f>'Péréquation directe'!J301/Effort!C295</f>
        <v>19.118483643972599</v>
      </c>
      <c r="I295" s="341">
        <f t="shared" si="12"/>
        <v>6.8186790947295766</v>
      </c>
      <c r="J295" s="208">
        <f t="shared" si="13"/>
        <v>0</v>
      </c>
      <c r="K295" s="42">
        <f t="shared" si="14"/>
        <v>0</v>
      </c>
      <c r="L295" s="222"/>
    </row>
    <row r="296" spans="1:12" x14ac:dyDescent="0.25">
      <c r="A296" s="38">
        <f>Données!A296</f>
        <v>5929</v>
      </c>
      <c r="B296" s="167" t="str">
        <f>Données!B296</f>
        <v>Suchy</v>
      </c>
      <c r="C296" s="321">
        <f>VPI!R296</f>
        <v>21603.071857142855</v>
      </c>
      <c r="D296" s="191">
        <f>(PCS!I302-PCS!F302)/C296</f>
        <v>11.657506598737129</v>
      </c>
      <c r="E296" s="448">
        <f>'Péréquation directe'!E302/C296</f>
        <v>-4.007541232087239</v>
      </c>
      <c r="F296" s="191">
        <f>'Péréquation directe'!F302/Effort!C296</f>
        <v>-9.9001249805845593</v>
      </c>
      <c r="G296" s="191">
        <f>'Péréquation directe'!G302/Effort!C296</f>
        <v>-0.55866805364313843</v>
      </c>
      <c r="H296" s="191">
        <f>'Péréquation directe'!J302/Effort!C296</f>
        <v>19.118483643972599</v>
      </c>
      <c r="I296" s="341">
        <f t="shared" si="12"/>
        <v>16.30965597639479</v>
      </c>
      <c r="J296" s="208">
        <f t="shared" si="13"/>
        <v>0</v>
      </c>
      <c r="K296" s="42">
        <f t="shared" si="14"/>
        <v>0</v>
      </c>
      <c r="L296" s="222"/>
    </row>
    <row r="297" spans="1:12" x14ac:dyDescent="0.25">
      <c r="A297" s="38">
        <f>Données!A297</f>
        <v>5930</v>
      </c>
      <c r="B297" s="167" t="str">
        <f>Données!B297</f>
        <v>Suscévaz</v>
      </c>
      <c r="C297" s="321">
        <f>VPI!R297</f>
        <v>5749.1651388888886</v>
      </c>
      <c r="D297" s="191">
        <f>(PCS!I303-PCS!F303)/C297</f>
        <v>11.657506598737125</v>
      </c>
      <c r="E297" s="448">
        <f>'Péréquation directe'!E303/C297</f>
        <v>-4.9372928391326818</v>
      </c>
      <c r="F297" s="191">
        <f>'Péréquation directe'!F303/Effort!C297</f>
        <v>-17.710719566287736</v>
      </c>
      <c r="G297" s="191">
        <f>'Péréquation directe'!G303/Effort!C297</f>
        <v>-6.5042503151846525</v>
      </c>
      <c r="H297" s="191">
        <f>'Péréquation directe'!J303/Effort!C297</f>
        <v>19.118483643972599</v>
      </c>
      <c r="I297" s="341">
        <f t="shared" si="12"/>
        <v>1.6237275221046552</v>
      </c>
      <c r="J297" s="208">
        <f t="shared" si="13"/>
        <v>0</v>
      </c>
      <c r="K297" s="42">
        <f t="shared" si="14"/>
        <v>0</v>
      </c>
      <c r="L297" s="222"/>
    </row>
    <row r="298" spans="1:12" x14ac:dyDescent="0.25">
      <c r="A298" s="38">
        <f>Données!A298</f>
        <v>5931</v>
      </c>
      <c r="B298" s="167" t="str">
        <f>Données!B298</f>
        <v>Treycovagnes</v>
      </c>
      <c r="C298" s="321">
        <f>VPI!R298</f>
        <v>16306.743466666663</v>
      </c>
      <c r="D298" s="191">
        <f>(PCS!I304-PCS!F304)/C298</f>
        <v>11.657506598737129</v>
      </c>
      <c r="E298" s="448">
        <f>'Péréquation directe'!E304/C298</f>
        <v>-4.1144055199702381</v>
      </c>
      <c r="F298" s="191">
        <f>'Péréquation directe'!F304/Effort!C298</f>
        <v>-12.267485187756751</v>
      </c>
      <c r="G298" s="191">
        <f>'Péréquation directe'!G304/Effort!C298</f>
        <v>-3.1898637092273403</v>
      </c>
      <c r="H298" s="191">
        <f>'Péréquation directe'!J304/Effort!C298</f>
        <v>19.118483643972599</v>
      </c>
      <c r="I298" s="341">
        <f t="shared" si="12"/>
        <v>11.204235825755399</v>
      </c>
      <c r="J298" s="208">
        <f t="shared" si="13"/>
        <v>0</v>
      </c>
      <c r="K298" s="42">
        <f t="shared" si="14"/>
        <v>0</v>
      </c>
      <c r="L298" s="222"/>
    </row>
    <row r="299" spans="1:12" x14ac:dyDescent="0.25">
      <c r="A299" s="38">
        <f>Données!A299</f>
        <v>5932</v>
      </c>
      <c r="B299" s="167" t="str">
        <f>Données!B299</f>
        <v>Ursins</v>
      </c>
      <c r="C299" s="321">
        <f>VPI!R299</f>
        <v>7945.6340000000009</v>
      </c>
      <c r="D299" s="191">
        <f>(PCS!I305-PCS!F305)/C299</f>
        <v>11.657506598737129</v>
      </c>
      <c r="E299" s="448">
        <f>'Péréquation directe'!E305/C299</f>
        <v>-3.7348251026814858</v>
      </c>
      <c r="F299" s="191">
        <f>'Péréquation directe'!F305/Effort!C299</f>
        <v>-9.0616554671779852</v>
      </c>
      <c r="G299" s="191">
        <f>'Péréquation directe'!G305/Effort!C299</f>
        <v>-1.034753740230169</v>
      </c>
      <c r="H299" s="191">
        <f>'Péréquation directe'!J305/Effort!C299</f>
        <v>19.118483643972599</v>
      </c>
      <c r="I299" s="341">
        <f t="shared" si="12"/>
        <v>16.94475593262009</v>
      </c>
      <c r="J299" s="208">
        <f t="shared" si="13"/>
        <v>0</v>
      </c>
      <c r="K299" s="42">
        <f t="shared" si="14"/>
        <v>0</v>
      </c>
      <c r="L299" s="222"/>
    </row>
    <row r="300" spans="1:12" x14ac:dyDescent="0.25">
      <c r="A300" s="38">
        <f>Données!A300</f>
        <v>5933</v>
      </c>
      <c r="B300" s="167" t="str">
        <f>Données!B300</f>
        <v>Valeyres-sous-Montagny</v>
      </c>
      <c r="C300" s="321">
        <f>VPI!R300</f>
        <v>23478.314609929079</v>
      </c>
      <c r="D300" s="191">
        <f>(PCS!I306-PCS!F306)/C300</f>
        <v>11.657506598737131</v>
      </c>
      <c r="E300" s="448">
        <f>'Péréquation directe'!E306/C300</f>
        <v>-3.8633085615395593</v>
      </c>
      <c r="F300" s="191">
        <f>'Péréquation directe'!F306/Effort!C300</f>
        <v>-8.9657042776990181</v>
      </c>
      <c r="G300" s="191">
        <f>'Péréquation directe'!G306/Effort!C300</f>
        <v>-14.459443447310166</v>
      </c>
      <c r="H300" s="191">
        <f>'Péréquation directe'!J306/Effort!C300</f>
        <v>19.118483643972599</v>
      </c>
      <c r="I300" s="341">
        <f t="shared" si="12"/>
        <v>3.4875339561609859</v>
      </c>
      <c r="J300" s="208">
        <f t="shared" si="13"/>
        <v>0</v>
      </c>
      <c r="K300" s="42">
        <f t="shared" si="14"/>
        <v>0</v>
      </c>
      <c r="L300" s="222"/>
    </row>
    <row r="301" spans="1:12" x14ac:dyDescent="0.25">
      <c r="A301" s="38">
        <f>Données!A301</f>
        <v>5934</v>
      </c>
      <c r="B301" s="167" t="str">
        <f>Données!B301</f>
        <v>Valeyres-sous-Ursins</v>
      </c>
      <c r="C301" s="321">
        <f>VPI!R301</f>
        <v>16787.585844155841</v>
      </c>
      <c r="D301" s="191">
        <f>(PCS!I307-PCS!F307)/C301</f>
        <v>17.612038271693688</v>
      </c>
      <c r="E301" s="448">
        <f>'Péréquation directe'!E307/C301</f>
        <v>-1.8522507763857974</v>
      </c>
      <c r="F301" s="191">
        <f>'Péréquation directe'!F307/Effort!C301</f>
        <v>0</v>
      </c>
      <c r="G301" s="191">
        <f>'Péréquation directe'!G307/Effort!C301</f>
        <v>0</v>
      </c>
      <c r="H301" s="191">
        <f>'Péréquation directe'!J307/Effort!C301</f>
        <v>19.118483643972599</v>
      </c>
      <c r="I301" s="341">
        <f t="shared" si="12"/>
        <v>34.878271139280486</v>
      </c>
      <c r="J301" s="208">
        <f t="shared" si="13"/>
        <v>0</v>
      </c>
      <c r="K301" s="42">
        <f t="shared" si="14"/>
        <v>0</v>
      </c>
      <c r="L301" s="222"/>
    </row>
    <row r="302" spans="1:12" x14ac:dyDescent="0.25">
      <c r="A302" s="38">
        <f>Données!A302</f>
        <v>5935</v>
      </c>
      <c r="B302" s="167" t="str">
        <f>Données!B302</f>
        <v>Villars-Epeney</v>
      </c>
      <c r="C302" s="321">
        <f>VPI!R302</f>
        <v>6724.4138235294122</v>
      </c>
      <c r="D302" s="191">
        <f>(PCS!I308-PCS!F308)/C302</f>
        <v>17.663160672657138</v>
      </c>
      <c r="E302" s="448">
        <f>'Péréquation directe'!E308/C302</f>
        <v>-1.7652425385291852</v>
      </c>
      <c r="F302" s="191">
        <f>'Péréquation directe'!F308/Effort!C302</f>
        <v>0</v>
      </c>
      <c r="G302" s="191">
        <f>'Péréquation directe'!G308/Effort!C302</f>
        <v>-0.48981066882409641</v>
      </c>
      <c r="H302" s="191">
        <f>'Péréquation directe'!J308/Effort!C302</f>
        <v>19.118483643972599</v>
      </c>
      <c r="I302" s="341">
        <f t="shared" si="12"/>
        <v>34.526591109276453</v>
      </c>
      <c r="J302" s="208">
        <f t="shared" si="13"/>
        <v>0</v>
      </c>
      <c r="K302" s="42">
        <f t="shared" si="14"/>
        <v>0</v>
      </c>
      <c r="L302" s="222"/>
    </row>
    <row r="303" spans="1:12" x14ac:dyDescent="0.25">
      <c r="A303" s="38">
        <f>Données!A303</f>
        <v>5937</v>
      </c>
      <c r="B303" s="167" t="str">
        <f>Données!B303</f>
        <v>Vugelles-La Mothe</v>
      </c>
      <c r="C303" s="321">
        <f>VPI!R303</f>
        <v>3343.8941428571434</v>
      </c>
      <c r="D303" s="191">
        <f>(PCS!I309-PCS!F309)/C303</f>
        <v>11.657506598737129</v>
      </c>
      <c r="E303" s="448">
        <f>'Péréquation directe'!E309/C303</f>
        <v>-5.2861445643668663</v>
      </c>
      <c r="F303" s="191">
        <f>'Péréquation directe'!F309/Effort!C303</f>
        <v>-19.307014363870746</v>
      </c>
      <c r="G303" s="191">
        <f>'Péréquation directe'!G309/Effort!C303</f>
        <v>-6.9489234835227798</v>
      </c>
      <c r="H303" s="191">
        <f>'Péréquation directe'!J309/Effort!C303</f>
        <v>19.118483643972599</v>
      </c>
      <c r="I303" s="341">
        <f t="shared" si="12"/>
        <v>-0.76609216905066191</v>
      </c>
      <c r="J303" s="208">
        <f t="shared" si="13"/>
        <v>0</v>
      </c>
      <c r="K303" s="42">
        <f t="shared" si="14"/>
        <v>0</v>
      </c>
      <c r="L303" s="222"/>
    </row>
    <row r="304" spans="1:12" x14ac:dyDescent="0.25">
      <c r="A304" s="38">
        <f>Données!A304</f>
        <v>5938</v>
      </c>
      <c r="B304" s="167" t="str">
        <f>Données!B304</f>
        <v>Yverdon-les-Bains</v>
      </c>
      <c r="C304" s="321">
        <f>VPI!R304</f>
        <v>780594.69946666679</v>
      </c>
      <c r="D304" s="191">
        <f>(PCS!I310-PCS!F310)/C304</f>
        <v>11.657506598737131</v>
      </c>
      <c r="E304" s="448">
        <f>'Péréquation directe'!E310/C304</f>
        <v>-33.581348494583594</v>
      </c>
      <c r="F304" s="191">
        <f>'Péréquation directe'!F310/Effort!C304</f>
        <v>-19.226338268812132</v>
      </c>
      <c r="G304" s="191">
        <f>'Péréquation directe'!G310/Effort!C304</f>
        <v>-12.988747310386977</v>
      </c>
      <c r="H304" s="191">
        <f>'Péréquation directe'!J310/Effort!C304</f>
        <v>19.118483643972599</v>
      </c>
      <c r="I304" s="341">
        <f t="shared" si="12"/>
        <v>-35.020443831072967</v>
      </c>
      <c r="J304" s="208">
        <f t="shared" si="13"/>
        <v>0</v>
      </c>
      <c r="K304" s="42">
        <f t="shared" si="14"/>
        <v>0</v>
      </c>
      <c r="L304" s="222"/>
    </row>
    <row r="305" spans="1:14" x14ac:dyDescent="0.25">
      <c r="A305" s="38">
        <f>Données!A305</f>
        <v>5939</v>
      </c>
      <c r="B305" s="167" t="str">
        <f>Données!B305</f>
        <v>Yvonand</v>
      </c>
      <c r="C305" s="321">
        <f>VPI!R305</f>
        <v>97394.348251748248</v>
      </c>
      <c r="D305" s="193">
        <f>(PCS!I311-PCS!F311)/C305</f>
        <v>11.657506598737129</v>
      </c>
      <c r="E305" s="448">
        <f>'Péréquation directe'!E311/C305</f>
        <v>-11.55720696368877</v>
      </c>
      <c r="F305" s="191">
        <f>'Péréquation directe'!F311/Effort!C305</f>
        <v>-15.473210796411992</v>
      </c>
      <c r="G305" s="191">
        <f>'Péréquation directe'!G311/Effort!C305</f>
        <v>-5.6852210548137236</v>
      </c>
      <c r="H305" s="191">
        <f>'Péréquation directe'!J311/Effort!C305</f>
        <v>19.118483643972599</v>
      </c>
      <c r="I305" s="341">
        <f t="shared" si="12"/>
        <v>-1.9396485722047565</v>
      </c>
      <c r="J305" s="208">
        <f t="shared" si="13"/>
        <v>0</v>
      </c>
      <c r="K305" s="42">
        <f t="shared" si="14"/>
        <v>0</v>
      </c>
      <c r="L305" s="222"/>
    </row>
    <row r="306" spans="1:14" x14ac:dyDescent="0.25">
      <c r="A306" s="25"/>
      <c r="B306" s="171">
        <f>COUNTA(B6:B305)</f>
        <v>300</v>
      </c>
      <c r="C306" s="61">
        <f>SUM(C6:C305)</f>
        <v>40269073.341943532</v>
      </c>
      <c r="D306" s="62">
        <f>(PCS!I312-PCS!F312)/C306</f>
        <v>14.888615110755966</v>
      </c>
      <c r="E306" s="62">
        <f>'Péréquation directe'!E312/C306</f>
        <v>-11.429800403302051</v>
      </c>
      <c r="F306" s="62">
        <f>'Péréquation directe'!F312/Effort!C306</f>
        <v>-3.5021323151550856</v>
      </c>
      <c r="G306" s="62">
        <f>'Péréquation directe'!G312/Effort!C306</f>
        <v>-4.4253221024284723</v>
      </c>
      <c r="H306" s="62">
        <f>'Péréquation directe'!J312/Effort!C306</f>
        <v>19.118483643972599</v>
      </c>
      <c r="I306" s="319">
        <f t="shared" ref="I306" si="15">SUM(D306:H306)</f>
        <v>14.649843933842956</v>
      </c>
      <c r="J306" s="385">
        <f t="shared" ref="J306" si="16">IF(I306&gt;J$5,J$5-I306,0)</f>
        <v>0</v>
      </c>
      <c r="K306" s="30">
        <f>SUM(K6:K305)</f>
        <v>-1260789.1559196347</v>
      </c>
      <c r="L306" s="13"/>
      <c r="M306" s="10"/>
      <c r="N306" s="10"/>
    </row>
    <row r="307" spans="1:14" x14ac:dyDescent="0.25">
      <c r="I307" s="5"/>
    </row>
    <row r="310" spans="1:14" x14ac:dyDescent="0.25">
      <c r="H310" s="23"/>
      <c r="I310" s="23"/>
    </row>
    <row r="312" spans="1:14" x14ac:dyDescent="0.25">
      <c r="I312" s="23"/>
    </row>
  </sheetData>
  <sheetProtection sheet="1" objects="1" scenarios="1"/>
  <mergeCells count="10">
    <mergeCell ref="C4:C5"/>
    <mergeCell ref="B4:B5"/>
    <mergeCell ref="A4:A5"/>
    <mergeCell ref="K4:K5"/>
    <mergeCell ref="I4:I5"/>
    <mergeCell ref="E4:E5"/>
    <mergeCell ref="D4:D5"/>
    <mergeCell ref="F4:F5"/>
    <mergeCell ref="H4:H5"/>
    <mergeCell ref="G4:G5"/>
  </mergeCells>
  <phoneticPr fontId="0" type="noConversion"/>
  <conditionalFormatting sqref="D6:I306">
    <cfRule type="cellIs" dxfId="10" priority="5" operator="lessThan">
      <formula>0</formula>
    </cfRule>
    <cfRule type="cellIs" dxfId="9" priority="6" operator="greaterThan">
      <formula>0</formula>
    </cfRule>
  </conditionalFormatting>
  <conditionalFormatting sqref="J5">
    <cfRule type="cellIs" dxfId="8" priority="1" operator="lessThan">
      <formula>0</formula>
    </cfRule>
    <cfRule type="cellIs" dxfId="7" priority="2" operator="greaterThan">
      <formula>0</formula>
    </cfRule>
  </conditionalFormatting>
  <hyperlinks>
    <hyperlink ref="C1" location="DT!A1" display="← Précédent" xr:uid="{0324FF71-E272-4507-A06C-68FB6D7F6A39}"/>
    <hyperlink ref="E1" location="Aide!A1" display="Suivant →" xr:uid="{714C2376-5506-440A-A3BB-74D004A26952}"/>
    <hyperlink ref="D1" location="'Table des matières'!A1" display="Table des             matières" xr:uid="{F4DD9665-E693-4988-9116-9650F129F802}"/>
  </hyperlinks>
  <printOptions horizontalCentered="1"/>
  <pageMargins left="0" right="0" top="0" bottom="0" header="0.51181102362204722" footer="0.51181102362204722"/>
  <pageSetup paperSize="9" scale="64" orientation="portrait" horizontalDpi="4294967292" verticalDpi="4294967292"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4">
    <tabColor theme="6" tint="0.39997558519241921"/>
  </sheetPr>
  <dimension ref="A1:Y308"/>
  <sheetViews>
    <sheetView workbookViewId="0">
      <pane ySplit="5" topLeftCell="A6" activePane="bottomLeft" state="frozen"/>
      <selection activeCell="D32" sqref="D32"/>
      <selection pane="bottomLeft" activeCell="A6" sqref="A6"/>
    </sheetView>
  </sheetViews>
  <sheetFormatPr baseColWidth="10" defaultColWidth="10.75" defaultRowHeight="15" x14ac:dyDescent="0.25"/>
  <cols>
    <col min="1" max="1" width="7.25" style="11" customWidth="1"/>
    <col min="2" max="2" width="22.75" style="11" customWidth="1"/>
    <col min="3" max="3" width="16" style="11" customWidth="1"/>
    <col min="4" max="4" width="13.375" style="11" customWidth="1"/>
    <col min="5" max="6" width="13" style="11" customWidth="1"/>
    <col min="7" max="7" width="24.375" style="11" customWidth="1"/>
    <col min="8" max="8" width="9.875" style="11" bestFit="1" customWidth="1"/>
    <col min="9" max="9" width="10" style="11" customWidth="1"/>
    <col min="10" max="10" width="12.875" style="11" customWidth="1"/>
    <col min="11" max="14" width="12.125" style="11" customWidth="1"/>
    <col min="15" max="17" width="8.125" style="11" customWidth="1"/>
    <col min="18" max="16384" width="10.75" style="11"/>
  </cols>
  <sheetData>
    <row r="1" spans="1:25" s="267" customFormat="1" ht="26.25" x14ac:dyDescent="0.4">
      <c r="A1" s="254" t="s">
        <v>402</v>
      </c>
      <c r="B1" s="259"/>
      <c r="C1" s="374" t="s">
        <v>405</v>
      </c>
      <c r="D1" s="278" t="s">
        <v>397</v>
      </c>
      <c r="E1" s="439" t="s">
        <v>406</v>
      </c>
      <c r="G1" s="263"/>
      <c r="H1" s="263"/>
      <c r="I1" s="263"/>
      <c r="J1" s="263"/>
      <c r="L1" s="270"/>
      <c r="N1" s="261"/>
      <c r="O1" s="261"/>
      <c r="P1" s="261"/>
      <c r="Q1" s="261"/>
      <c r="R1" s="261"/>
      <c r="Y1" s="261"/>
    </row>
    <row r="2" spans="1:25" s="33" customFormat="1" ht="15.75" x14ac:dyDescent="0.25">
      <c r="A2" s="327" t="str">
        <f>Paramètres!B4</f>
        <v>Décompte 2022</v>
      </c>
      <c r="B2" s="32"/>
      <c r="C2" s="204"/>
      <c r="D2" s="204"/>
      <c r="E2" s="204"/>
      <c r="F2" s="204"/>
      <c r="G2" s="204"/>
      <c r="H2" s="204"/>
      <c r="I2" s="204"/>
      <c r="J2" s="204"/>
      <c r="L2" s="43"/>
      <c r="N2" s="202"/>
      <c r="O2" s="202"/>
      <c r="P2" s="202"/>
      <c r="Q2" s="202"/>
      <c r="R2" s="202"/>
      <c r="Y2" s="202"/>
    </row>
    <row r="4" spans="1:25" ht="45" customHeight="1" x14ac:dyDescent="0.25">
      <c r="A4" s="762" t="s">
        <v>44</v>
      </c>
      <c r="B4" s="762" t="s">
        <v>84</v>
      </c>
      <c r="C4" s="762" t="s">
        <v>413</v>
      </c>
      <c r="D4" s="762" t="s">
        <v>435</v>
      </c>
      <c r="E4" s="436" t="s">
        <v>427</v>
      </c>
      <c r="F4" s="437" t="s">
        <v>504</v>
      </c>
      <c r="G4" s="762" t="s">
        <v>534</v>
      </c>
      <c r="H4" s="436" t="s">
        <v>433</v>
      </c>
      <c r="I4" s="762" t="s">
        <v>438</v>
      </c>
    </row>
    <row r="5" spans="1:25" x14ac:dyDescent="0.25">
      <c r="A5" s="763"/>
      <c r="B5" s="764"/>
      <c r="C5" s="763"/>
      <c r="D5" s="763"/>
      <c r="E5" s="449" t="s">
        <v>491</v>
      </c>
      <c r="F5" s="424" t="s">
        <v>492</v>
      </c>
      <c r="G5" s="764"/>
      <c r="H5" s="319">
        <f>-Paramètres!B45</f>
        <v>-8</v>
      </c>
      <c r="I5" s="763"/>
    </row>
    <row r="6" spans="1:25" x14ac:dyDescent="0.25">
      <c r="A6" s="36">
        <f>Données!A6</f>
        <v>5401</v>
      </c>
      <c r="B6" s="167" t="str">
        <f>Données!B6</f>
        <v>Aigle</v>
      </c>
      <c r="C6" s="320">
        <f>VPI!R6</f>
        <v>294634.51575757569</v>
      </c>
      <c r="D6" s="192">
        <f>Effort!I6-IF(PCS!I12&lt;0, Effort!D6, 0)</f>
        <v>-16.590052977380534</v>
      </c>
      <c r="E6" s="447">
        <f>IF(PCS!I12&lt;0, 0, PCS!F12/Aide!C6)</f>
        <v>4.572380264192998</v>
      </c>
      <c r="F6" s="447">
        <f>Effort!G6</f>
        <v>-12.881617955987146</v>
      </c>
      <c r="G6" s="386">
        <f>D6+E6-F6</f>
        <v>0.86394524279960905</v>
      </c>
      <c r="H6" s="208">
        <f>IF(G6&lt;H$5,G6-H$5,0)</f>
        <v>0</v>
      </c>
      <c r="I6" s="64">
        <f t="shared" ref="I6" si="0">-H6*C6</f>
        <v>0</v>
      </c>
      <c r="J6" s="29"/>
    </row>
    <row r="7" spans="1:25" x14ac:dyDescent="0.25">
      <c r="A7" s="38">
        <f>Données!A7</f>
        <v>5402</v>
      </c>
      <c r="B7" s="167" t="str">
        <f>Données!B7</f>
        <v>Bex</v>
      </c>
      <c r="C7" s="321">
        <f>VPI!R7</f>
        <v>191961.18746478873</v>
      </c>
      <c r="D7" s="191">
        <f>Effort!I7-IF(PCS!I13&lt;0, Effort!D7, 0)</f>
        <v>-25.635079256686648</v>
      </c>
      <c r="E7" s="448">
        <f>IF(PCS!I13&lt;0, 0, PCS!F13/Aide!C7)</f>
        <v>4.7947631870574341</v>
      </c>
      <c r="F7" s="448">
        <f>Effort!G7</f>
        <v>-15.112798440803649</v>
      </c>
      <c r="G7" s="341">
        <f t="shared" ref="G7:G70" si="1">D7+E7-F7</f>
        <v>-5.7275176288255647</v>
      </c>
      <c r="H7" s="208">
        <f t="shared" ref="H7:H70" si="2">IF(G7&lt;H$5,G7-H$5,0)</f>
        <v>0</v>
      </c>
      <c r="I7" s="42">
        <f t="shared" ref="I7:I70" si="3">-H7*C7</f>
        <v>0</v>
      </c>
      <c r="J7" s="29"/>
    </row>
    <row r="8" spans="1:25" x14ac:dyDescent="0.25">
      <c r="A8" s="38">
        <f>Données!A8</f>
        <v>5403</v>
      </c>
      <c r="B8" s="167" t="str">
        <f>Données!B8</f>
        <v>Chessel</v>
      </c>
      <c r="C8" s="321">
        <f>VPI!R8</f>
        <v>13521.430615384616</v>
      </c>
      <c r="D8" s="191">
        <f>Effort!I8-IF(PCS!I14&lt;0, Effort!D8, 0)</f>
        <v>8.9608247030472192</v>
      </c>
      <c r="E8" s="448">
        <f>IF(PCS!I14&lt;0, 0, PCS!F14/Aide!C8)</f>
        <v>1.2104137103198422</v>
      </c>
      <c r="F8" s="448">
        <f>Effort!G8</f>
        <v>-1.7018855247667863</v>
      </c>
      <c r="G8" s="341">
        <f t="shared" si="1"/>
        <v>11.873123938133848</v>
      </c>
      <c r="H8" s="208">
        <f t="shared" si="2"/>
        <v>0</v>
      </c>
      <c r="I8" s="42">
        <f t="shared" si="3"/>
        <v>0</v>
      </c>
      <c r="J8" s="29"/>
    </row>
    <row r="9" spans="1:25" x14ac:dyDescent="0.25">
      <c r="A9" s="38">
        <f>Données!A9</f>
        <v>5404</v>
      </c>
      <c r="B9" s="167" t="str">
        <f>Données!B9</f>
        <v>Corbeyrier</v>
      </c>
      <c r="C9" s="321">
        <f>VPI!R9</f>
        <v>11663.247882882884</v>
      </c>
      <c r="D9" s="191">
        <f>Effort!I9-IF(PCS!I15&lt;0, Effort!D9, 0)</f>
        <v>-8.7544367758656314</v>
      </c>
      <c r="E9" s="448">
        <f>IF(PCS!I15&lt;0, 0, PCS!F15/Aide!C9)</f>
        <v>8.9658884943592891</v>
      </c>
      <c r="F9" s="448">
        <f>Effort!G9</f>
        <v>-16.528635824799981</v>
      </c>
      <c r="G9" s="341">
        <f t="shared" si="1"/>
        <v>16.74008754329364</v>
      </c>
      <c r="H9" s="208">
        <f t="shared" si="2"/>
        <v>0</v>
      </c>
      <c r="I9" s="42">
        <f t="shared" si="3"/>
        <v>0</v>
      </c>
      <c r="J9" s="29"/>
    </row>
    <row r="10" spans="1:25" x14ac:dyDescent="0.25">
      <c r="A10" s="38">
        <f>Données!A10</f>
        <v>5405</v>
      </c>
      <c r="B10" s="167" t="str">
        <f>Données!B10</f>
        <v>Gryon</v>
      </c>
      <c r="C10" s="321">
        <f>VPI!R10</f>
        <v>73286.214467120197</v>
      </c>
      <c r="D10" s="191">
        <f>Effort!I10-IF(PCS!I16&lt;0, Effort!D10, 0)</f>
        <v>20.064481510016432</v>
      </c>
      <c r="E10" s="448">
        <f>IF(PCS!I16&lt;0, 0, PCS!F16/Aide!C10)</f>
        <v>8.0964626064320733</v>
      </c>
      <c r="F10" s="448">
        <f>Effort!G10</f>
        <v>-8.2289072724290282</v>
      </c>
      <c r="G10" s="341">
        <f t="shared" si="1"/>
        <v>36.389851388877531</v>
      </c>
      <c r="H10" s="208">
        <f t="shared" si="2"/>
        <v>0</v>
      </c>
      <c r="I10" s="42">
        <f t="shared" si="3"/>
        <v>0</v>
      </c>
      <c r="J10" s="29"/>
    </row>
    <row r="11" spans="1:25" x14ac:dyDescent="0.25">
      <c r="A11" s="38">
        <f>Données!A11</f>
        <v>5406</v>
      </c>
      <c r="B11" s="167" t="str">
        <f>Données!B11</f>
        <v>Lavey-Morcles</v>
      </c>
      <c r="C11" s="321">
        <f>VPI!R11</f>
        <v>22111.529381387842</v>
      </c>
      <c r="D11" s="191">
        <f>Effort!I11-IF(PCS!I17&lt;0, Effort!D11, 0)</f>
        <v>-6.0858393991107533</v>
      </c>
      <c r="E11" s="448">
        <f>IF(PCS!I17&lt;0, 0, PCS!F17/Aide!C11)</f>
        <v>7.5683973330611947</v>
      </c>
      <c r="F11" s="448">
        <f>Effort!G11</f>
        <v>-7.7323767943228878</v>
      </c>
      <c r="G11" s="341">
        <f t="shared" si="1"/>
        <v>9.2149347282733292</v>
      </c>
      <c r="H11" s="208">
        <f t="shared" si="2"/>
        <v>0</v>
      </c>
      <c r="I11" s="42">
        <f t="shared" si="3"/>
        <v>0</v>
      </c>
      <c r="J11" s="29"/>
    </row>
    <row r="12" spans="1:25" x14ac:dyDescent="0.25">
      <c r="A12" s="38">
        <f>Données!A12</f>
        <v>5407</v>
      </c>
      <c r="B12" s="167" t="str">
        <f>Données!B12</f>
        <v>Leysin</v>
      </c>
      <c r="C12" s="321">
        <f>VPI!R12</f>
        <v>89841.412521367529</v>
      </c>
      <c r="D12" s="191">
        <f>Effort!I12-IF(PCS!I18&lt;0, Effort!D12, 0)</f>
        <v>-25.497145438404058</v>
      </c>
      <c r="E12" s="448">
        <f>IF(PCS!I18&lt;0, 0, PCS!F18/Aide!C12)</f>
        <v>5.294441746303475</v>
      </c>
      <c r="F12" s="448">
        <f>Effort!G12</f>
        <v>-17.738529261132957</v>
      </c>
      <c r="G12" s="341">
        <f t="shared" si="1"/>
        <v>-2.4641744309676277</v>
      </c>
      <c r="H12" s="208">
        <f t="shared" si="2"/>
        <v>0</v>
      </c>
      <c r="I12" s="42">
        <f t="shared" si="3"/>
        <v>0</v>
      </c>
      <c r="J12" s="29"/>
    </row>
    <row r="13" spans="1:25" x14ac:dyDescent="0.25">
      <c r="A13" s="38">
        <f>Données!A13</f>
        <v>5408</v>
      </c>
      <c r="B13" s="167" t="str">
        <f>Données!B13</f>
        <v>Noville</v>
      </c>
      <c r="C13" s="321">
        <f>VPI!R13</f>
        <v>41973.380088888902</v>
      </c>
      <c r="D13" s="191">
        <f>Effort!I13-IF(PCS!I19&lt;0, Effort!D13, 0)</f>
        <v>15.309707960706323</v>
      </c>
      <c r="E13" s="448">
        <f>IF(PCS!I19&lt;0, 0, PCS!F19/Aide!C13)</f>
        <v>3.0488750186186779</v>
      </c>
      <c r="F13" s="448">
        <f>Effort!G13</f>
        <v>-3.0700990515203248</v>
      </c>
      <c r="G13" s="341">
        <f t="shared" si="1"/>
        <v>21.428682030845323</v>
      </c>
      <c r="H13" s="208">
        <f t="shared" si="2"/>
        <v>0</v>
      </c>
      <c r="I13" s="42">
        <f t="shared" si="3"/>
        <v>0</v>
      </c>
      <c r="J13" s="29"/>
    </row>
    <row r="14" spans="1:25" x14ac:dyDescent="0.25">
      <c r="A14" s="38">
        <f>Données!A14</f>
        <v>5409</v>
      </c>
      <c r="B14" s="167" t="str">
        <f>Données!B14</f>
        <v>Ollon</v>
      </c>
      <c r="C14" s="321">
        <f>VPI!R14</f>
        <v>405938.29721719451</v>
      </c>
      <c r="D14" s="191">
        <f>Effort!I14-IF(PCS!I20&lt;0, Effort!D14, 0)</f>
        <v>13.590014146984345</v>
      </c>
      <c r="E14" s="448">
        <f>IF(PCS!I20&lt;0, 0, PCS!F20/Aide!C14)</f>
        <v>6.0235587077208343</v>
      </c>
      <c r="F14" s="448">
        <f>Effort!G14</f>
        <v>-8.6813160225146309</v>
      </c>
      <c r="G14" s="341">
        <f t="shared" si="1"/>
        <v>28.294888877219812</v>
      </c>
      <c r="H14" s="208">
        <f t="shared" si="2"/>
        <v>0</v>
      </c>
      <c r="I14" s="42">
        <f t="shared" si="3"/>
        <v>0</v>
      </c>
      <c r="J14" s="29"/>
    </row>
    <row r="15" spans="1:25" x14ac:dyDescent="0.25">
      <c r="A15" s="38">
        <f>Données!A15</f>
        <v>5410</v>
      </c>
      <c r="B15" s="167" t="str">
        <f>Données!B15</f>
        <v>Ormont-Dessous</v>
      </c>
      <c r="C15" s="321">
        <f>VPI!R15</f>
        <v>38413.35632034632</v>
      </c>
      <c r="D15" s="191">
        <f>Effort!I15-IF(PCS!I21&lt;0, Effort!D15, 0)</f>
        <v>-9.3835653786599416</v>
      </c>
      <c r="E15" s="448">
        <f>IF(PCS!I21&lt;0, 0, PCS!F21/Aide!C15)</f>
        <v>6.734349579939745</v>
      </c>
      <c r="F15" s="448">
        <f>Effort!G15</f>
        <v>-23.600049089110396</v>
      </c>
      <c r="G15" s="341">
        <f t="shared" si="1"/>
        <v>20.9508332903902</v>
      </c>
      <c r="H15" s="208">
        <f t="shared" si="2"/>
        <v>0</v>
      </c>
      <c r="I15" s="42">
        <f t="shared" si="3"/>
        <v>0</v>
      </c>
      <c r="J15" s="29"/>
    </row>
    <row r="16" spans="1:25" x14ac:dyDescent="0.25">
      <c r="A16" s="38">
        <f>Données!A16</f>
        <v>5411</v>
      </c>
      <c r="B16" s="167" t="str">
        <f>Données!B16</f>
        <v>Ormont-Dessus</v>
      </c>
      <c r="C16" s="321">
        <f>VPI!R16</f>
        <v>76161.465657894747</v>
      </c>
      <c r="D16" s="191">
        <f>Effort!I16-IF(PCS!I22&lt;0, Effort!D16, 0)</f>
        <v>19.409534558190952</v>
      </c>
      <c r="E16" s="448">
        <f>IF(PCS!I22&lt;0, 0, PCS!F22/Aide!C16)</f>
        <v>7.8904407210250014</v>
      </c>
      <c r="F16" s="448">
        <f>Effort!G16</f>
        <v>-9.0715245674581233</v>
      </c>
      <c r="G16" s="341">
        <f t="shared" si="1"/>
        <v>36.371499846674077</v>
      </c>
      <c r="H16" s="208">
        <f t="shared" si="2"/>
        <v>0</v>
      </c>
      <c r="I16" s="42">
        <f t="shared" si="3"/>
        <v>0</v>
      </c>
      <c r="J16" s="29"/>
    </row>
    <row r="17" spans="1:10" x14ac:dyDescent="0.25">
      <c r="A17" s="38">
        <f>Données!A17</f>
        <v>5412</v>
      </c>
      <c r="B17" s="167" t="str">
        <f>Données!B17</f>
        <v>Rennaz</v>
      </c>
      <c r="C17" s="321">
        <f>VPI!R17</f>
        <v>32240.440579710143</v>
      </c>
      <c r="D17" s="191">
        <f>Effort!I17-IF(PCS!I23&lt;0, Effort!D17, 0)</f>
        <v>17.647342810835227</v>
      </c>
      <c r="E17" s="448">
        <f>IF(PCS!I23&lt;0, 0, PCS!F23/Aide!C17)</f>
        <v>13.234098304119266</v>
      </c>
      <c r="F17" s="448">
        <f>Effort!G17</f>
        <v>-1.8627855267198858</v>
      </c>
      <c r="G17" s="341">
        <f t="shared" si="1"/>
        <v>32.744226641674373</v>
      </c>
      <c r="H17" s="208">
        <f t="shared" si="2"/>
        <v>0</v>
      </c>
      <c r="I17" s="42">
        <f t="shared" si="3"/>
        <v>0</v>
      </c>
      <c r="J17" s="29"/>
    </row>
    <row r="18" spans="1:10" x14ac:dyDescent="0.25">
      <c r="A18" s="38">
        <f>Données!A18</f>
        <v>5413</v>
      </c>
      <c r="B18" s="167" t="str">
        <f>Données!B18</f>
        <v>Roche</v>
      </c>
      <c r="C18" s="321">
        <f>VPI!R18</f>
        <v>42596.643504901964</v>
      </c>
      <c r="D18" s="191">
        <f>Effort!I18-IF(PCS!I24&lt;0, Effort!D18, 0)</f>
        <v>-4.8143337509640958</v>
      </c>
      <c r="E18" s="448">
        <f>IF(PCS!I24&lt;0, 0, PCS!F24/Aide!C18)</f>
        <v>9.5080084174564625</v>
      </c>
      <c r="F18" s="448">
        <f>Effort!G18</f>
        <v>-2.2728877442995388</v>
      </c>
      <c r="G18" s="341">
        <f t="shared" si="1"/>
        <v>6.9665624107919051</v>
      </c>
      <c r="H18" s="208">
        <f t="shared" si="2"/>
        <v>0</v>
      </c>
      <c r="I18" s="42">
        <f t="shared" si="3"/>
        <v>0</v>
      </c>
      <c r="J18" s="29"/>
    </row>
    <row r="19" spans="1:10" x14ac:dyDescent="0.25">
      <c r="A19" s="38">
        <f>Données!A19</f>
        <v>5414</v>
      </c>
      <c r="B19" s="167" t="str">
        <f>Données!B19</f>
        <v>Villeneuve</v>
      </c>
      <c r="C19" s="321">
        <f>VPI!R19</f>
        <v>165881.46711111109</v>
      </c>
      <c r="D19" s="191">
        <f>Effort!I19-IF(PCS!I25&lt;0, Effort!D19, 0)</f>
        <v>-9.3863181968820832</v>
      </c>
      <c r="E19" s="448">
        <f>IF(PCS!I25&lt;0, 0, PCS!F25/Aide!C19)</f>
        <v>6.3866762420805543</v>
      </c>
      <c r="F19" s="448">
        <f>Effort!G19</f>
        <v>-11.546960192064965</v>
      </c>
      <c r="G19" s="341">
        <f t="shared" si="1"/>
        <v>8.5473182372634362</v>
      </c>
      <c r="H19" s="208">
        <f t="shared" si="2"/>
        <v>0</v>
      </c>
      <c r="I19" s="42">
        <f t="shared" si="3"/>
        <v>0</v>
      </c>
      <c r="J19" s="29"/>
    </row>
    <row r="20" spans="1:10" x14ac:dyDescent="0.25">
      <c r="A20" s="38">
        <f>Données!A20</f>
        <v>5415</v>
      </c>
      <c r="B20" s="167" t="str">
        <f>Données!B20</f>
        <v>Yvorne</v>
      </c>
      <c r="C20" s="321">
        <f>VPI!R20</f>
        <v>33675.515990675995</v>
      </c>
      <c r="D20" s="191">
        <f>Effort!I20-IF(PCS!I26&lt;0, Effort!D20, 0)</f>
        <v>3.628642446702969</v>
      </c>
      <c r="E20" s="448">
        <f>IF(PCS!I26&lt;0, 0, PCS!F26/Aide!C20)</f>
        <v>5.7825064968244622</v>
      </c>
      <c r="F20" s="448">
        <f>Effort!G20</f>
        <v>-10.807013830573576</v>
      </c>
      <c r="G20" s="341">
        <f t="shared" si="1"/>
        <v>20.218162774101007</v>
      </c>
      <c r="H20" s="208">
        <f t="shared" si="2"/>
        <v>0</v>
      </c>
      <c r="I20" s="42">
        <f t="shared" si="3"/>
        <v>0</v>
      </c>
      <c r="J20" s="29"/>
    </row>
    <row r="21" spans="1:10" x14ac:dyDescent="0.25">
      <c r="A21" s="38">
        <f>Données!A21</f>
        <v>5422</v>
      </c>
      <c r="B21" s="167" t="str">
        <f>Données!B21</f>
        <v>Aubonne</v>
      </c>
      <c r="C21" s="321">
        <f>VPI!R21</f>
        <v>297608.37742857152</v>
      </c>
      <c r="D21" s="191">
        <f>Effort!I21-IF(PCS!I27&lt;0, Effort!D21, 0)</f>
        <v>34.222363266994549</v>
      </c>
      <c r="E21" s="448">
        <f>IF(PCS!I27&lt;0, 0, PCS!F27/Aide!C21)</f>
        <v>5.097779111961076</v>
      </c>
      <c r="F21" s="448">
        <f>Effort!G21</f>
        <v>0</v>
      </c>
      <c r="G21" s="341">
        <f t="shared" si="1"/>
        <v>39.320142378955623</v>
      </c>
      <c r="H21" s="208">
        <f t="shared" si="2"/>
        <v>0</v>
      </c>
      <c r="I21" s="42">
        <f t="shared" si="3"/>
        <v>0</v>
      </c>
      <c r="J21" s="29"/>
    </row>
    <row r="22" spans="1:10" x14ac:dyDescent="0.25">
      <c r="A22" s="38">
        <f>Données!A22</f>
        <v>5423</v>
      </c>
      <c r="B22" s="167" t="str">
        <f>Données!B22</f>
        <v>Ballens</v>
      </c>
      <c r="C22" s="321">
        <f>VPI!R22</f>
        <v>17345.890547945211</v>
      </c>
      <c r="D22" s="191">
        <f>Effort!I22-IF(PCS!I28&lt;0, Effort!D22, 0)</f>
        <v>8.2871451677776502</v>
      </c>
      <c r="E22" s="448">
        <f>IF(PCS!I28&lt;0, 0, PCS!F28/Aide!C22)</f>
        <v>6.5478828939949993</v>
      </c>
      <c r="F22" s="448">
        <f>Effort!G22</f>
        <v>-4.2843570698175117</v>
      </c>
      <c r="G22" s="341">
        <f t="shared" si="1"/>
        <v>19.119385131590164</v>
      </c>
      <c r="H22" s="208">
        <f t="shared" si="2"/>
        <v>0</v>
      </c>
      <c r="I22" s="42">
        <f t="shared" si="3"/>
        <v>0</v>
      </c>
      <c r="J22" s="29"/>
    </row>
    <row r="23" spans="1:10" x14ac:dyDescent="0.25">
      <c r="A23" s="38">
        <f>Données!A23</f>
        <v>5424</v>
      </c>
      <c r="B23" s="167" t="str">
        <f>Données!B23</f>
        <v>Berolle</v>
      </c>
      <c r="C23" s="321">
        <f>VPI!R23</f>
        <v>10263.254304635762</v>
      </c>
      <c r="D23" s="191">
        <f>Effort!I23-IF(PCS!I29&lt;0, Effort!D23, 0)</f>
        <v>8.9257916618438795</v>
      </c>
      <c r="E23" s="448">
        <f>IF(PCS!I29&lt;0, 0, PCS!F29/Aide!C23)</f>
        <v>3.7558676669045115</v>
      </c>
      <c r="F23" s="448">
        <f>Effort!G23</f>
        <v>-8.2220055100450296</v>
      </c>
      <c r="G23" s="341">
        <f t="shared" si="1"/>
        <v>20.903664838793421</v>
      </c>
      <c r="H23" s="208">
        <f t="shared" si="2"/>
        <v>0</v>
      </c>
      <c r="I23" s="42">
        <f t="shared" si="3"/>
        <v>0</v>
      </c>
      <c r="J23" s="29"/>
    </row>
    <row r="24" spans="1:10" x14ac:dyDescent="0.25">
      <c r="A24" s="38">
        <f>Données!A24</f>
        <v>5425</v>
      </c>
      <c r="B24" s="167" t="str">
        <f>Données!B24</f>
        <v>Bière</v>
      </c>
      <c r="C24" s="321">
        <f>VPI!R24</f>
        <v>42247.955252373817</v>
      </c>
      <c r="D24" s="191">
        <f>Effort!I24-IF(PCS!I30&lt;0, Effort!D24, 0)</f>
        <v>-8.6257472045229413</v>
      </c>
      <c r="E24" s="448">
        <f>IF(PCS!I30&lt;0, 0, PCS!F30/Aide!C24)</f>
        <v>2.8005648863527419</v>
      </c>
      <c r="F24" s="448">
        <f>Effort!G24</f>
        <v>-12.793886682033122</v>
      </c>
      <c r="G24" s="341">
        <f t="shared" si="1"/>
        <v>6.9687043638629227</v>
      </c>
      <c r="H24" s="208">
        <f t="shared" si="2"/>
        <v>0</v>
      </c>
      <c r="I24" s="42">
        <f t="shared" si="3"/>
        <v>0</v>
      </c>
      <c r="J24" s="29"/>
    </row>
    <row r="25" spans="1:10" x14ac:dyDescent="0.25">
      <c r="A25" s="38">
        <f>Données!A25</f>
        <v>5426</v>
      </c>
      <c r="B25" s="167" t="str">
        <f>Données!B25</f>
        <v>Bougy-Villars</v>
      </c>
      <c r="C25" s="321">
        <f>VPI!R25</f>
        <v>61945.082222222212</v>
      </c>
      <c r="D25" s="191">
        <f>Effort!I25-IF(PCS!I31&lt;0, Effort!D25, 0)</f>
        <v>44.861736291706578</v>
      </c>
      <c r="E25" s="448">
        <f>IF(PCS!I31&lt;0, 0, PCS!F31/Aide!C25)</f>
        <v>5.7942181545969387</v>
      </c>
      <c r="F25" s="448">
        <f>Effort!G25</f>
        <v>0</v>
      </c>
      <c r="G25" s="341">
        <f t="shared" si="1"/>
        <v>50.655954446303518</v>
      </c>
      <c r="H25" s="208">
        <f t="shared" si="2"/>
        <v>0</v>
      </c>
      <c r="I25" s="42">
        <f t="shared" si="3"/>
        <v>0</v>
      </c>
      <c r="J25" s="29"/>
    </row>
    <row r="26" spans="1:10" x14ac:dyDescent="0.25">
      <c r="A26" s="38">
        <f>Données!A26</f>
        <v>5427</v>
      </c>
      <c r="B26" s="167" t="str">
        <f>Données!B26</f>
        <v>Féchy</v>
      </c>
      <c r="C26" s="321">
        <f>VPI!R26</f>
        <v>86922.106418269221</v>
      </c>
      <c r="D26" s="191">
        <f>Effort!I26-IF(PCS!I32&lt;0, Effort!D26, 0)</f>
        <v>40.249976711426875</v>
      </c>
      <c r="E26" s="448">
        <f>IF(PCS!I32&lt;0, 0, PCS!F32/Aide!C26)</f>
        <v>3.0896620096582734</v>
      </c>
      <c r="F26" s="448">
        <f>Effort!G26</f>
        <v>0</v>
      </c>
      <c r="G26" s="341">
        <f t="shared" si="1"/>
        <v>43.339638721085151</v>
      </c>
      <c r="H26" s="208">
        <f t="shared" si="2"/>
        <v>0</v>
      </c>
      <c r="I26" s="42">
        <f t="shared" si="3"/>
        <v>0</v>
      </c>
      <c r="J26" s="29"/>
    </row>
    <row r="27" spans="1:10" x14ac:dyDescent="0.25">
      <c r="A27" s="38">
        <f>Données!A27</f>
        <v>5428</v>
      </c>
      <c r="B27" s="167" t="str">
        <f>Données!B27</f>
        <v>Gimel</v>
      </c>
      <c r="C27" s="321">
        <f>VPI!R27</f>
        <v>71357.587986577171</v>
      </c>
      <c r="D27" s="191">
        <f>Effort!I27-IF(PCS!I33&lt;0, Effort!D27, 0)</f>
        <v>8.4160728632276971E-2</v>
      </c>
      <c r="E27" s="448">
        <f>IF(PCS!I33&lt;0, 0, PCS!F33/Aide!C27)</f>
        <v>6.2752816853090945</v>
      </c>
      <c r="F27" s="448">
        <f>Effort!G27</f>
        <v>-7.5334906524819445</v>
      </c>
      <c r="G27" s="341">
        <f t="shared" si="1"/>
        <v>13.892933066423316</v>
      </c>
      <c r="H27" s="208">
        <f t="shared" si="2"/>
        <v>0</v>
      </c>
      <c r="I27" s="42">
        <f t="shared" si="3"/>
        <v>0</v>
      </c>
      <c r="J27" s="29"/>
    </row>
    <row r="28" spans="1:10" x14ac:dyDescent="0.25">
      <c r="A28" s="38">
        <f>Données!A28</f>
        <v>5429</v>
      </c>
      <c r="B28" s="167" t="str">
        <f>Données!B28</f>
        <v>Longirod</v>
      </c>
      <c r="C28" s="321">
        <f>VPI!R28</f>
        <v>17142.381290322584</v>
      </c>
      <c r="D28" s="191">
        <f>Effort!I28-IF(PCS!I34&lt;0, Effort!D28, 0)</f>
        <v>10.06736718361666</v>
      </c>
      <c r="E28" s="448">
        <f>IF(PCS!I34&lt;0, 0, PCS!F34/Aide!C28)</f>
        <v>3.5414563456403894</v>
      </c>
      <c r="F28" s="448">
        <f>Effort!G28</f>
        <v>-3.9210962089770245</v>
      </c>
      <c r="G28" s="341">
        <f t="shared" si="1"/>
        <v>17.529919738234074</v>
      </c>
      <c r="H28" s="208">
        <f t="shared" si="2"/>
        <v>0</v>
      </c>
      <c r="I28" s="42">
        <f t="shared" si="3"/>
        <v>0</v>
      </c>
      <c r="J28" s="29"/>
    </row>
    <row r="29" spans="1:10" x14ac:dyDescent="0.25">
      <c r="A29" s="38">
        <f>Données!A29</f>
        <v>5430</v>
      </c>
      <c r="B29" s="167" t="str">
        <f>Données!B29</f>
        <v>Marchissy</v>
      </c>
      <c r="C29" s="321">
        <f>VPI!R29</f>
        <v>17121.715483870968</v>
      </c>
      <c r="D29" s="191">
        <f>Effort!I29-IF(PCS!I35&lt;0, Effort!D29, 0)</f>
        <v>13.627271719295477</v>
      </c>
      <c r="E29" s="448">
        <f>IF(PCS!I35&lt;0, 0, PCS!F35/Aide!C29)</f>
        <v>3.5409795856678361</v>
      </c>
      <c r="F29" s="448">
        <f>Effort!G29</f>
        <v>-3.4826946606458145</v>
      </c>
      <c r="G29" s="341">
        <f t="shared" si="1"/>
        <v>20.650945965609129</v>
      </c>
      <c r="H29" s="208">
        <f t="shared" si="2"/>
        <v>0</v>
      </c>
      <c r="I29" s="42">
        <f t="shared" si="3"/>
        <v>0</v>
      </c>
      <c r="J29" s="29"/>
    </row>
    <row r="30" spans="1:10" x14ac:dyDescent="0.25">
      <c r="A30" s="38">
        <f>Données!A30</f>
        <v>5431</v>
      </c>
      <c r="B30" s="167" t="str">
        <f>Données!B30</f>
        <v>Mollens</v>
      </c>
      <c r="C30" s="321">
        <f>VPI!R30</f>
        <v>9475.049594594595</v>
      </c>
      <c r="D30" s="191">
        <f>Effort!I30-IF(PCS!I36&lt;0, Effort!D30, 0)</f>
        <v>5.9361670564717812</v>
      </c>
      <c r="E30" s="448">
        <f>IF(PCS!I36&lt;0, 0, PCS!F36/Aide!C30)</f>
        <v>3.071622972464795</v>
      </c>
      <c r="F30" s="448">
        <f>Effort!G30</f>
        <v>-6.0385610297097925</v>
      </c>
      <c r="G30" s="341">
        <f t="shared" si="1"/>
        <v>15.046351058646369</v>
      </c>
      <c r="H30" s="208">
        <f t="shared" si="2"/>
        <v>0</v>
      </c>
      <c r="I30" s="42">
        <f t="shared" si="3"/>
        <v>0</v>
      </c>
      <c r="J30" s="29"/>
    </row>
    <row r="31" spans="1:10" x14ac:dyDescent="0.25">
      <c r="A31" s="38">
        <f>Données!A31</f>
        <v>5434</v>
      </c>
      <c r="B31" s="167" t="str">
        <f>Données!B31</f>
        <v>Saint-George</v>
      </c>
      <c r="C31" s="321">
        <f>VPI!R31</f>
        <v>40910.448657074339</v>
      </c>
      <c r="D31" s="191">
        <f>Effort!I31-IF(PCS!I37&lt;0, Effort!D31, 0)</f>
        <v>18.031905591091828</v>
      </c>
      <c r="E31" s="448">
        <f>IF(PCS!I37&lt;0, 0, PCS!F37/Aide!C31)</f>
        <v>8.3025404548152029</v>
      </c>
      <c r="F31" s="448">
        <f>Effort!G31</f>
        <v>-3.8350852461360931</v>
      </c>
      <c r="G31" s="341">
        <f t="shared" si="1"/>
        <v>30.169531292043121</v>
      </c>
      <c r="H31" s="208">
        <f t="shared" si="2"/>
        <v>0</v>
      </c>
      <c r="I31" s="42">
        <f t="shared" si="3"/>
        <v>0</v>
      </c>
      <c r="J31" s="29"/>
    </row>
    <row r="32" spans="1:10" x14ac:dyDescent="0.25">
      <c r="A32" s="38">
        <f>Données!A32</f>
        <v>5435</v>
      </c>
      <c r="B32" s="167" t="str">
        <f>Données!B32</f>
        <v>Saint-Livres</v>
      </c>
      <c r="C32" s="321">
        <f>VPI!R32</f>
        <v>25462.29188405797</v>
      </c>
      <c r="D32" s="191">
        <f>Effort!I32-IF(PCS!I38&lt;0, Effort!D32, 0)</f>
        <v>19.696327446248663</v>
      </c>
      <c r="E32" s="448">
        <f>IF(PCS!I38&lt;0, 0, PCS!F38/Aide!C32)</f>
        <v>7.1001424704109493</v>
      </c>
      <c r="F32" s="448">
        <f>Effort!G32</f>
        <v>-1.3287196945862785</v>
      </c>
      <c r="G32" s="341">
        <f t="shared" si="1"/>
        <v>28.12518961124589</v>
      </c>
      <c r="H32" s="208">
        <f t="shared" si="2"/>
        <v>0</v>
      </c>
      <c r="I32" s="42">
        <f t="shared" si="3"/>
        <v>0</v>
      </c>
      <c r="J32" s="29"/>
    </row>
    <row r="33" spans="1:10" x14ac:dyDescent="0.25">
      <c r="A33" s="38">
        <f>Données!A33</f>
        <v>5436</v>
      </c>
      <c r="B33" s="167" t="str">
        <f>Données!B33</f>
        <v>Saint-Oyens</v>
      </c>
      <c r="C33" s="321">
        <f>VPI!R33</f>
        <v>16425.371772151899</v>
      </c>
      <c r="D33" s="191">
        <f>Effort!I33-IF(PCS!I39&lt;0, Effort!D33, 0)</f>
        <v>18.572472769151616</v>
      </c>
      <c r="E33" s="448">
        <f>IF(PCS!I39&lt;0, 0, PCS!F39/Aide!C33)</f>
        <v>1.3399148771362417</v>
      </c>
      <c r="F33" s="448">
        <f>Effort!G33</f>
        <v>0</v>
      </c>
      <c r="G33" s="341">
        <f t="shared" si="1"/>
        <v>19.912387646287858</v>
      </c>
      <c r="H33" s="208">
        <f t="shared" si="2"/>
        <v>0</v>
      </c>
      <c r="I33" s="42">
        <f t="shared" si="3"/>
        <v>0</v>
      </c>
      <c r="J33" s="29"/>
    </row>
    <row r="34" spans="1:10" x14ac:dyDescent="0.25">
      <c r="A34" s="38">
        <f>Données!A34</f>
        <v>5437</v>
      </c>
      <c r="B34" s="167" t="str">
        <f>Données!B34</f>
        <v>Saubraz</v>
      </c>
      <c r="C34" s="321">
        <f>VPI!R34</f>
        <v>12127.91725</v>
      </c>
      <c r="D34" s="191">
        <f>Effort!I34-IF(PCS!I40&lt;0, Effort!D34, 0)</f>
        <v>5.3777426496647305</v>
      </c>
      <c r="E34" s="448">
        <f>IF(PCS!I40&lt;0, 0, PCS!F40/Aide!C34)</f>
        <v>6.983828983496732</v>
      </c>
      <c r="F34" s="448">
        <f>Effort!G34</f>
        <v>-0.29928852787975591</v>
      </c>
      <c r="G34" s="341">
        <f t="shared" si="1"/>
        <v>12.660860161041219</v>
      </c>
      <c r="H34" s="208">
        <f t="shared" si="2"/>
        <v>0</v>
      </c>
      <c r="I34" s="42">
        <f t="shared" si="3"/>
        <v>0</v>
      </c>
      <c r="J34" s="29"/>
    </row>
    <row r="35" spans="1:10" x14ac:dyDescent="0.25">
      <c r="A35" s="38">
        <f>Données!A35</f>
        <v>5451</v>
      </c>
      <c r="B35" s="167" t="str">
        <f>Données!B35</f>
        <v>Avenches</v>
      </c>
      <c r="C35" s="321">
        <f>VPI!R35</f>
        <v>142633.11649122802</v>
      </c>
      <c r="D35" s="191">
        <f>Effort!I35-IF(PCS!I41&lt;0, Effort!D35, 0)</f>
        <v>-0.63669062714487268</v>
      </c>
      <c r="E35" s="448">
        <f>IF(PCS!I41&lt;0, 0, PCS!F41/Aide!C35)</f>
        <v>4.2181709956327129</v>
      </c>
      <c r="F35" s="448">
        <f>Effort!G35</f>
        <v>-8.77458778045842</v>
      </c>
      <c r="G35" s="341">
        <f t="shared" si="1"/>
        <v>12.35606814894626</v>
      </c>
      <c r="H35" s="208">
        <f t="shared" si="2"/>
        <v>0</v>
      </c>
      <c r="I35" s="42">
        <f t="shared" si="3"/>
        <v>0</v>
      </c>
      <c r="J35" s="29"/>
    </row>
    <row r="36" spans="1:10" x14ac:dyDescent="0.25">
      <c r="A36" s="38">
        <f>Données!A36</f>
        <v>5456</v>
      </c>
      <c r="B36" s="167" t="str">
        <f>Données!B36</f>
        <v>Cudrefin</v>
      </c>
      <c r="C36" s="321">
        <f>VPI!R36</f>
        <v>64060.385932203382</v>
      </c>
      <c r="D36" s="191">
        <f>Effort!I36-IF(PCS!I42&lt;0, Effort!D36, 0)</f>
        <v>15.593240593049792</v>
      </c>
      <c r="E36" s="448">
        <f>IF(PCS!I42&lt;0, 0, PCS!F42/Aide!C36)</f>
        <v>5.0533025252547938</v>
      </c>
      <c r="F36" s="448">
        <f>Effort!G36</f>
        <v>-2.3926672026140219</v>
      </c>
      <c r="G36" s="341">
        <f t="shared" si="1"/>
        <v>23.039210320918606</v>
      </c>
      <c r="H36" s="208">
        <f t="shared" si="2"/>
        <v>0</v>
      </c>
      <c r="I36" s="42">
        <f t="shared" si="3"/>
        <v>0</v>
      </c>
      <c r="J36" s="29"/>
    </row>
    <row r="37" spans="1:10" x14ac:dyDescent="0.25">
      <c r="A37" s="38">
        <f>Données!A37</f>
        <v>5458</v>
      </c>
      <c r="B37" s="167" t="str">
        <f>Données!B37</f>
        <v>Faoug</v>
      </c>
      <c r="C37" s="321">
        <f>VPI!R37</f>
        <v>32630.920512820507</v>
      </c>
      <c r="D37" s="191">
        <f>Effort!I37-IF(PCS!I43&lt;0, Effort!D37, 0)</f>
        <v>18.031335885492425</v>
      </c>
      <c r="E37" s="448">
        <f>IF(PCS!I43&lt;0, 0, PCS!F43/Aide!C37)</f>
        <v>2.487255147096207</v>
      </c>
      <c r="F37" s="448">
        <f>Effort!G37</f>
        <v>-3.4102463299910855</v>
      </c>
      <c r="G37" s="341">
        <f t="shared" si="1"/>
        <v>23.928837362579717</v>
      </c>
      <c r="H37" s="208">
        <f t="shared" si="2"/>
        <v>0</v>
      </c>
      <c r="I37" s="42">
        <f t="shared" si="3"/>
        <v>0</v>
      </c>
      <c r="J37" s="29"/>
    </row>
    <row r="38" spans="1:10" x14ac:dyDescent="0.25">
      <c r="A38" s="38">
        <f>Données!A38</f>
        <v>5464</v>
      </c>
      <c r="B38" s="167" t="str">
        <f>Données!B38</f>
        <v>Vully-les-Lacs</v>
      </c>
      <c r="C38" s="321">
        <f>VPI!R38</f>
        <v>117933.44731343284</v>
      </c>
      <c r="D38" s="191">
        <f>Effort!I38-IF(PCS!I44&lt;0, Effort!D38, 0)</f>
        <v>9.7218150677449273</v>
      </c>
      <c r="E38" s="448">
        <f>IF(PCS!I44&lt;0, 0, PCS!F44/Aide!C38)</f>
        <v>4.3955355906988354</v>
      </c>
      <c r="F38" s="448">
        <f>Effort!G38</f>
        <v>-3.3080718405741552</v>
      </c>
      <c r="G38" s="341">
        <f t="shared" si="1"/>
        <v>17.425422499017916</v>
      </c>
      <c r="H38" s="208">
        <f t="shared" si="2"/>
        <v>0</v>
      </c>
      <c r="I38" s="42">
        <f t="shared" si="3"/>
        <v>0</v>
      </c>
      <c r="J38" s="29"/>
    </row>
    <row r="39" spans="1:10" x14ac:dyDescent="0.25">
      <c r="A39" s="38">
        <f>Données!A39</f>
        <v>5471</v>
      </c>
      <c r="B39" s="167" t="str">
        <f>Données!B39</f>
        <v>Bettens</v>
      </c>
      <c r="C39" s="321">
        <f>VPI!R39</f>
        <v>22692.287412698413</v>
      </c>
      <c r="D39" s="191">
        <f>Effort!I39-IF(PCS!I45&lt;0, Effort!D39, 0)</f>
        <v>19.473765426573799</v>
      </c>
      <c r="E39" s="448">
        <f>IF(PCS!I45&lt;0, 0, PCS!F45/Aide!C39)</f>
        <v>1.6877176947163408</v>
      </c>
      <c r="F39" s="448">
        <f>Effort!G39</f>
        <v>0</v>
      </c>
      <c r="G39" s="341">
        <f t="shared" si="1"/>
        <v>21.161483121290139</v>
      </c>
      <c r="H39" s="208">
        <f t="shared" si="2"/>
        <v>0</v>
      </c>
      <c r="I39" s="42">
        <f t="shared" si="3"/>
        <v>0</v>
      </c>
      <c r="J39" s="29"/>
    </row>
    <row r="40" spans="1:10" x14ac:dyDescent="0.25">
      <c r="A40" s="38">
        <f>Données!A40</f>
        <v>5472</v>
      </c>
      <c r="B40" s="167" t="str">
        <f>Données!B40</f>
        <v>Bournens</v>
      </c>
      <c r="C40" s="321">
        <f>VPI!R40</f>
        <v>19974.836617647059</v>
      </c>
      <c r="D40" s="191">
        <f>Effort!I40-IF(PCS!I46&lt;0, Effort!D40, 0)</f>
        <v>22.501670073638298</v>
      </c>
      <c r="E40" s="448">
        <f>IF(PCS!I46&lt;0, 0, PCS!F46/Aide!C40)</f>
        <v>3.5787789591653065</v>
      </c>
      <c r="F40" s="448">
        <f>Effort!G40</f>
        <v>-0.38448988013146451</v>
      </c>
      <c r="G40" s="341">
        <f t="shared" si="1"/>
        <v>26.464938912935068</v>
      </c>
      <c r="H40" s="208">
        <f t="shared" si="2"/>
        <v>0</v>
      </c>
      <c r="I40" s="42">
        <f t="shared" si="3"/>
        <v>0</v>
      </c>
      <c r="J40" s="29"/>
    </row>
    <row r="41" spans="1:10" x14ac:dyDescent="0.25">
      <c r="A41" s="38">
        <f>Données!A41</f>
        <v>5473</v>
      </c>
      <c r="B41" s="167" t="str">
        <f>Données!B41</f>
        <v>Boussens</v>
      </c>
      <c r="C41" s="321">
        <f>VPI!R41</f>
        <v>40043.184999999998</v>
      </c>
      <c r="D41" s="191">
        <f>Effort!I41-IF(PCS!I47&lt;0, Effort!D41, 0)</f>
        <v>23.618903214736825</v>
      </c>
      <c r="E41" s="448">
        <f>IF(PCS!I47&lt;0, 0, PCS!F47/Aide!C41)</f>
        <v>2.7655096616315618</v>
      </c>
      <c r="F41" s="448">
        <f>Effort!G41</f>
        <v>0</v>
      </c>
      <c r="G41" s="341">
        <f t="shared" si="1"/>
        <v>26.384412876368387</v>
      </c>
      <c r="H41" s="208">
        <f t="shared" si="2"/>
        <v>0</v>
      </c>
      <c r="I41" s="42">
        <f t="shared" si="3"/>
        <v>0</v>
      </c>
      <c r="J41" s="29"/>
    </row>
    <row r="42" spans="1:10" x14ac:dyDescent="0.25">
      <c r="A42" s="38">
        <f>Données!A42</f>
        <v>5474</v>
      </c>
      <c r="B42" s="167" t="str">
        <f>Données!B42</f>
        <v>La Chaux (Cossonay)</v>
      </c>
      <c r="C42" s="321">
        <f>VPI!R42</f>
        <v>13862.516425438596</v>
      </c>
      <c r="D42" s="191">
        <f>Effort!I42-IF(PCS!I48&lt;0, Effort!D42, 0)</f>
        <v>4.1724774117081989</v>
      </c>
      <c r="E42" s="448">
        <f>IF(PCS!I48&lt;0, 0, PCS!F48/Aide!C42)</f>
        <v>3.2737054086891133</v>
      </c>
      <c r="F42" s="448">
        <f>Effort!G42</f>
        <v>-12.598192571075199</v>
      </c>
      <c r="G42" s="341">
        <f t="shared" si="1"/>
        <v>20.04437539147251</v>
      </c>
      <c r="H42" s="208">
        <f t="shared" si="2"/>
        <v>0</v>
      </c>
      <c r="I42" s="42">
        <f t="shared" si="3"/>
        <v>0</v>
      </c>
      <c r="J42" s="29"/>
    </row>
    <row r="43" spans="1:10" x14ac:dyDescent="0.25">
      <c r="A43" s="38">
        <f>Données!A43</f>
        <v>5475</v>
      </c>
      <c r="B43" s="167" t="str">
        <f>Données!B43</f>
        <v>Chavannes-le-Veyron</v>
      </c>
      <c r="C43" s="321">
        <f>VPI!R43</f>
        <v>4297.2048000000004</v>
      </c>
      <c r="D43" s="191">
        <f>Effort!I43-IF(PCS!I49&lt;0, Effort!D43, 0)</f>
        <v>-4.5721665133841149</v>
      </c>
      <c r="E43" s="448">
        <f>IF(PCS!I49&lt;0, 0, PCS!F49/Aide!C43)</f>
        <v>2.5854015614987675</v>
      </c>
      <c r="F43" s="448">
        <f>Effort!G43</f>
        <v>-11.601522366353121</v>
      </c>
      <c r="G43" s="341">
        <f t="shared" si="1"/>
        <v>9.6147574144677748</v>
      </c>
      <c r="H43" s="208">
        <f t="shared" si="2"/>
        <v>0</v>
      </c>
      <c r="I43" s="42">
        <f t="shared" si="3"/>
        <v>0</v>
      </c>
      <c r="J43" s="29"/>
    </row>
    <row r="44" spans="1:10" x14ac:dyDescent="0.25">
      <c r="A44" s="38">
        <f>Données!A44</f>
        <v>5476</v>
      </c>
      <c r="B44" s="167" t="str">
        <f>Données!B44</f>
        <v>Chevilly</v>
      </c>
      <c r="C44" s="321">
        <f>VPI!R44</f>
        <v>13558.452965517243</v>
      </c>
      <c r="D44" s="191">
        <f>Effort!I44-IF(PCS!I50&lt;0, Effort!D44, 0)</f>
        <v>23.77524900975115</v>
      </c>
      <c r="E44" s="448">
        <f>IF(PCS!I50&lt;0, 0, PCS!F50/Aide!C44)</f>
        <v>2.1527714167857863</v>
      </c>
      <c r="F44" s="448">
        <f>Effort!G44</f>
        <v>0</v>
      </c>
      <c r="G44" s="341">
        <f t="shared" si="1"/>
        <v>25.928020426536936</v>
      </c>
      <c r="H44" s="208">
        <f t="shared" si="2"/>
        <v>0</v>
      </c>
      <c r="I44" s="42">
        <f t="shared" si="3"/>
        <v>0</v>
      </c>
      <c r="J44" s="29"/>
    </row>
    <row r="45" spans="1:10" x14ac:dyDescent="0.25">
      <c r="A45" s="38">
        <f>Données!A45</f>
        <v>5477</v>
      </c>
      <c r="B45" s="167" t="str">
        <f>Données!B45</f>
        <v>Cossonay</v>
      </c>
      <c r="C45" s="321">
        <f>VPI!R45</f>
        <v>151490.5288235294</v>
      </c>
      <c r="D45" s="191">
        <f>Effort!I45-IF(PCS!I51&lt;0, Effort!D45, 0)</f>
        <v>6.7560848682741774</v>
      </c>
      <c r="E45" s="448">
        <f>IF(PCS!I51&lt;0, 0, PCS!F51/Aide!C45)</f>
        <v>5.0639876034339073</v>
      </c>
      <c r="F45" s="448">
        <f>Effort!G45</f>
        <v>-6.1948366300313733</v>
      </c>
      <c r="G45" s="341">
        <f t="shared" si="1"/>
        <v>18.014909101739455</v>
      </c>
      <c r="H45" s="208">
        <f t="shared" si="2"/>
        <v>0</v>
      </c>
      <c r="I45" s="42">
        <f t="shared" si="3"/>
        <v>0</v>
      </c>
      <c r="J45" s="29"/>
    </row>
    <row r="46" spans="1:10" x14ac:dyDescent="0.25">
      <c r="A46" s="38">
        <f>Données!A46</f>
        <v>5479</v>
      </c>
      <c r="B46" s="167" t="str">
        <f>Données!B46</f>
        <v>Cuarnens</v>
      </c>
      <c r="C46" s="321">
        <f>VPI!R46</f>
        <v>14331.337792207793</v>
      </c>
      <c r="D46" s="191">
        <f>Effort!I46-IF(PCS!I52&lt;0, Effort!D46, 0)</f>
        <v>-11.222104573837424</v>
      </c>
      <c r="E46" s="448">
        <f>IF(PCS!I52&lt;0, 0, PCS!F52/Aide!C46)</f>
        <v>4.047200675957594</v>
      </c>
      <c r="F46" s="448">
        <f>Effort!G46</f>
        <v>-17.108763568179409</v>
      </c>
      <c r="G46" s="341">
        <f t="shared" si="1"/>
        <v>9.9338596702995794</v>
      </c>
      <c r="H46" s="208">
        <f t="shared" si="2"/>
        <v>0</v>
      </c>
      <c r="I46" s="42">
        <f t="shared" si="3"/>
        <v>0</v>
      </c>
      <c r="J46" s="29"/>
    </row>
    <row r="47" spans="1:10" x14ac:dyDescent="0.25">
      <c r="A47" s="38">
        <f>Données!A47</f>
        <v>5480</v>
      </c>
      <c r="B47" s="167" t="str">
        <f>Données!B47</f>
        <v>Daillens</v>
      </c>
      <c r="C47" s="321">
        <f>VPI!R47</f>
        <v>42720.265505050505</v>
      </c>
      <c r="D47" s="191">
        <f>Effort!I47-IF(PCS!I53&lt;0, Effort!D47, 0)</f>
        <v>21.518580142767831</v>
      </c>
      <c r="E47" s="448">
        <f>IF(PCS!I53&lt;0, 0, PCS!F53/Aide!C47)</f>
        <v>10.311153378668106</v>
      </c>
      <c r="F47" s="448">
        <f>Effort!G47</f>
        <v>-2.285740893379161</v>
      </c>
      <c r="G47" s="341">
        <f t="shared" si="1"/>
        <v>34.115474414815097</v>
      </c>
      <c r="H47" s="208">
        <f t="shared" si="2"/>
        <v>0</v>
      </c>
      <c r="I47" s="42">
        <f t="shared" si="3"/>
        <v>0</v>
      </c>
      <c r="J47" s="29"/>
    </row>
    <row r="48" spans="1:10" x14ac:dyDescent="0.25">
      <c r="A48" s="38">
        <f>Données!A48</f>
        <v>5481</v>
      </c>
      <c r="B48" s="167" t="str">
        <f>Données!B48</f>
        <v>Dizy</v>
      </c>
      <c r="C48" s="321">
        <f>VPI!R48</f>
        <v>8552.7156000000014</v>
      </c>
      <c r="D48" s="191">
        <f>Effort!I48-IF(PCS!I54&lt;0, Effort!D48, 0)</f>
        <v>16.477212954766927</v>
      </c>
      <c r="E48" s="448">
        <f>IF(PCS!I54&lt;0, 0, PCS!F54/Aide!C48)</f>
        <v>2.5122576272733768</v>
      </c>
      <c r="F48" s="448">
        <f>Effort!G48</f>
        <v>-3.7213860355651236</v>
      </c>
      <c r="G48" s="341">
        <f t="shared" si="1"/>
        <v>22.71085661760543</v>
      </c>
      <c r="H48" s="208">
        <f t="shared" si="2"/>
        <v>0</v>
      </c>
      <c r="I48" s="42">
        <f t="shared" si="3"/>
        <v>0</v>
      </c>
      <c r="J48" s="29"/>
    </row>
    <row r="49" spans="1:10" x14ac:dyDescent="0.25">
      <c r="A49" s="38">
        <f>Données!A49</f>
        <v>5482</v>
      </c>
      <c r="B49" s="167" t="str">
        <f>Données!B49</f>
        <v>Eclépens</v>
      </c>
      <c r="C49" s="321">
        <f>VPI!R49</f>
        <v>48314.544130434791</v>
      </c>
      <c r="D49" s="191">
        <f>Effort!I49-IF(PCS!I55&lt;0, Effort!D49, 0)</f>
        <v>21.925130102387673</v>
      </c>
      <c r="E49" s="448">
        <f>IF(PCS!I55&lt;0, 0, PCS!F55/Aide!C49)</f>
        <v>4.5540428655601994</v>
      </c>
      <c r="F49" s="448">
        <f>Effort!G49</f>
        <v>-2.9766052791745747</v>
      </c>
      <c r="G49" s="341">
        <f t="shared" si="1"/>
        <v>29.455778247122446</v>
      </c>
      <c r="H49" s="208">
        <f t="shared" si="2"/>
        <v>0</v>
      </c>
      <c r="I49" s="42">
        <f t="shared" si="3"/>
        <v>0</v>
      </c>
      <c r="J49" s="29"/>
    </row>
    <row r="50" spans="1:10" x14ac:dyDescent="0.25">
      <c r="A50" s="38">
        <f>Données!A50</f>
        <v>5483</v>
      </c>
      <c r="B50" s="167" t="str">
        <f>Données!B50</f>
        <v>Ferreyres</v>
      </c>
      <c r="C50" s="321">
        <f>VPI!R50</f>
        <v>10284.283289473684</v>
      </c>
      <c r="D50" s="191">
        <f>Effort!I50-IF(PCS!I56&lt;0, Effort!D50, 0)</f>
        <v>16.441954141197932</v>
      </c>
      <c r="E50" s="448">
        <f>IF(PCS!I56&lt;0, 0, PCS!F56/Aide!C50)</f>
        <v>0.55668925474465358</v>
      </c>
      <c r="F50" s="448">
        <f>Effort!G50</f>
        <v>-4.395544642576945E-2</v>
      </c>
      <c r="G50" s="341">
        <f t="shared" si="1"/>
        <v>17.042598842368356</v>
      </c>
      <c r="H50" s="208">
        <f t="shared" si="2"/>
        <v>0</v>
      </c>
      <c r="I50" s="42">
        <f t="shared" si="3"/>
        <v>0</v>
      </c>
      <c r="J50" s="29"/>
    </row>
    <row r="51" spans="1:10" x14ac:dyDescent="0.25">
      <c r="A51" s="38">
        <f>Données!A51</f>
        <v>5484</v>
      </c>
      <c r="B51" s="167" t="str">
        <f>Données!B51</f>
        <v>Gollion</v>
      </c>
      <c r="C51" s="321">
        <f>VPI!R51</f>
        <v>32601.670945945945</v>
      </c>
      <c r="D51" s="191">
        <f>Effort!I51-IF(PCS!I57&lt;0, Effort!D51, 0)</f>
        <v>6.1641967081083102</v>
      </c>
      <c r="E51" s="448">
        <f>IF(PCS!I57&lt;0, 0, PCS!F57/Aide!C51)</f>
        <v>3.402967908729102</v>
      </c>
      <c r="F51" s="448">
        <f>Effort!G51</f>
        <v>-8.5615004696430645</v>
      </c>
      <c r="G51" s="341">
        <f t="shared" si="1"/>
        <v>18.128665086480478</v>
      </c>
      <c r="H51" s="208">
        <f t="shared" si="2"/>
        <v>0</v>
      </c>
      <c r="I51" s="42">
        <f t="shared" si="3"/>
        <v>0</v>
      </c>
      <c r="J51" s="29"/>
    </row>
    <row r="52" spans="1:10" x14ac:dyDescent="0.25">
      <c r="A52" s="38">
        <f>Données!A52</f>
        <v>5485</v>
      </c>
      <c r="B52" s="167" t="str">
        <f>Données!B52</f>
        <v>Grancy</v>
      </c>
      <c r="C52" s="321">
        <f>VPI!R52</f>
        <v>18961.380428571429</v>
      </c>
      <c r="D52" s="191">
        <f>Effort!I52-IF(PCS!I58&lt;0, Effort!D52, 0)</f>
        <v>18.642195717113189</v>
      </c>
      <c r="E52" s="448">
        <f>IF(PCS!I58&lt;0, 0, PCS!F58/Aide!C52)</f>
        <v>2.1612208116583558</v>
      </c>
      <c r="F52" s="448">
        <f>Effort!G52</f>
        <v>-3.9098647056008873</v>
      </c>
      <c r="G52" s="341">
        <f t="shared" si="1"/>
        <v>24.713281234372435</v>
      </c>
      <c r="H52" s="208">
        <f t="shared" si="2"/>
        <v>0</v>
      </c>
      <c r="I52" s="42">
        <f t="shared" si="3"/>
        <v>0</v>
      </c>
      <c r="J52" s="29"/>
    </row>
    <row r="53" spans="1:10" x14ac:dyDescent="0.25">
      <c r="A53" s="38">
        <f>Données!A53</f>
        <v>5486</v>
      </c>
      <c r="B53" s="167" t="str">
        <f>Données!B53</f>
        <v>L'Isle</v>
      </c>
      <c r="C53" s="321">
        <f>VPI!R53</f>
        <v>34756.215466666676</v>
      </c>
      <c r="D53" s="191">
        <f>Effort!I53-IF(PCS!I59&lt;0, Effort!D53, 0)</f>
        <v>3.9871947884117525</v>
      </c>
      <c r="E53" s="448">
        <f>IF(PCS!I59&lt;0, 0, PCS!F59/Aide!C53)</f>
        <v>5.2192392803518723</v>
      </c>
      <c r="F53" s="448">
        <f>Effort!G53</f>
        <v>-10.239479207433153</v>
      </c>
      <c r="G53" s="341">
        <f t="shared" si="1"/>
        <v>19.445913276196777</v>
      </c>
      <c r="H53" s="208">
        <f t="shared" si="2"/>
        <v>0</v>
      </c>
      <c r="I53" s="42">
        <f t="shared" si="3"/>
        <v>0</v>
      </c>
      <c r="J53" s="29"/>
    </row>
    <row r="54" spans="1:10" x14ac:dyDescent="0.25">
      <c r="A54" s="38">
        <f>Données!A54</f>
        <v>5487</v>
      </c>
      <c r="B54" s="167" t="str">
        <f>Données!B54</f>
        <v>Lussery-Villars</v>
      </c>
      <c r="C54" s="321">
        <f>VPI!R54</f>
        <v>12042.619866666666</v>
      </c>
      <c r="D54" s="191">
        <f>Effort!I54-IF(PCS!I60&lt;0, Effort!D54, 0)</f>
        <v>4.0975608217887221</v>
      </c>
      <c r="E54" s="448">
        <f>IF(PCS!I60&lt;0, 0, PCS!F60/Aide!C54)</f>
        <v>3.5002308855296813</v>
      </c>
      <c r="F54" s="448">
        <f>Effort!G54</f>
        <v>-0.38114885721046182</v>
      </c>
      <c r="G54" s="341">
        <f t="shared" si="1"/>
        <v>7.978940564528866</v>
      </c>
      <c r="H54" s="208">
        <f t="shared" si="2"/>
        <v>0</v>
      </c>
      <c r="I54" s="42">
        <f t="shared" si="3"/>
        <v>0</v>
      </c>
      <c r="J54" s="29"/>
    </row>
    <row r="55" spans="1:10" x14ac:dyDescent="0.25">
      <c r="A55" s="38">
        <f>Données!A55</f>
        <v>5488</v>
      </c>
      <c r="B55" s="167" t="str">
        <f>Données!B55</f>
        <v>Mauraz</v>
      </c>
      <c r="C55" s="321">
        <f>VPI!R55</f>
        <v>2131.6062337662343</v>
      </c>
      <c r="D55" s="191">
        <f>Effort!I55-IF(PCS!I61&lt;0, Effort!D55, 0)</f>
        <v>15.513657130355416</v>
      </c>
      <c r="E55" s="448">
        <f>IF(PCS!I61&lt;0, 0, PCS!F61/Aide!C55)</f>
        <v>9.1139135794676616</v>
      </c>
      <c r="F55" s="448">
        <f>Effort!G55</f>
        <v>0</v>
      </c>
      <c r="G55" s="341">
        <f t="shared" si="1"/>
        <v>24.627570709823075</v>
      </c>
      <c r="H55" s="208">
        <f t="shared" si="2"/>
        <v>0</v>
      </c>
      <c r="I55" s="42">
        <f t="shared" si="3"/>
        <v>0</v>
      </c>
      <c r="J55" s="29"/>
    </row>
    <row r="56" spans="1:10" x14ac:dyDescent="0.25">
      <c r="A56" s="38">
        <f>Données!A56</f>
        <v>5489</v>
      </c>
      <c r="B56" s="167" t="str">
        <f>Données!B56</f>
        <v>Mex</v>
      </c>
      <c r="C56" s="321">
        <f>VPI!R56</f>
        <v>60740.368067226897</v>
      </c>
      <c r="D56" s="191">
        <f>Effort!I56-IF(PCS!I62&lt;0, Effort!D56, 0)</f>
        <v>34.608316206032235</v>
      </c>
      <c r="E56" s="448">
        <f>IF(PCS!I62&lt;0, 0, PCS!F62/Aide!C56)</f>
        <v>3.6925346707112858</v>
      </c>
      <c r="F56" s="448">
        <f>Effort!G56</f>
        <v>0</v>
      </c>
      <c r="G56" s="341">
        <f t="shared" si="1"/>
        <v>38.300850876743525</v>
      </c>
      <c r="H56" s="208">
        <f t="shared" si="2"/>
        <v>0</v>
      </c>
      <c r="I56" s="42">
        <f t="shared" si="3"/>
        <v>0</v>
      </c>
      <c r="J56" s="29"/>
    </row>
    <row r="57" spans="1:10" x14ac:dyDescent="0.25">
      <c r="A57" s="38">
        <f>Données!A57</f>
        <v>5490</v>
      </c>
      <c r="B57" s="167" t="str">
        <f>Données!B57</f>
        <v>Moiry</v>
      </c>
      <c r="C57" s="321">
        <f>VPI!R57</f>
        <v>8460.9523376623383</v>
      </c>
      <c r="D57" s="191">
        <f>Effort!I57-IF(PCS!I63&lt;0, Effort!D57, 0)</f>
        <v>5.3496374354604015</v>
      </c>
      <c r="E57" s="448">
        <f>IF(PCS!I63&lt;0, 0, PCS!F63/Aide!C57)</f>
        <v>1.1739044972263952</v>
      </c>
      <c r="F57" s="448">
        <f>Effort!G57</f>
        <v>-4.426485870546057</v>
      </c>
      <c r="G57" s="341">
        <f t="shared" si="1"/>
        <v>10.950027803232853</v>
      </c>
      <c r="H57" s="208">
        <f t="shared" si="2"/>
        <v>0</v>
      </c>
      <c r="I57" s="42">
        <f t="shared" si="3"/>
        <v>0</v>
      </c>
      <c r="J57" s="29"/>
    </row>
    <row r="58" spans="1:10" x14ac:dyDescent="0.25">
      <c r="A58" s="38">
        <f>Données!A58</f>
        <v>5491</v>
      </c>
      <c r="B58" s="167" t="str">
        <f>Données!B58</f>
        <v>Mont-la-Ville</v>
      </c>
      <c r="C58" s="321">
        <f>VPI!R58</f>
        <v>13842.217236842105</v>
      </c>
      <c r="D58" s="191">
        <f>Effort!I58-IF(PCS!I64&lt;0, Effort!D58, 0)</f>
        <v>-41.045800991416911</v>
      </c>
      <c r="E58" s="448">
        <f>IF(PCS!I64&lt;0, 0, PCS!F64/Aide!C58)</f>
        <v>4.9808151266761147</v>
      </c>
      <c r="F58" s="448">
        <f>Effort!G58</f>
        <v>-49.647912962224993</v>
      </c>
      <c r="G58" s="341">
        <f t="shared" si="1"/>
        <v>13.582927097484195</v>
      </c>
      <c r="H58" s="208">
        <f t="shared" si="2"/>
        <v>0</v>
      </c>
      <c r="I58" s="42">
        <f t="shared" si="3"/>
        <v>0</v>
      </c>
      <c r="J58" s="29"/>
    </row>
    <row r="59" spans="1:10" x14ac:dyDescent="0.25">
      <c r="A59" s="38">
        <f>Données!A59</f>
        <v>5492</v>
      </c>
      <c r="B59" s="167" t="str">
        <f>Données!B59</f>
        <v>Montricher</v>
      </c>
      <c r="C59" s="321">
        <f>VPI!R59</f>
        <v>149907.58062499994</v>
      </c>
      <c r="D59" s="191">
        <f>Effort!I59-IF(PCS!I65&lt;0, Effort!D59, 0)</f>
        <v>48.426808116572715</v>
      </c>
      <c r="E59" s="448">
        <f>IF(PCS!I65&lt;0, 0, PCS!F65/Aide!C59)</f>
        <v>0.79120705240852829</v>
      </c>
      <c r="F59" s="448">
        <f>Effort!G59</f>
        <v>-0.27622728856411399</v>
      </c>
      <c r="G59" s="341">
        <f t="shared" si="1"/>
        <v>49.494242457545361</v>
      </c>
      <c r="H59" s="208">
        <f t="shared" si="2"/>
        <v>0</v>
      </c>
      <c r="I59" s="42">
        <f t="shared" si="3"/>
        <v>0</v>
      </c>
      <c r="J59" s="29"/>
    </row>
    <row r="60" spans="1:10" x14ac:dyDescent="0.25">
      <c r="A60" s="38">
        <f>Données!A60</f>
        <v>5493</v>
      </c>
      <c r="B60" s="167" t="str">
        <f>Données!B60</f>
        <v>Orny</v>
      </c>
      <c r="C60" s="321">
        <f>VPI!R60</f>
        <v>14635.830579557431</v>
      </c>
      <c r="D60" s="191">
        <f>Effort!I60-IF(PCS!I66&lt;0, Effort!D60, 0)</f>
        <v>8.7594972755368445</v>
      </c>
      <c r="E60" s="448">
        <f>IF(PCS!I66&lt;0, 0, PCS!F66/Aide!C60)</f>
        <v>3.7755868858705353</v>
      </c>
      <c r="F60" s="448">
        <f>Effort!G60</f>
        <v>-4.9086907731086793</v>
      </c>
      <c r="G60" s="341">
        <f t="shared" si="1"/>
        <v>17.443774934516057</v>
      </c>
      <c r="H60" s="208">
        <f t="shared" si="2"/>
        <v>0</v>
      </c>
      <c r="I60" s="42">
        <f t="shared" si="3"/>
        <v>0</v>
      </c>
      <c r="J60" s="29"/>
    </row>
    <row r="61" spans="1:10" x14ac:dyDescent="0.25">
      <c r="A61" s="38">
        <f>Données!A61</f>
        <v>5495</v>
      </c>
      <c r="B61" s="167" t="str">
        <f>Données!B61</f>
        <v>Penthalaz</v>
      </c>
      <c r="C61" s="321">
        <f>VPI!R61</f>
        <v>103056.57202702702</v>
      </c>
      <c r="D61" s="191">
        <f>Effort!I61-IF(PCS!I67&lt;0, Effort!D61, 0)</f>
        <v>4.3957267524309671</v>
      </c>
      <c r="E61" s="448">
        <f>IF(PCS!I67&lt;0, 0, PCS!F67/Aide!C61)</f>
        <v>10.713681847582132</v>
      </c>
      <c r="F61" s="448">
        <f>Effort!G61</f>
        <v>-5.8476068627607214</v>
      </c>
      <c r="G61" s="341">
        <f t="shared" si="1"/>
        <v>20.957015462773821</v>
      </c>
      <c r="H61" s="208">
        <f t="shared" si="2"/>
        <v>0</v>
      </c>
      <c r="I61" s="42">
        <f t="shared" si="3"/>
        <v>0</v>
      </c>
      <c r="J61" s="29"/>
    </row>
    <row r="62" spans="1:10" x14ac:dyDescent="0.25">
      <c r="A62" s="38">
        <f>Données!A62</f>
        <v>5496</v>
      </c>
      <c r="B62" s="167" t="str">
        <f>Données!B62</f>
        <v>Penthaz</v>
      </c>
      <c r="C62" s="321">
        <f>VPI!R62</f>
        <v>61651.518705035967</v>
      </c>
      <c r="D62" s="191">
        <f>Effort!I62-IF(PCS!I68&lt;0, Effort!D62, 0)</f>
        <v>10.785652972132818</v>
      </c>
      <c r="E62" s="448">
        <f>IF(PCS!I68&lt;0, 0, PCS!F68/Aide!C62)</f>
        <v>2.5615900194701924</v>
      </c>
      <c r="F62" s="448">
        <f>Effort!G62</f>
        <v>-2.6070872404422212</v>
      </c>
      <c r="G62" s="341">
        <f t="shared" si="1"/>
        <v>15.954330232045232</v>
      </c>
      <c r="H62" s="208">
        <f t="shared" si="2"/>
        <v>0</v>
      </c>
      <c r="I62" s="42">
        <f t="shared" si="3"/>
        <v>0</v>
      </c>
      <c r="J62" s="29"/>
    </row>
    <row r="63" spans="1:10" x14ac:dyDescent="0.25">
      <c r="A63" s="38">
        <f>Données!A63</f>
        <v>5497</v>
      </c>
      <c r="B63" s="167" t="str">
        <f>Données!B63</f>
        <v>Pompaples</v>
      </c>
      <c r="C63" s="321">
        <f>VPI!R63</f>
        <v>22949.830606060608</v>
      </c>
      <c r="D63" s="191">
        <f>Effort!I63-IF(PCS!I69&lt;0, Effort!D63, 0)</f>
        <v>6.007775365884374</v>
      </c>
      <c r="E63" s="448">
        <f>IF(PCS!I69&lt;0, 0, PCS!F69/Aide!C63)</f>
        <v>4.5883985728500987</v>
      </c>
      <c r="F63" s="448">
        <f>Effort!G63</f>
        <v>-5.7208708254676353</v>
      </c>
      <c r="G63" s="341">
        <f t="shared" si="1"/>
        <v>16.317044764202109</v>
      </c>
      <c r="H63" s="208">
        <f t="shared" si="2"/>
        <v>0</v>
      </c>
      <c r="I63" s="42">
        <f t="shared" si="3"/>
        <v>0</v>
      </c>
      <c r="J63" s="29"/>
    </row>
    <row r="64" spans="1:10" x14ac:dyDescent="0.25">
      <c r="A64" s="38">
        <f>Données!A64</f>
        <v>5498</v>
      </c>
      <c r="B64" s="167" t="str">
        <f>Données!B64</f>
        <v>La Sarraz</v>
      </c>
      <c r="C64" s="321">
        <f>VPI!R64</f>
        <v>73743.655606060609</v>
      </c>
      <c r="D64" s="191">
        <f>Effort!I64-IF(PCS!I70&lt;0, Effort!D64, 0)</f>
        <v>2.0096902326159345</v>
      </c>
      <c r="E64" s="448">
        <f>IF(PCS!I70&lt;0, 0, PCS!F70/Aide!C64)</f>
        <v>2.0850417400159831</v>
      </c>
      <c r="F64" s="448">
        <f>Effort!G64</f>
        <v>-6.7049844803598271</v>
      </c>
      <c r="G64" s="341">
        <f t="shared" si="1"/>
        <v>10.799716452991746</v>
      </c>
      <c r="H64" s="208">
        <f t="shared" si="2"/>
        <v>0</v>
      </c>
      <c r="I64" s="42">
        <f t="shared" si="3"/>
        <v>0</v>
      </c>
      <c r="J64" s="29"/>
    </row>
    <row r="65" spans="1:10" x14ac:dyDescent="0.25">
      <c r="A65" s="38">
        <f>Données!A65</f>
        <v>5499</v>
      </c>
      <c r="B65" s="167" t="str">
        <f>Données!B65</f>
        <v>Senarclens</v>
      </c>
      <c r="C65" s="321">
        <f>VPI!R65</f>
        <v>20491.103065693427</v>
      </c>
      <c r="D65" s="191">
        <f>Effort!I65-IF(PCS!I71&lt;0, Effort!D65, 0)</f>
        <v>22.79884194451629</v>
      </c>
      <c r="E65" s="448">
        <f>IF(PCS!I71&lt;0, 0, PCS!F71/Aide!C65)</f>
        <v>2.3861770566105616</v>
      </c>
      <c r="F65" s="448">
        <f>Effort!G65</f>
        <v>-1.6046784548602684</v>
      </c>
      <c r="G65" s="341">
        <f t="shared" si="1"/>
        <v>26.789697455987124</v>
      </c>
      <c r="H65" s="208">
        <f t="shared" si="2"/>
        <v>0</v>
      </c>
      <c r="I65" s="42">
        <f t="shared" si="3"/>
        <v>0</v>
      </c>
      <c r="J65" s="29"/>
    </row>
    <row r="66" spans="1:10" x14ac:dyDescent="0.25">
      <c r="A66" s="38">
        <f>Données!A66</f>
        <v>5501</v>
      </c>
      <c r="B66" s="167" t="str">
        <f>Données!B66</f>
        <v>Sullens</v>
      </c>
      <c r="C66" s="321">
        <f>VPI!R66</f>
        <v>53840.673124999994</v>
      </c>
      <c r="D66" s="191">
        <f>Effort!I66-IF(PCS!I72&lt;0, Effort!D66, 0)</f>
        <v>26.387662636930205</v>
      </c>
      <c r="E66" s="448">
        <f>IF(PCS!I72&lt;0, 0, PCS!F72/Aide!C66)</f>
        <v>5.2585302814228152</v>
      </c>
      <c r="F66" s="448">
        <f>Effort!G66</f>
        <v>0</v>
      </c>
      <c r="G66" s="341">
        <f t="shared" si="1"/>
        <v>31.64619291835302</v>
      </c>
      <c r="H66" s="208">
        <f t="shared" si="2"/>
        <v>0</v>
      </c>
      <c r="I66" s="42">
        <f t="shared" si="3"/>
        <v>0</v>
      </c>
      <c r="J66" s="29"/>
    </row>
    <row r="67" spans="1:10" x14ac:dyDescent="0.25">
      <c r="A67" s="38">
        <f>Données!A67</f>
        <v>5503</v>
      </c>
      <c r="B67" s="167" t="str">
        <f>Données!B67</f>
        <v>Vufflens-la-Ville</v>
      </c>
      <c r="C67" s="321">
        <f>VPI!R67</f>
        <v>75222.663980099518</v>
      </c>
      <c r="D67" s="191">
        <f>Effort!I67-IF(PCS!I73&lt;0, Effort!D67, 0)</f>
        <v>29.338288009649393</v>
      </c>
      <c r="E67" s="448">
        <f>IF(PCS!I73&lt;0, 0, PCS!F73/Aide!C67)</f>
        <v>1.8817469032663834</v>
      </c>
      <c r="F67" s="448">
        <f>Effort!G67</f>
        <v>0</v>
      </c>
      <c r="G67" s="341">
        <f t="shared" si="1"/>
        <v>31.220034912915775</v>
      </c>
      <c r="H67" s="208">
        <f t="shared" si="2"/>
        <v>0</v>
      </c>
      <c r="I67" s="42">
        <f t="shared" si="3"/>
        <v>0</v>
      </c>
      <c r="J67" s="29"/>
    </row>
    <row r="68" spans="1:10" x14ac:dyDescent="0.25">
      <c r="A68" s="38">
        <f>Données!A68</f>
        <v>5511</v>
      </c>
      <c r="B68" s="167" t="str">
        <f>Données!B68</f>
        <v>Assens</v>
      </c>
      <c r="C68" s="321">
        <f>VPI!R68</f>
        <v>72835.778857142868</v>
      </c>
      <c r="D68" s="191">
        <f>Effort!I68-IF(PCS!I74&lt;0, Effort!D68, 0)</f>
        <v>20.078906208978989</v>
      </c>
      <c r="E68" s="448">
        <f>IF(PCS!I74&lt;0, 0, PCS!F74/Aide!C68)</f>
        <v>2.1877552145427925</v>
      </c>
      <c r="F68" s="448">
        <f>Effort!G68</f>
        <v>-3.4397047822956508</v>
      </c>
      <c r="G68" s="341">
        <f t="shared" si="1"/>
        <v>25.706366205817432</v>
      </c>
      <c r="H68" s="208">
        <f t="shared" si="2"/>
        <v>0</v>
      </c>
      <c r="I68" s="42">
        <f t="shared" si="3"/>
        <v>0</v>
      </c>
      <c r="J68" s="29"/>
    </row>
    <row r="69" spans="1:10" x14ac:dyDescent="0.25">
      <c r="A69" s="38">
        <f>Données!A69</f>
        <v>5512</v>
      </c>
      <c r="B69" s="167" t="str">
        <f>Données!B69</f>
        <v>Bercher</v>
      </c>
      <c r="C69" s="321">
        <f>VPI!R69</f>
        <v>41198.7282278481</v>
      </c>
      <c r="D69" s="191">
        <f>Effort!I69-IF(PCS!I75&lt;0, Effort!D69, 0)</f>
        <v>3.6455792004186627</v>
      </c>
      <c r="E69" s="448">
        <f>IF(PCS!I75&lt;0, 0, PCS!F75/Aide!C69)</f>
        <v>2.8577110280898959</v>
      </c>
      <c r="F69" s="448">
        <f>Effort!G69</f>
        <v>-5.9124247546132169</v>
      </c>
      <c r="G69" s="341">
        <f t="shared" si="1"/>
        <v>12.415714983121775</v>
      </c>
      <c r="H69" s="208">
        <f t="shared" si="2"/>
        <v>0</v>
      </c>
      <c r="I69" s="42">
        <f t="shared" si="3"/>
        <v>0</v>
      </c>
      <c r="J69" s="29"/>
    </row>
    <row r="70" spans="1:10" x14ac:dyDescent="0.25">
      <c r="A70" s="38">
        <f>Données!A70</f>
        <v>5514</v>
      </c>
      <c r="B70" s="167" t="str">
        <f>Données!B70</f>
        <v>Bottens</v>
      </c>
      <c r="C70" s="321">
        <f>VPI!R70</f>
        <v>45712.235586206894</v>
      </c>
      <c r="D70" s="191">
        <f>Effort!I70-IF(PCS!I76&lt;0, Effort!D70, 0)</f>
        <v>15.015043737662314</v>
      </c>
      <c r="E70" s="448">
        <f>IF(PCS!I76&lt;0, 0, PCS!F76/Aide!C70)</f>
        <v>2.2559972986995458</v>
      </c>
      <c r="F70" s="448">
        <f>Effort!G70</f>
        <v>-0.92709116606607023</v>
      </c>
      <c r="G70" s="341">
        <f t="shared" si="1"/>
        <v>18.198132202427928</v>
      </c>
      <c r="H70" s="208">
        <f t="shared" si="2"/>
        <v>0</v>
      </c>
      <c r="I70" s="42">
        <f t="shared" si="3"/>
        <v>0</v>
      </c>
      <c r="J70" s="29"/>
    </row>
    <row r="71" spans="1:10" x14ac:dyDescent="0.25">
      <c r="A71" s="38">
        <f>Données!A71</f>
        <v>5515</v>
      </c>
      <c r="B71" s="167" t="str">
        <f>Données!B71</f>
        <v>Bretigny-sur-Morrens</v>
      </c>
      <c r="C71" s="321">
        <f>VPI!R71</f>
        <v>29285.295897435899</v>
      </c>
      <c r="D71" s="191">
        <f>Effort!I71-IF(PCS!I77&lt;0, Effort!D71, 0)</f>
        <v>14.390935448160853</v>
      </c>
      <c r="E71" s="448">
        <f>IF(PCS!I77&lt;0, 0, PCS!F77/Aide!C71)</f>
        <v>1.6355288048905683</v>
      </c>
      <c r="F71" s="448">
        <f>Effort!G71</f>
        <v>-1.4967741753028518</v>
      </c>
      <c r="G71" s="341">
        <f t="shared" ref="G71:G134" si="4">D71+E71-F71</f>
        <v>17.523238428354276</v>
      </c>
      <c r="H71" s="208">
        <f t="shared" ref="H71:H134" si="5">IF(G71&lt;H$5,G71-H$5,0)</f>
        <v>0</v>
      </c>
      <c r="I71" s="42">
        <f t="shared" ref="I71:I134" si="6">-H71*C71</f>
        <v>0</v>
      </c>
      <c r="J71" s="29"/>
    </row>
    <row r="72" spans="1:10" x14ac:dyDescent="0.25">
      <c r="A72" s="38">
        <f>Données!A72</f>
        <v>5516</v>
      </c>
      <c r="B72" s="167" t="str">
        <f>Données!B72</f>
        <v>Cugy</v>
      </c>
      <c r="C72" s="321">
        <f>VPI!R72</f>
        <v>110290.24758771928</v>
      </c>
      <c r="D72" s="191">
        <f>Effort!I72-IF(PCS!I78&lt;0, Effort!D72, 0)</f>
        <v>18.04381721924409</v>
      </c>
      <c r="E72" s="448">
        <f>IF(PCS!I78&lt;0, 0, PCS!F78/Aide!C72)</f>
        <v>2.7997646823161459</v>
      </c>
      <c r="F72" s="448">
        <f>Effort!G72</f>
        <v>-1.7262203017747471</v>
      </c>
      <c r="G72" s="341">
        <f t="shared" si="4"/>
        <v>22.56980220333498</v>
      </c>
      <c r="H72" s="208">
        <f t="shared" si="5"/>
        <v>0</v>
      </c>
      <c r="I72" s="42">
        <f t="shared" si="6"/>
        <v>0</v>
      </c>
      <c r="J72" s="29"/>
    </row>
    <row r="73" spans="1:10" x14ac:dyDescent="0.25">
      <c r="A73" s="38">
        <f>Données!A73</f>
        <v>5518</v>
      </c>
      <c r="B73" s="167" t="str">
        <f>Données!B73</f>
        <v>Echallens</v>
      </c>
      <c r="C73" s="321">
        <f>VPI!R73</f>
        <v>193282.28662068967</v>
      </c>
      <c r="D73" s="191">
        <f>Effort!I73-IF(PCS!I79&lt;0, Effort!D73, 0)</f>
        <v>1.3246409865691255</v>
      </c>
      <c r="E73" s="448">
        <f>IF(PCS!I79&lt;0, 0, PCS!F79/Aide!C73)</f>
        <v>3.2173660653155465</v>
      </c>
      <c r="F73" s="448">
        <f>Effort!G73</f>
        <v>-7.4580995262374774</v>
      </c>
      <c r="G73" s="341">
        <f t="shared" si="4"/>
        <v>12.00010657812215</v>
      </c>
      <c r="H73" s="208">
        <f t="shared" si="5"/>
        <v>0</v>
      </c>
      <c r="I73" s="42">
        <f t="shared" si="6"/>
        <v>0</v>
      </c>
      <c r="J73" s="29"/>
    </row>
    <row r="74" spans="1:10" x14ac:dyDescent="0.25">
      <c r="A74" s="38">
        <f>Données!A74</f>
        <v>5520</v>
      </c>
      <c r="B74" s="167" t="str">
        <f>Données!B74</f>
        <v>Essertines-sur-Yverdon</v>
      </c>
      <c r="C74" s="321">
        <f>VPI!R74</f>
        <v>31422.035945945943</v>
      </c>
      <c r="D74" s="191">
        <f>Effort!I74-IF(PCS!I80&lt;0, Effort!D74, 0)</f>
        <v>-1.421446604092516</v>
      </c>
      <c r="E74" s="448">
        <f>IF(PCS!I80&lt;0, 0, PCS!F80/Aide!C74)</f>
        <v>4.149830081803584</v>
      </c>
      <c r="F74" s="448">
        <f>Effort!G74</f>
        <v>-12.55055554144465</v>
      </c>
      <c r="G74" s="341">
        <f t="shared" si="4"/>
        <v>15.278939019155718</v>
      </c>
      <c r="H74" s="208">
        <f t="shared" si="5"/>
        <v>0</v>
      </c>
      <c r="I74" s="42">
        <f t="shared" si="6"/>
        <v>0</v>
      </c>
      <c r="J74" s="29"/>
    </row>
    <row r="75" spans="1:10" x14ac:dyDescent="0.25">
      <c r="A75" s="38">
        <f>Données!A75</f>
        <v>5521</v>
      </c>
      <c r="B75" s="167" t="str">
        <f>Données!B75</f>
        <v>Etagnières</v>
      </c>
      <c r="C75" s="321">
        <f>VPI!R75</f>
        <v>47189.665890410972</v>
      </c>
      <c r="D75" s="191">
        <f>Effort!I75-IF(PCS!I81&lt;0, Effort!D75, 0)</f>
        <v>21.528552648994363</v>
      </c>
      <c r="E75" s="448">
        <f>IF(PCS!I81&lt;0, 0, PCS!F81/Aide!C75)</f>
        <v>7.8478229928568535</v>
      </c>
      <c r="F75" s="448">
        <f>Effort!G75</f>
        <v>-1.3870675585951711</v>
      </c>
      <c r="G75" s="341">
        <f t="shared" si="4"/>
        <v>30.763443200446389</v>
      </c>
      <c r="H75" s="208">
        <f t="shared" si="5"/>
        <v>0</v>
      </c>
      <c r="I75" s="42">
        <f t="shared" si="6"/>
        <v>0</v>
      </c>
      <c r="J75" s="29"/>
    </row>
    <row r="76" spans="1:10" x14ac:dyDescent="0.25">
      <c r="A76" s="38">
        <f>Données!A76</f>
        <v>5522</v>
      </c>
      <c r="B76" s="167" t="str">
        <f>Données!B76</f>
        <v>Fey</v>
      </c>
      <c r="C76" s="321">
        <f>VPI!R76</f>
        <v>24172.463733333334</v>
      </c>
      <c r="D76" s="191">
        <f>Effort!I76-IF(PCS!I82&lt;0, Effort!D76, 0)</f>
        <v>10.823748635916399</v>
      </c>
      <c r="E76" s="448">
        <f>IF(PCS!I82&lt;0, 0, PCS!F82/Aide!C76)</f>
        <v>3.046206245764671</v>
      </c>
      <c r="F76" s="448">
        <f>Effort!G76</f>
        <v>-5.326265829595922</v>
      </c>
      <c r="G76" s="341">
        <f t="shared" si="4"/>
        <v>19.196220711276993</v>
      </c>
      <c r="H76" s="208">
        <f t="shared" si="5"/>
        <v>0</v>
      </c>
      <c r="I76" s="42">
        <f t="shared" si="6"/>
        <v>0</v>
      </c>
      <c r="J76" s="29"/>
    </row>
    <row r="77" spans="1:10" x14ac:dyDescent="0.25">
      <c r="A77" s="38">
        <f>Données!A77</f>
        <v>5523</v>
      </c>
      <c r="B77" s="167" t="str">
        <f>Données!B77</f>
        <v>Froideville</v>
      </c>
      <c r="C77" s="321">
        <f>VPI!R77</f>
        <v>92224.237222222204</v>
      </c>
      <c r="D77" s="191">
        <f>Effort!I77-IF(PCS!I83&lt;0, Effort!D77, 0)</f>
        <v>12.630696909565959</v>
      </c>
      <c r="E77" s="448">
        <f>IF(PCS!I83&lt;0, 0, PCS!F83/Aide!C77)</f>
        <v>3.931337747216813</v>
      </c>
      <c r="F77" s="448">
        <f>Effort!G77</f>
        <v>-1.1083835415234646</v>
      </c>
      <c r="G77" s="341">
        <f t="shared" si="4"/>
        <v>17.670418198306237</v>
      </c>
      <c r="H77" s="208">
        <f t="shared" si="5"/>
        <v>0</v>
      </c>
      <c r="I77" s="42">
        <f t="shared" si="6"/>
        <v>0</v>
      </c>
      <c r="J77" s="29"/>
    </row>
    <row r="78" spans="1:10" x14ac:dyDescent="0.25">
      <c r="A78" s="38">
        <f>Données!A78</f>
        <v>5527</v>
      </c>
      <c r="B78" s="167" t="str">
        <f>Données!B78</f>
        <v>Morrens</v>
      </c>
      <c r="C78" s="321">
        <f>VPI!R78</f>
        <v>40722.505675675682</v>
      </c>
      <c r="D78" s="191">
        <f>Effort!I78-IF(PCS!I84&lt;0, Effort!D78, 0)</f>
        <v>17.245037228986845</v>
      </c>
      <c r="E78" s="448">
        <f>IF(PCS!I84&lt;0, 0, PCS!F84/Aide!C78)</f>
        <v>3.5136528960070157</v>
      </c>
      <c r="F78" s="448">
        <f>Effort!G78</f>
        <v>-0.19176044834123135</v>
      </c>
      <c r="G78" s="341">
        <f t="shared" si="4"/>
        <v>20.950450573335093</v>
      </c>
      <c r="H78" s="208">
        <f t="shared" si="5"/>
        <v>0</v>
      </c>
      <c r="I78" s="42">
        <f t="shared" si="6"/>
        <v>0</v>
      </c>
      <c r="J78" s="29"/>
    </row>
    <row r="79" spans="1:10" x14ac:dyDescent="0.25">
      <c r="A79" s="38">
        <f>Données!A79</f>
        <v>5529</v>
      </c>
      <c r="B79" s="167" t="str">
        <f>Données!B79</f>
        <v>Oulens-sous-Echallens</v>
      </c>
      <c r="C79" s="321">
        <f>VPI!R79</f>
        <v>22677.013380281693</v>
      </c>
      <c r="D79" s="191">
        <f>Effort!I79-IF(PCS!I85&lt;0, Effort!D79, 0)</f>
        <v>17.293598704097839</v>
      </c>
      <c r="E79" s="448">
        <f>IF(PCS!I85&lt;0, 0, PCS!F85/Aide!C79)</f>
        <v>0.2692153458492233</v>
      </c>
      <c r="F79" s="448">
        <f>Effort!G79</f>
        <v>-4.0851243576396872</v>
      </c>
      <c r="G79" s="341">
        <f t="shared" si="4"/>
        <v>21.64793840758675</v>
      </c>
      <c r="H79" s="208">
        <f t="shared" si="5"/>
        <v>0</v>
      </c>
      <c r="I79" s="42">
        <f t="shared" si="6"/>
        <v>0</v>
      </c>
      <c r="J79" s="29"/>
    </row>
    <row r="80" spans="1:10" x14ac:dyDescent="0.25">
      <c r="A80" s="38">
        <f>Données!A80</f>
        <v>5530</v>
      </c>
      <c r="B80" s="167" t="str">
        <f>Données!B80</f>
        <v>Pailly</v>
      </c>
      <c r="C80" s="321">
        <f>VPI!R80</f>
        <v>20359.246820175435</v>
      </c>
      <c r="D80" s="191">
        <f>Effort!I80-IF(PCS!I86&lt;0, Effort!D80, 0)</f>
        <v>15.209522013745683</v>
      </c>
      <c r="E80" s="448">
        <f>IF(PCS!I86&lt;0, 0, PCS!F86/Aide!C80)</f>
        <v>13.398102219070669</v>
      </c>
      <c r="F80" s="448">
        <f>Effort!G80</f>
        <v>-3.9570144551703814</v>
      </c>
      <c r="G80" s="341">
        <f t="shared" si="4"/>
        <v>32.564638687986736</v>
      </c>
      <c r="H80" s="208">
        <f t="shared" si="5"/>
        <v>0</v>
      </c>
      <c r="I80" s="42">
        <f t="shared" si="6"/>
        <v>0</v>
      </c>
      <c r="J80" s="29"/>
    </row>
    <row r="81" spans="1:10" x14ac:dyDescent="0.25">
      <c r="A81" s="38">
        <f>Données!A81</f>
        <v>5531</v>
      </c>
      <c r="B81" s="167" t="str">
        <f>Données!B81</f>
        <v>Penthéréaz</v>
      </c>
      <c r="C81" s="321">
        <f>VPI!R81</f>
        <v>17299.306216216217</v>
      </c>
      <c r="D81" s="191">
        <f>Effort!I81-IF(PCS!I87&lt;0, Effort!D81, 0)</f>
        <v>20.06928506115754</v>
      </c>
      <c r="E81" s="448">
        <f>IF(PCS!I87&lt;0, 0, PCS!F87/Aide!C81)</f>
        <v>1.3769861462808546</v>
      </c>
      <c r="F81" s="448">
        <f>Effort!G81</f>
        <v>-2.8107157843683557</v>
      </c>
      <c r="G81" s="341">
        <f t="shared" si="4"/>
        <v>24.256986991806748</v>
      </c>
      <c r="H81" s="208">
        <f t="shared" si="5"/>
        <v>0</v>
      </c>
      <c r="I81" s="42">
        <f t="shared" si="6"/>
        <v>0</v>
      </c>
      <c r="J81" s="29"/>
    </row>
    <row r="82" spans="1:10" x14ac:dyDescent="0.25">
      <c r="A82" s="38">
        <f>Données!A82</f>
        <v>5533</v>
      </c>
      <c r="B82" s="167" t="str">
        <f>Données!B82</f>
        <v>Poliez-Pittet</v>
      </c>
      <c r="C82" s="321">
        <f>VPI!R82</f>
        <v>28012.381095890411</v>
      </c>
      <c r="D82" s="191">
        <f>Effort!I82-IF(PCS!I88&lt;0, Effort!D82, 0)</f>
        <v>14.216433571692404</v>
      </c>
      <c r="E82" s="448">
        <f>IF(PCS!I88&lt;0, 0, PCS!F88/Aide!C82)</f>
        <v>2.1257662744255619</v>
      </c>
      <c r="F82" s="448">
        <f>Effort!G82</f>
        <v>-2.7003747858420057</v>
      </c>
      <c r="G82" s="341">
        <f t="shared" si="4"/>
        <v>19.042574631959969</v>
      </c>
      <c r="H82" s="208">
        <f t="shared" si="5"/>
        <v>0</v>
      </c>
      <c r="I82" s="42">
        <f t="shared" si="6"/>
        <v>0</v>
      </c>
      <c r="J82" s="29"/>
    </row>
    <row r="83" spans="1:10" x14ac:dyDescent="0.25">
      <c r="A83" s="38">
        <f>Données!A83</f>
        <v>5534</v>
      </c>
      <c r="B83" s="167" t="str">
        <f>Données!B83</f>
        <v>Rueyres</v>
      </c>
      <c r="C83" s="321">
        <f>VPI!R83</f>
        <v>15042.055228310503</v>
      </c>
      <c r="D83" s="191">
        <f>Effort!I83-IF(PCS!I89&lt;0, Effort!D83, 0)</f>
        <v>28.521958549937789</v>
      </c>
      <c r="E83" s="448">
        <f>IF(PCS!I89&lt;0, 0, PCS!F89/Aide!C83)</f>
        <v>1.6895729748530199</v>
      </c>
      <c r="F83" s="448">
        <f>Effort!G83</f>
        <v>0</v>
      </c>
      <c r="G83" s="341">
        <f t="shared" si="4"/>
        <v>30.211531524790811</v>
      </c>
      <c r="H83" s="208">
        <f t="shared" si="5"/>
        <v>0</v>
      </c>
      <c r="I83" s="42">
        <f t="shared" si="6"/>
        <v>0</v>
      </c>
      <c r="J83" s="29"/>
    </row>
    <row r="84" spans="1:10" x14ac:dyDescent="0.25">
      <c r="A84" s="38">
        <f>Données!A84</f>
        <v>5535</v>
      </c>
      <c r="B84" s="167" t="str">
        <f>Données!B84</f>
        <v>Saint-Barthélemy</v>
      </c>
      <c r="C84" s="321">
        <f>VPI!R84</f>
        <v>25492.610399999998</v>
      </c>
      <c r="D84" s="191">
        <f>Effort!I84-IF(PCS!I90&lt;0, Effort!D84, 0)</f>
        <v>14.342701046790053</v>
      </c>
      <c r="E84" s="448">
        <f>IF(PCS!I90&lt;0, 0, PCS!F90/Aide!C84)</f>
        <v>3.2792842195556404</v>
      </c>
      <c r="F84" s="448">
        <f>Effort!G84</f>
        <v>0</v>
      </c>
      <c r="G84" s="341">
        <f t="shared" si="4"/>
        <v>17.621985266345693</v>
      </c>
      <c r="H84" s="208">
        <f t="shared" si="5"/>
        <v>0</v>
      </c>
      <c r="I84" s="42">
        <f t="shared" si="6"/>
        <v>0</v>
      </c>
      <c r="J84" s="29"/>
    </row>
    <row r="85" spans="1:10" x14ac:dyDescent="0.25">
      <c r="A85" s="38">
        <f>Données!A85</f>
        <v>5537</v>
      </c>
      <c r="B85" s="167" t="str">
        <f>Données!B85</f>
        <v>Villars-le-Terroir</v>
      </c>
      <c r="C85" s="321">
        <f>VPI!R85</f>
        <v>39162.728026315795</v>
      </c>
      <c r="D85" s="191">
        <f>Effort!I85-IF(PCS!I91&lt;0, Effort!D85, 0)</f>
        <v>8.3675070603674389</v>
      </c>
      <c r="E85" s="448">
        <f>IF(PCS!I91&lt;0, 0, PCS!F91/Aide!C85)</f>
        <v>1.6552881596103259</v>
      </c>
      <c r="F85" s="448">
        <f>Effort!G85</f>
        <v>-1.9857562473648023</v>
      </c>
      <c r="G85" s="341">
        <f t="shared" si="4"/>
        <v>12.008551467342567</v>
      </c>
      <c r="H85" s="208">
        <f t="shared" si="5"/>
        <v>0</v>
      </c>
      <c r="I85" s="42">
        <f t="shared" si="6"/>
        <v>0</v>
      </c>
      <c r="J85" s="29"/>
    </row>
    <row r="86" spans="1:10" x14ac:dyDescent="0.25">
      <c r="A86" s="38">
        <f>Données!A86</f>
        <v>5539</v>
      </c>
      <c r="B86" s="167" t="str">
        <f>Données!B86</f>
        <v>Vuarrens</v>
      </c>
      <c r="C86" s="321">
        <f>VPI!R86</f>
        <v>34442.458945578233</v>
      </c>
      <c r="D86" s="191">
        <f>Effort!I86-IF(PCS!I92&lt;0, Effort!D86, 0)</f>
        <v>13.444452458245959</v>
      </c>
      <c r="E86" s="448">
        <f>IF(PCS!I92&lt;0, 0, PCS!F92/Aide!C86)</f>
        <v>3.0873631922743887</v>
      </c>
      <c r="F86" s="448">
        <f>Effort!G86</f>
        <v>-0.45867521080039148</v>
      </c>
      <c r="G86" s="341">
        <f t="shared" si="4"/>
        <v>16.990490861320737</v>
      </c>
      <c r="H86" s="208">
        <f t="shared" si="5"/>
        <v>0</v>
      </c>
      <c r="I86" s="42">
        <f t="shared" si="6"/>
        <v>0</v>
      </c>
      <c r="J86" s="29"/>
    </row>
    <row r="87" spans="1:10" x14ac:dyDescent="0.25">
      <c r="A87" s="38">
        <f>Données!A87</f>
        <v>5540</v>
      </c>
      <c r="B87" s="167" t="str">
        <f>Données!B87</f>
        <v>Montilliez</v>
      </c>
      <c r="C87" s="321">
        <f>VPI!R87</f>
        <v>67464.467689655183</v>
      </c>
      <c r="D87" s="191">
        <f>Effort!I87-IF(PCS!I93&lt;0, Effort!D87, 0)</f>
        <v>15.004043789316214</v>
      </c>
      <c r="E87" s="448">
        <f>IF(PCS!I93&lt;0, 0, PCS!F93/Aide!C87)</f>
        <v>1.7779420650256235</v>
      </c>
      <c r="F87" s="448">
        <f>Effort!G87</f>
        <v>-1.4727173651154815</v>
      </c>
      <c r="G87" s="341">
        <f t="shared" si="4"/>
        <v>18.254703219457319</v>
      </c>
      <c r="H87" s="208">
        <f t="shared" si="5"/>
        <v>0</v>
      </c>
      <c r="I87" s="42">
        <f t="shared" si="6"/>
        <v>0</v>
      </c>
      <c r="J87" s="29"/>
    </row>
    <row r="88" spans="1:10" x14ac:dyDescent="0.25">
      <c r="A88" s="38">
        <f>Données!A88</f>
        <v>5541</v>
      </c>
      <c r="B88" s="167" t="str">
        <f>Données!B88</f>
        <v>Goumoëns</v>
      </c>
      <c r="C88" s="321">
        <f>VPI!R88</f>
        <v>41726.211258278148</v>
      </c>
      <c r="D88" s="191">
        <f>Effort!I88-IF(PCS!I94&lt;0, Effort!D88, 0)</f>
        <v>17.590637063981436</v>
      </c>
      <c r="E88" s="448">
        <f>IF(PCS!I94&lt;0, 0, PCS!F94/Aide!C88)</f>
        <v>3.2991853525327888</v>
      </c>
      <c r="F88" s="448">
        <f>Effort!G88</f>
        <v>-0.26417405553791412</v>
      </c>
      <c r="G88" s="341">
        <f t="shared" si="4"/>
        <v>21.153996472052139</v>
      </c>
      <c r="H88" s="208">
        <f t="shared" si="5"/>
        <v>0</v>
      </c>
      <c r="I88" s="42">
        <f t="shared" si="6"/>
        <v>0</v>
      </c>
      <c r="J88" s="29"/>
    </row>
    <row r="89" spans="1:10" x14ac:dyDescent="0.25">
      <c r="A89" s="38">
        <f>Données!A89</f>
        <v>5551</v>
      </c>
      <c r="B89" s="167" t="str">
        <f>Données!B89</f>
        <v>Bonvillars</v>
      </c>
      <c r="C89" s="321">
        <f>VPI!R89</f>
        <v>18575.023035714283</v>
      </c>
      <c r="D89" s="191">
        <f>Effort!I89-IF(PCS!I95&lt;0, Effort!D89, 0)</f>
        <v>17.170581844118939</v>
      </c>
      <c r="E89" s="448">
        <f>IF(PCS!I95&lt;0, 0, PCS!F95/Aide!C89)</f>
        <v>9.507281076338602</v>
      </c>
      <c r="F89" s="448">
        <f>Effort!G89</f>
        <v>-6.2732947509611359</v>
      </c>
      <c r="G89" s="341">
        <f t="shared" si="4"/>
        <v>32.951157671418677</v>
      </c>
      <c r="H89" s="208">
        <f t="shared" si="5"/>
        <v>0</v>
      </c>
      <c r="I89" s="42">
        <f t="shared" si="6"/>
        <v>0</v>
      </c>
      <c r="J89" s="29"/>
    </row>
    <row r="90" spans="1:10" x14ac:dyDescent="0.25">
      <c r="A90" s="38">
        <f>Données!A90</f>
        <v>5552</v>
      </c>
      <c r="B90" s="167" t="str">
        <f>Données!B90</f>
        <v>Bullet</v>
      </c>
      <c r="C90" s="321">
        <f>VPI!R90</f>
        <v>19038.952167832165</v>
      </c>
      <c r="D90" s="191">
        <f>Effort!I90-IF(PCS!I96&lt;0, Effort!D90, 0)</f>
        <v>-3.6062110685822759</v>
      </c>
      <c r="E90" s="448">
        <f>IF(PCS!I96&lt;0, 0, PCS!F96/Aide!C90)</f>
        <v>4.2662957122838669</v>
      </c>
      <c r="F90" s="448">
        <f>Effort!G90</f>
        <v>-16.539018013772697</v>
      </c>
      <c r="G90" s="341">
        <f t="shared" si="4"/>
        <v>17.199102657474288</v>
      </c>
      <c r="H90" s="208">
        <f t="shared" si="5"/>
        <v>0</v>
      </c>
      <c r="I90" s="42">
        <f t="shared" si="6"/>
        <v>0</v>
      </c>
      <c r="J90" s="29"/>
    </row>
    <row r="91" spans="1:10" x14ac:dyDescent="0.25">
      <c r="A91" s="38">
        <f>Données!A91</f>
        <v>5553</v>
      </c>
      <c r="B91" s="167" t="str">
        <f>Données!B91</f>
        <v>Champagne</v>
      </c>
      <c r="C91" s="321">
        <f>VPI!R91</f>
        <v>38263.796923076923</v>
      </c>
      <c r="D91" s="191">
        <f>Effort!I91-IF(PCS!I97&lt;0, Effort!D91, 0)</f>
        <v>12.972147936078503</v>
      </c>
      <c r="E91" s="448">
        <f>IF(PCS!I97&lt;0, 0, PCS!F97/Aide!C91)</f>
        <v>3.3690677707483934</v>
      </c>
      <c r="F91" s="448">
        <f>Effort!G91</f>
        <v>-7.553366150321323</v>
      </c>
      <c r="G91" s="341">
        <f t="shared" si="4"/>
        <v>23.894581857148221</v>
      </c>
      <c r="H91" s="208">
        <f t="shared" si="5"/>
        <v>0</v>
      </c>
      <c r="I91" s="42">
        <f t="shared" si="6"/>
        <v>0</v>
      </c>
      <c r="J91" s="29"/>
    </row>
    <row r="92" spans="1:10" x14ac:dyDescent="0.25">
      <c r="A92" s="38">
        <f>Données!A92</f>
        <v>5554</v>
      </c>
      <c r="B92" s="167" t="str">
        <f>Données!B92</f>
        <v>Concise</v>
      </c>
      <c r="C92" s="321">
        <f>VPI!R92</f>
        <v>33907.166000000005</v>
      </c>
      <c r="D92" s="191">
        <f>Effort!I92-IF(PCS!I98&lt;0, Effort!D92, 0)</f>
        <v>11.248275289929953</v>
      </c>
      <c r="E92" s="448">
        <f>IF(PCS!I98&lt;0, 0, PCS!F98/Aide!C92)</f>
        <v>3.94110392475738</v>
      </c>
      <c r="F92" s="448">
        <f>Effort!G92</f>
        <v>-5.9807417700435339</v>
      </c>
      <c r="G92" s="341">
        <f t="shared" si="4"/>
        <v>21.170120984730868</v>
      </c>
      <c r="H92" s="208">
        <f t="shared" si="5"/>
        <v>0</v>
      </c>
      <c r="I92" s="42">
        <f t="shared" si="6"/>
        <v>0</v>
      </c>
      <c r="J92" s="29"/>
    </row>
    <row r="93" spans="1:10" x14ac:dyDescent="0.25">
      <c r="A93" s="38">
        <f>Données!A93</f>
        <v>5555</v>
      </c>
      <c r="B93" s="167" t="str">
        <f>Données!B93</f>
        <v>Corcelles-près-Concise</v>
      </c>
      <c r="C93" s="321">
        <f>VPI!R93</f>
        <v>13425.201594202899</v>
      </c>
      <c r="D93" s="191">
        <f>Effort!I93-IF(PCS!I99&lt;0, Effort!D93, 0)</f>
        <v>4.8115128603361956</v>
      </c>
      <c r="E93" s="448">
        <f>IF(PCS!I99&lt;0, 0, PCS!F99/Aide!C93)</f>
        <v>1.1529137861649359</v>
      </c>
      <c r="F93" s="448">
        <f>Effort!G93</f>
        <v>-12.728590184665782</v>
      </c>
      <c r="G93" s="341">
        <f t="shared" si="4"/>
        <v>18.693016831166915</v>
      </c>
      <c r="H93" s="208">
        <f t="shared" si="5"/>
        <v>0</v>
      </c>
      <c r="I93" s="42">
        <f t="shared" si="6"/>
        <v>0</v>
      </c>
      <c r="J93" s="29"/>
    </row>
    <row r="94" spans="1:10" x14ac:dyDescent="0.25">
      <c r="A94" s="38">
        <f>Données!A94</f>
        <v>5556</v>
      </c>
      <c r="B94" s="167" t="str">
        <f>Données!B94</f>
        <v>Fiez</v>
      </c>
      <c r="C94" s="321">
        <f>VPI!R94</f>
        <v>13304.241787439612</v>
      </c>
      <c r="D94" s="191">
        <f>Effort!I94-IF(PCS!I100&lt;0, Effort!D94, 0)</f>
        <v>8.7709711743238969</v>
      </c>
      <c r="E94" s="448">
        <f>IF(PCS!I100&lt;0, 0, PCS!F100/Aide!C94)</f>
        <v>4.6315284992921431</v>
      </c>
      <c r="F94" s="448">
        <f>Effort!G94</f>
        <v>-6.5792263349738764</v>
      </c>
      <c r="G94" s="341">
        <f t="shared" si="4"/>
        <v>19.981726008589916</v>
      </c>
      <c r="H94" s="208">
        <f t="shared" si="5"/>
        <v>0</v>
      </c>
      <c r="I94" s="42">
        <f t="shared" si="6"/>
        <v>0</v>
      </c>
      <c r="J94" s="29"/>
    </row>
    <row r="95" spans="1:10" x14ac:dyDescent="0.25">
      <c r="A95" s="38">
        <f>Données!A95</f>
        <v>5557</v>
      </c>
      <c r="B95" s="167" t="str">
        <f>Données!B95</f>
        <v>Fontaines-sur-Grandson</v>
      </c>
      <c r="C95" s="321">
        <f>VPI!R95</f>
        <v>5098.7534782608691</v>
      </c>
      <c r="D95" s="191">
        <f>Effort!I95-IF(PCS!I101&lt;0, Effort!D95, 0)</f>
        <v>-3.7814144998864982</v>
      </c>
      <c r="E95" s="448">
        <f>IF(PCS!I101&lt;0, 0, PCS!F101/Aide!C95)</f>
        <v>1.740459709973444</v>
      </c>
      <c r="F95" s="448">
        <f>Effort!G95</f>
        <v>-9.4596972039116487</v>
      </c>
      <c r="G95" s="341">
        <f t="shared" si="4"/>
        <v>7.4187424139985945</v>
      </c>
      <c r="H95" s="208">
        <f t="shared" si="5"/>
        <v>0</v>
      </c>
      <c r="I95" s="42">
        <f t="shared" si="6"/>
        <v>0</v>
      </c>
      <c r="J95" s="29"/>
    </row>
    <row r="96" spans="1:10" x14ac:dyDescent="0.25">
      <c r="A96" s="38">
        <f>Données!A96</f>
        <v>5559</v>
      </c>
      <c r="B96" s="167" t="str">
        <f>Données!B96</f>
        <v>Giez</v>
      </c>
      <c r="C96" s="321">
        <f>VPI!R96</f>
        <v>21011.030606060605</v>
      </c>
      <c r="D96" s="191">
        <f>Effort!I96-IF(PCS!I102&lt;0, Effort!D96, 0)</f>
        <v>26.457882335841056</v>
      </c>
      <c r="E96" s="448">
        <f>IF(PCS!I102&lt;0, 0, PCS!F102/Aide!C96)</f>
        <v>2.9454735543599964</v>
      </c>
      <c r="F96" s="448">
        <f>Effort!G96</f>
        <v>-0.89120170803212029</v>
      </c>
      <c r="G96" s="341">
        <f t="shared" si="4"/>
        <v>30.294557598233173</v>
      </c>
      <c r="H96" s="208">
        <f t="shared" si="5"/>
        <v>0</v>
      </c>
      <c r="I96" s="42">
        <f t="shared" si="6"/>
        <v>0</v>
      </c>
      <c r="J96" s="29"/>
    </row>
    <row r="97" spans="1:10" x14ac:dyDescent="0.25">
      <c r="A97" s="38">
        <f>Données!A97</f>
        <v>5560</v>
      </c>
      <c r="B97" s="167" t="str">
        <f>Données!B97</f>
        <v>Grandevent</v>
      </c>
      <c r="C97" s="321">
        <f>VPI!R97</f>
        <v>8996.1449295774655</v>
      </c>
      <c r="D97" s="191">
        <f>Effort!I97-IF(PCS!I103&lt;0, Effort!D97, 0)</f>
        <v>21.036017433559994</v>
      </c>
      <c r="E97" s="448">
        <f>IF(PCS!I103&lt;0, 0, PCS!F103/Aide!C97)</f>
        <v>2.9622132823122089</v>
      </c>
      <c r="F97" s="448">
        <f>Effort!G97</f>
        <v>-0.76114728657873143</v>
      </c>
      <c r="G97" s="341">
        <f t="shared" si="4"/>
        <v>24.759378002450934</v>
      </c>
      <c r="H97" s="208">
        <f t="shared" si="5"/>
        <v>0</v>
      </c>
      <c r="I97" s="42">
        <f t="shared" si="6"/>
        <v>0</v>
      </c>
      <c r="J97" s="29"/>
    </row>
    <row r="98" spans="1:10" x14ac:dyDescent="0.25">
      <c r="A98" s="38">
        <f>Données!A98</f>
        <v>5561</v>
      </c>
      <c r="B98" s="167" t="str">
        <f>Données!B98</f>
        <v>Grandson</v>
      </c>
      <c r="C98" s="321">
        <f>VPI!R98</f>
        <v>132376.08594202899</v>
      </c>
      <c r="D98" s="191">
        <f>Effort!I98-IF(PCS!I104&lt;0, Effort!D98, 0)</f>
        <v>11.357930626759812</v>
      </c>
      <c r="E98" s="448">
        <f>IF(PCS!I104&lt;0, 0, PCS!F104/Aide!C98)</f>
        <v>3.3368668657678966</v>
      </c>
      <c r="F98" s="448">
        <f>Effort!G98</f>
        <v>-7.2212003213816605</v>
      </c>
      <c r="G98" s="341">
        <f t="shared" si="4"/>
        <v>21.915997813909371</v>
      </c>
      <c r="H98" s="208">
        <f t="shared" si="5"/>
        <v>0</v>
      </c>
      <c r="I98" s="42">
        <f t="shared" si="6"/>
        <v>0</v>
      </c>
      <c r="J98" s="29"/>
    </row>
    <row r="99" spans="1:10" x14ac:dyDescent="0.25">
      <c r="A99" s="38">
        <f>Données!A99</f>
        <v>5562</v>
      </c>
      <c r="B99" s="167" t="str">
        <f>Données!B99</f>
        <v>Mauborget</v>
      </c>
      <c r="C99" s="321">
        <f>VPI!R99</f>
        <v>4559.8505476190467</v>
      </c>
      <c r="D99" s="191">
        <f>Effort!I99-IF(PCS!I105&lt;0, Effort!D99, 0)</f>
        <v>15.401436497687923</v>
      </c>
      <c r="E99" s="448">
        <f>IF(PCS!I105&lt;0, 0, PCS!F105/Aide!C99)</f>
        <v>0.88796769931729658</v>
      </c>
      <c r="F99" s="448">
        <f>Effort!G99</f>
        <v>-2.3254619187263166</v>
      </c>
      <c r="G99" s="341">
        <f t="shared" si="4"/>
        <v>18.614866115731534</v>
      </c>
      <c r="H99" s="208">
        <f t="shared" si="5"/>
        <v>0</v>
      </c>
      <c r="I99" s="42">
        <f t="shared" si="6"/>
        <v>0</v>
      </c>
      <c r="J99" s="29"/>
    </row>
    <row r="100" spans="1:10" x14ac:dyDescent="0.25">
      <c r="A100" s="38">
        <f>Données!A100</f>
        <v>5563</v>
      </c>
      <c r="B100" s="167" t="str">
        <f>Données!B100</f>
        <v>Mutrux</v>
      </c>
      <c r="C100" s="321">
        <f>VPI!R100</f>
        <v>2282.08925</v>
      </c>
      <c r="D100" s="191">
        <f>Effort!I100-IF(PCS!I106&lt;0, Effort!D100, 0)</f>
        <v>-54.038772486782719</v>
      </c>
      <c r="E100" s="448">
        <f>IF(PCS!I106&lt;0, 0, PCS!F106/Aide!C100)</f>
        <v>13.517164151226776</v>
      </c>
      <c r="F100" s="448">
        <f>Effort!G100</f>
        <v>-19.819732099653859</v>
      </c>
      <c r="G100" s="341">
        <f t="shared" si="4"/>
        <v>-20.70187623590208</v>
      </c>
      <c r="H100" s="208">
        <f t="shared" si="5"/>
        <v>-12.70187623590208</v>
      </c>
      <c r="I100" s="42">
        <f t="shared" si="6"/>
        <v>28986.815212782603</v>
      </c>
      <c r="J100" s="29"/>
    </row>
    <row r="101" spans="1:10" x14ac:dyDescent="0.25">
      <c r="A101" s="38">
        <f>Données!A101</f>
        <v>5564</v>
      </c>
      <c r="B101" s="167" t="str">
        <f>Données!B101</f>
        <v>Novalles</v>
      </c>
      <c r="C101" s="321">
        <f>VPI!R101</f>
        <v>2548.8725328947371</v>
      </c>
      <c r="D101" s="191">
        <f>Effort!I101-IF(PCS!I107&lt;0, Effort!D101, 0)</f>
        <v>-8.2314108769128858</v>
      </c>
      <c r="E101" s="448">
        <f>IF(PCS!I107&lt;0, 0, PCS!F107/Aide!C101)</f>
        <v>0</v>
      </c>
      <c r="F101" s="448">
        <f>Effort!G101</f>
        <v>-13.620183024034423</v>
      </c>
      <c r="G101" s="341">
        <f t="shared" si="4"/>
        <v>5.3887721471215375</v>
      </c>
      <c r="H101" s="208">
        <f t="shared" si="5"/>
        <v>0</v>
      </c>
      <c r="I101" s="42">
        <f t="shared" si="6"/>
        <v>0</v>
      </c>
      <c r="J101" s="29"/>
    </row>
    <row r="102" spans="1:10" x14ac:dyDescent="0.25">
      <c r="A102" s="38">
        <f>Données!A102</f>
        <v>5565</v>
      </c>
      <c r="B102" s="167" t="str">
        <f>Données!B102</f>
        <v>Onnens</v>
      </c>
      <c r="C102" s="321">
        <f>VPI!R102</f>
        <v>11658.700944881888</v>
      </c>
      <c r="D102" s="191">
        <f>Effort!I102-IF(PCS!I108&lt;0, Effort!D102, 0)</f>
        <v>-3.6439308776533323</v>
      </c>
      <c r="E102" s="448">
        <f>IF(PCS!I108&lt;0, 0, PCS!F108/Aide!C102)</f>
        <v>3.3151274899942602</v>
      </c>
      <c r="F102" s="448">
        <f>Effort!G102</f>
        <v>-11.814053664573404</v>
      </c>
      <c r="G102" s="341">
        <f t="shared" si="4"/>
        <v>11.485250276914332</v>
      </c>
      <c r="H102" s="208">
        <f t="shared" si="5"/>
        <v>0</v>
      </c>
      <c r="I102" s="42">
        <f t="shared" si="6"/>
        <v>0</v>
      </c>
      <c r="J102" s="29"/>
    </row>
    <row r="103" spans="1:10" x14ac:dyDescent="0.25">
      <c r="A103" s="38">
        <f>Données!A103</f>
        <v>5566</v>
      </c>
      <c r="B103" s="167" t="str">
        <f>Données!B103</f>
        <v>Provence</v>
      </c>
      <c r="C103" s="321">
        <f>VPI!R103</f>
        <v>8528.9197942386818</v>
      </c>
      <c r="D103" s="191">
        <f>Effort!I103-IF(PCS!I109&lt;0, Effort!D103, 0)</f>
        <v>-47.797046249648872</v>
      </c>
      <c r="E103" s="448">
        <f>IF(PCS!I109&lt;0, 0, PCS!F109/Aide!C103)</f>
        <v>4.565198282941008</v>
      </c>
      <c r="F103" s="448">
        <f>Effort!G103</f>
        <v>-38.641738853203456</v>
      </c>
      <c r="G103" s="341">
        <f t="shared" si="4"/>
        <v>-4.5901091135044041</v>
      </c>
      <c r="H103" s="208">
        <f t="shared" si="5"/>
        <v>0</v>
      </c>
      <c r="I103" s="42">
        <f t="shared" si="6"/>
        <v>0</v>
      </c>
      <c r="J103" s="29"/>
    </row>
    <row r="104" spans="1:10" x14ac:dyDescent="0.25">
      <c r="A104" s="38">
        <f>Données!A104</f>
        <v>5568</v>
      </c>
      <c r="B104" s="167" t="str">
        <f>Données!B104</f>
        <v>Sainte-Croix</v>
      </c>
      <c r="C104" s="321">
        <f>VPI!R104</f>
        <v>106004.96942857141</v>
      </c>
      <c r="D104" s="191">
        <f>Effort!I104-IF(PCS!I110&lt;0, Effort!D104, 0)</f>
        <v>-27.908655182729131</v>
      </c>
      <c r="E104" s="448">
        <f>IF(PCS!I110&lt;0, 0, PCS!F110/Aide!C104)</f>
        <v>10.154066651802495</v>
      </c>
      <c r="F104" s="448">
        <f>Effort!G104</f>
        <v>-17.535184589715453</v>
      </c>
      <c r="G104" s="341">
        <f t="shared" si="4"/>
        <v>-0.21940394121118345</v>
      </c>
      <c r="H104" s="208">
        <f t="shared" si="5"/>
        <v>0</v>
      </c>
      <c r="I104" s="42">
        <f t="shared" si="6"/>
        <v>0</v>
      </c>
      <c r="J104" s="29"/>
    </row>
    <row r="105" spans="1:10" x14ac:dyDescent="0.25">
      <c r="A105" s="38">
        <f>Données!A105</f>
        <v>5571</v>
      </c>
      <c r="B105" s="167" t="str">
        <f>Données!B105</f>
        <v>Tévenon</v>
      </c>
      <c r="C105" s="321">
        <f>VPI!R105</f>
        <v>25907.008578088578</v>
      </c>
      <c r="D105" s="191">
        <f>Effort!I105-IF(PCS!I111&lt;0, Effort!D105, 0)</f>
        <v>6.8369281891707274</v>
      </c>
      <c r="E105" s="448">
        <f>IF(PCS!I111&lt;0, 0, PCS!F111/Aide!C105)</f>
        <v>2.1905207553757258</v>
      </c>
      <c r="F105" s="448">
        <f>Effort!G105</f>
        <v>-6.9099136458891719</v>
      </c>
      <c r="G105" s="341">
        <f t="shared" si="4"/>
        <v>15.937362590435626</v>
      </c>
      <c r="H105" s="208">
        <f t="shared" si="5"/>
        <v>0</v>
      </c>
      <c r="I105" s="42">
        <f t="shared" si="6"/>
        <v>0</v>
      </c>
      <c r="J105" s="29"/>
    </row>
    <row r="106" spans="1:10" x14ac:dyDescent="0.25">
      <c r="A106" s="38">
        <f>Données!A106</f>
        <v>5581</v>
      </c>
      <c r="B106" s="167" t="str">
        <f>Données!B106</f>
        <v>Belmont-sur-Lausanne</v>
      </c>
      <c r="C106" s="321">
        <f>VPI!R106</f>
        <v>233670.95416666666</v>
      </c>
      <c r="D106" s="191">
        <f>Effort!I106-IF(PCS!I112&lt;0, Effort!D106, 0)</f>
        <v>23.954155231415488</v>
      </c>
      <c r="E106" s="448">
        <f>IF(PCS!I112&lt;0, 0, PCS!F112/Aide!C106)</f>
        <v>2.6510147023158228</v>
      </c>
      <c r="F106" s="448">
        <f>Effort!G106</f>
        <v>-4.6050151112598163</v>
      </c>
      <c r="G106" s="341">
        <f t="shared" si="4"/>
        <v>31.210185044991128</v>
      </c>
      <c r="H106" s="208">
        <f t="shared" si="5"/>
        <v>0</v>
      </c>
      <c r="I106" s="42">
        <f t="shared" si="6"/>
        <v>0</v>
      </c>
      <c r="J106" s="29"/>
    </row>
    <row r="107" spans="1:10" x14ac:dyDescent="0.25">
      <c r="A107" s="38">
        <f>Données!A107</f>
        <v>5582</v>
      </c>
      <c r="B107" s="167" t="str">
        <f>Données!B107</f>
        <v>Cheseaux-sur-Lausanne</v>
      </c>
      <c r="C107" s="321">
        <f>VPI!R107</f>
        <v>170428.79082191776</v>
      </c>
      <c r="D107" s="191">
        <f>Effort!I107-IF(PCS!I113&lt;0, Effort!D107, 0)</f>
        <v>12.24249293740956</v>
      </c>
      <c r="E107" s="448">
        <f>IF(PCS!I113&lt;0, 0, PCS!F113/Aide!C107)</f>
        <v>2.6166458310789644</v>
      </c>
      <c r="F107" s="448">
        <f>Effort!G107</f>
        <v>-2.8076447809131326</v>
      </c>
      <c r="G107" s="341">
        <f t="shared" si="4"/>
        <v>17.666783549401657</v>
      </c>
      <c r="H107" s="208">
        <f t="shared" si="5"/>
        <v>0</v>
      </c>
      <c r="I107" s="42">
        <f t="shared" si="6"/>
        <v>0</v>
      </c>
      <c r="J107" s="29"/>
    </row>
    <row r="108" spans="1:10" x14ac:dyDescent="0.25">
      <c r="A108" s="38">
        <f>Données!A108</f>
        <v>5583</v>
      </c>
      <c r="B108" s="167" t="str">
        <f>Données!B108</f>
        <v>Crissier</v>
      </c>
      <c r="C108" s="321">
        <f>VPI!R108</f>
        <v>340496.54456692917</v>
      </c>
      <c r="D108" s="191">
        <f>Effort!I108-IF(PCS!I114&lt;0, Effort!D108, 0)</f>
        <v>2.2934738887667017</v>
      </c>
      <c r="E108" s="448">
        <f>IF(PCS!I114&lt;0, 0, PCS!F114/Aide!C108)</f>
        <v>6.4860848817392078</v>
      </c>
      <c r="F108" s="448">
        <f>Effort!G108</f>
        <v>-10.359069097410771</v>
      </c>
      <c r="G108" s="341">
        <f t="shared" si="4"/>
        <v>19.138627867916682</v>
      </c>
      <c r="H108" s="208">
        <f t="shared" si="5"/>
        <v>0</v>
      </c>
      <c r="I108" s="42">
        <f t="shared" si="6"/>
        <v>0</v>
      </c>
      <c r="J108" s="29"/>
    </row>
    <row r="109" spans="1:10" x14ac:dyDescent="0.25">
      <c r="A109" s="38">
        <f>Données!A109</f>
        <v>5584</v>
      </c>
      <c r="B109" s="167" t="str">
        <f>Données!B109</f>
        <v>Epalinges</v>
      </c>
      <c r="C109" s="321">
        <f>VPI!R109</f>
        <v>489766.22341085278</v>
      </c>
      <c r="D109" s="191">
        <f>Effort!I109-IF(PCS!I115&lt;0, Effort!D109, 0)</f>
        <v>11.788410836898976</v>
      </c>
      <c r="E109" s="448">
        <f>IF(PCS!I115&lt;0, 0, PCS!F115/Aide!C109)</f>
        <v>5.0199483395929088</v>
      </c>
      <c r="F109" s="448">
        <f>Effort!G109</f>
        <v>-8.9620556700840481</v>
      </c>
      <c r="G109" s="341">
        <f t="shared" si="4"/>
        <v>25.770414846575932</v>
      </c>
      <c r="H109" s="208">
        <f t="shared" si="5"/>
        <v>0</v>
      </c>
      <c r="I109" s="42">
        <f t="shared" si="6"/>
        <v>0</v>
      </c>
      <c r="J109" s="29"/>
    </row>
    <row r="110" spans="1:10" x14ac:dyDescent="0.25">
      <c r="A110" s="38">
        <f>Données!A110</f>
        <v>5585</v>
      </c>
      <c r="B110" s="167" t="str">
        <f>Données!B110</f>
        <v>Jouxtens-Mézery</v>
      </c>
      <c r="C110" s="321">
        <f>VPI!R110</f>
        <v>252946.52254237281</v>
      </c>
      <c r="D110" s="191">
        <f>Effort!I110-IF(PCS!I116&lt;0, Effort!D110, 0)</f>
        <v>48.898414962897938</v>
      </c>
      <c r="E110" s="448">
        <f>IF(PCS!I116&lt;0, 0, PCS!F116/Aide!C110)</f>
        <v>1.4544094194391333</v>
      </c>
      <c r="F110" s="448">
        <f>Effort!G110</f>
        <v>0</v>
      </c>
      <c r="G110" s="341">
        <f t="shared" si="4"/>
        <v>50.352824382337069</v>
      </c>
      <c r="H110" s="208">
        <f t="shared" si="5"/>
        <v>0</v>
      </c>
      <c r="I110" s="42">
        <f t="shared" si="6"/>
        <v>0</v>
      </c>
      <c r="J110" s="29"/>
    </row>
    <row r="111" spans="1:10" x14ac:dyDescent="0.25">
      <c r="A111" s="38">
        <f>Données!A111</f>
        <v>5586</v>
      </c>
      <c r="B111" s="167" t="str">
        <f>Données!B111</f>
        <v>Lausanne</v>
      </c>
      <c r="C111" s="321">
        <f>VPI!R111</f>
        <v>6671978.8432696378</v>
      </c>
      <c r="D111" s="191">
        <f>Effort!I111-IF(PCS!I117&lt;0, Effort!D111, 0)</f>
        <v>0.72284884341478417</v>
      </c>
      <c r="E111" s="448">
        <f>IF(PCS!I117&lt;0, 0, PCS!F117/Aide!C111)</f>
        <v>3.4778285678179341</v>
      </c>
      <c r="F111" s="448">
        <f>Effort!G111</f>
        <v>-7.2987316932974515</v>
      </c>
      <c r="G111" s="341">
        <f t="shared" si="4"/>
        <v>11.499409104530169</v>
      </c>
      <c r="H111" s="208">
        <f t="shared" si="5"/>
        <v>0</v>
      </c>
      <c r="I111" s="42">
        <f t="shared" si="6"/>
        <v>0</v>
      </c>
      <c r="J111" s="29"/>
    </row>
    <row r="112" spans="1:10" x14ac:dyDescent="0.25">
      <c r="A112" s="38">
        <f>Données!A112</f>
        <v>5587</v>
      </c>
      <c r="B112" s="167" t="str">
        <f>Données!B112</f>
        <v>Le Mont-sur-Lausanne</v>
      </c>
      <c r="C112" s="321">
        <f>VPI!R112</f>
        <v>484050.33068027202</v>
      </c>
      <c r="D112" s="191">
        <f>Effort!I112-IF(PCS!I118&lt;0, Effort!D112, 0)</f>
        <v>17.293519212302837</v>
      </c>
      <c r="E112" s="448">
        <f>IF(PCS!I118&lt;0, 0, PCS!F118/Aide!C112)</f>
        <v>4.8506099287242828</v>
      </c>
      <c r="F112" s="448">
        <f>Effort!G112</f>
        <v>-4.9495695262749111</v>
      </c>
      <c r="G112" s="341">
        <f t="shared" si="4"/>
        <v>27.093698667302029</v>
      </c>
      <c r="H112" s="208">
        <f t="shared" si="5"/>
        <v>0</v>
      </c>
      <c r="I112" s="42">
        <f t="shared" si="6"/>
        <v>0</v>
      </c>
      <c r="J112" s="29"/>
    </row>
    <row r="113" spans="1:10" x14ac:dyDescent="0.25">
      <c r="A113" s="38">
        <f>Données!A113</f>
        <v>5588</v>
      </c>
      <c r="B113" s="167" t="str">
        <f>Données!B113</f>
        <v>Paudex</v>
      </c>
      <c r="C113" s="321">
        <f>VPI!R113</f>
        <v>137556.51114930178</v>
      </c>
      <c r="D113" s="191">
        <f>Effort!I113-IF(PCS!I119&lt;0, Effort!D113, 0)</f>
        <v>37.922897705806207</v>
      </c>
      <c r="E113" s="448">
        <f>IF(PCS!I119&lt;0, 0, PCS!F119/Aide!C113)</f>
        <v>2.137278363224119</v>
      </c>
      <c r="F113" s="448">
        <f>Effort!G113</f>
        <v>0</v>
      </c>
      <c r="G113" s="341">
        <f t="shared" si="4"/>
        <v>40.060176069030327</v>
      </c>
      <c r="H113" s="208">
        <f t="shared" si="5"/>
        <v>0</v>
      </c>
      <c r="I113" s="42">
        <f t="shared" si="6"/>
        <v>0</v>
      </c>
      <c r="J113" s="29"/>
    </row>
    <row r="114" spans="1:10" x14ac:dyDescent="0.25">
      <c r="A114" s="38">
        <f>Données!A114</f>
        <v>5589</v>
      </c>
      <c r="B114" s="167" t="str">
        <f>Données!B114</f>
        <v>Prilly</v>
      </c>
      <c r="C114" s="321">
        <f>VPI!R114</f>
        <v>404219.10002122016</v>
      </c>
      <c r="D114" s="191">
        <f>Effort!I114-IF(PCS!I120&lt;0, Effort!D114, 0)</f>
        <v>-5.7701416068976954</v>
      </c>
      <c r="E114" s="448">
        <f>IF(PCS!I120&lt;0, 0, PCS!F120/Aide!C114)</f>
        <v>4.3156846989873081</v>
      </c>
      <c r="F114" s="448">
        <f>Effort!G114</f>
        <v>-8.4114503735577735</v>
      </c>
      <c r="G114" s="341">
        <f t="shared" si="4"/>
        <v>6.9569934656473862</v>
      </c>
      <c r="H114" s="208">
        <f t="shared" si="5"/>
        <v>0</v>
      </c>
      <c r="I114" s="42">
        <f t="shared" si="6"/>
        <v>0</v>
      </c>
      <c r="J114" s="29"/>
    </row>
    <row r="115" spans="1:10" x14ac:dyDescent="0.25">
      <c r="A115" s="38">
        <f>Données!A115</f>
        <v>5590</v>
      </c>
      <c r="B115" s="167" t="str">
        <f>Données!B115</f>
        <v>Pully</v>
      </c>
      <c r="C115" s="321">
        <f>VPI!R115</f>
        <v>1396472.1616393442</v>
      </c>
      <c r="D115" s="191">
        <f>Effort!I115-IF(PCS!I121&lt;0, Effort!D115, 0)</f>
        <v>22.732722852837103</v>
      </c>
      <c r="E115" s="448">
        <f>IF(PCS!I121&lt;0, 0, PCS!F121/Aide!C115)</f>
        <v>3.1831512199868848</v>
      </c>
      <c r="F115" s="448">
        <f>Effort!G115</f>
        <v>-3.1976108459777315</v>
      </c>
      <c r="G115" s="341">
        <f t="shared" si="4"/>
        <v>29.113484918801721</v>
      </c>
      <c r="H115" s="208">
        <f t="shared" si="5"/>
        <v>0</v>
      </c>
      <c r="I115" s="42">
        <f t="shared" si="6"/>
        <v>0</v>
      </c>
      <c r="J115" s="29"/>
    </row>
    <row r="116" spans="1:10" x14ac:dyDescent="0.25">
      <c r="A116" s="38">
        <f>Données!A116</f>
        <v>5591</v>
      </c>
      <c r="B116" s="167" t="str">
        <f>Données!B116</f>
        <v>Renens</v>
      </c>
      <c r="C116" s="321">
        <f>VPI!R116</f>
        <v>592907.73419294995</v>
      </c>
      <c r="D116" s="191">
        <f>Effort!I116-IF(PCS!I122&lt;0, Effort!D116, 0)</f>
        <v>-27.241125902345917</v>
      </c>
      <c r="E116" s="448">
        <f>IF(PCS!I122&lt;0, 0, PCS!F122/Aide!C116)</f>
        <v>4.9722547961241537</v>
      </c>
      <c r="F116" s="448">
        <f>Effort!G116</f>
        <v>-12.610356407341335</v>
      </c>
      <c r="G116" s="341">
        <f t="shared" si="4"/>
        <v>-9.6585146988804276</v>
      </c>
      <c r="H116" s="208">
        <f t="shared" si="5"/>
        <v>-1.6585146988804276</v>
      </c>
      <c r="I116" s="42">
        <f t="shared" si="6"/>
        <v>983346.19223889697</v>
      </c>
      <c r="J116" s="29"/>
    </row>
    <row r="117" spans="1:10" x14ac:dyDescent="0.25">
      <c r="A117" s="38">
        <f>Données!A117</f>
        <v>5592</v>
      </c>
      <c r="B117" s="167" t="str">
        <f>Données!B117</f>
        <v>Romanel-sur-Lausanne</v>
      </c>
      <c r="C117" s="321">
        <f>VPI!R117</f>
        <v>113604.64354609928</v>
      </c>
      <c r="D117" s="191">
        <f>Effort!I117-IF(PCS!I123&lt;0, Effort!D117, 0)</f>
        <v>4.4455750952143198</v>
      </c>
      <c r="E117" s="448">
        <f>IF(PCS!I123&lt;0, 0, PCS!F123/Aide!C117)</f>
        <v>6.901150521033605</v>
      </c>
      <c r="F117" s="448">
        <f>Effort!G117</f>
        <v>-2.8840272588897542</v>
      </c>
      <c r="G117" s="341">
        <f t="shared" si="4"/>
        <v>14.230752875137679</v>
      </c>
      <c r="H117" s="208">
        <f t="shared" si="5"/>
        <v>0</v>
      </c>
      <c r="I117" s="42">
        <f t="shared" si="6"/>
        <v>0</v>
      </c>
      <c r="J117" s="29"/>
    </row>
    <row r="118" spans="1:10" x14ac:dyDescent="0.25">
      <c r="A118" s="38">
        <f>Données!A118</f>
        <v>5601</v>
      </c>
      <c r="B118" s="167" t="str">
        <f>Données!B118</f>
        <v>Chexbres</v>
      </c>
      <c r="C118" s="321">
        <f>VPI!R118</f>
        <v>106015.29511111112</v>
      </c>
      <c r="D118" s="191">
        <f>Effort!I118-IF(PCS!I124&lt;0, Effort!D118, 0)</f>
        <v>21.984759257718338</v>
      </c>
      <c r="E118" s="448">
        <f>IF(PCS!I124&lt;0, 0, PCS!F124/Aide!C118)</f>
        <v>4.3364678136128401</v>
      </c>
      <c r="F118" s="448">
        <f>Effort!G118</f>
        <v>-3.3314695673220549</v>
      </c>
      <c r="G118" s="341">
        <f t="shared" si="4"/>
        <v>29.652696638653236</v>
      </c>
      <c r="H118" s="208">
        <f t="shared" si="5"/>
        <v>0</v>
      </c>
      <c r="I118" s="42">
        <f t="shared" si="6"/>
        <v>0</v>
      </c>
      <c r="J118" s="29"/>
    </row>
    <row r="119" spans="1:10" x14ac:dyDescent="0.25">
      <c r="A119" s="38">
        <f>Données!A119</f>
        <v>5604</v>
      </c>
      <c r="B119" s="167" t="str">
        <f>Données!B119</f>
        <v>Forel (Lavaux)</v>
      </c>
      <c r="C119" s="321">
        <f>VPI!R119</f>
        <v>70961.315942029003</v>
      </c>
      <c r="D119" s="191">
        <f>Effort!I119-IF(PCS!I125&lt;0, Effort!D119, 0)</f>
        <v>9.7521570088381804</v>
      </c>
      <c r="E119" s="448">
        <f>IF(PCS!I125&lt;0, 0, PCS!F125/Aide!C119)</f>
        <v>3.2189069772409975</v>
      </c>
      <c r="F119" s="448">
        <f>Effort!G119</f>
        <v>-5.9359576665040654</v>
      </c>
      <c r="G119" s="341">
        <f t="shared" si="4"/>
        <v>18.907021652583243</v>
      </c>
      <c r="H119" s="208">
        <f t="shared" si="5"/>
        <v>0</v>
      </c>
      <c r="I119" s="42">
        <f t="shared" si="6"/>
        <v>0</v>
      </c>
      <c r="J119" s="29"/>
    </row>
    <row r="120" spans="1:10" x14ac:dyDescent="0.25">
      <c r="A120" s="38">
        <f>Données!A120</f>
        <v>5606</v>
      </c>
      <c r="B120" s="167" t="str">
        <f>Données!B120</f>
        <v>Lutry</v>
      </c>
      <c r="C120" s="321">
        <f>VPI!R120</f>
        <v>1212171.2253174603</v>
      </c>
      <c r="D120" s="191">
        <f>Effort!I120-IF(PCS!I126&lt;0, Effort!D120, 0)</f>
        <v>36.791880078833266</v>
      </c>
      <c r="E120" s="448">
        <f>IF(PCS!I126&lt;0, 0, PCS!F126/Aide!C120)</f>
        <v>2.6603658564452726</v>
      </c>
      <c r="F120" s="448">
        <f>Effort!G120</f>
        <v>-0.64784857262188544</v>
      </c>
      <c r="G120" s="341">
        <f t="shared" si="4"/>
        <v>40.100094507900423</v>
      </c>
      <c r="H120" s="208">
        <f t="shared" si="5"/>
        <v>0</v>
      </c>
      <c r="I120" s="42">
        <f t="shared" si="6"/>
        <v>0</v>
      </c>
      <c r="J120" s="29"/>
    </row>
    <row r="121" spans="1:10" x14ac:dyDescent="0.25">
      <c r="A121" s="38">
        <f>Données!A121</f>
        <v>5607</v>
      </c>
      <c r="B121" s="167" t="str">
        <f>Données!B121</f>
        <v>Puidoux</v>
      </c>
      <c r="C121" s="321">
        <f>VPI!R121</f>
        <v>117496.04099650904</v>
      </c>
      <c r="D121" s="191">
        <f>Effort!I121-IF(PCS!I127&lt;0, Effort!D121, 0)</f>
        <v>10.117722694094596</v>
      </c>
      <c r="E121" s="448">
        <f>IF(PCS!I127&lt;0, 0, PCS!F127/Aide!C121)</f>
        <v>5.7616186831360006</v>
      </c>
      <c r="F121" s="448">
        <f>Effort!G121</f>
        <v>-9.0522667402261412</v>
      </c>
      <c r="G121" s="341">
        <f t="shared" si="4"/>
        <v>24.931608117456737</v>
      </c>
      <c r="H121" s="208">
        <f t="shared" si="5"/>
        <v>0</v>
      </c>
      <c r="I121" s="42">
        <f t="shared" si="6"/>
        <v>0</v>
      </c>
      <c r="J121" s="29"/>
    </row>
    <row r="122" spans="1:10" x14ac:dyDescent="0.25">
      <c r="A122" s="38">
        <f>Données!A122</f>
        <v>5609</v>
      </c>
      <c r="B122" s="167" t="str">
        <f>Données!B122</f>
        <v>Rivaz</v>
      </c>
      <c r="C122" s="321">
        <f>VPI!R122</f>
        <v>14930.201612903227</v>
      </c>
      <c r="D122" s="191">
        <f>Effort!I122-IF(PCS!I128&lt;0, Effort!D122, 0)</f>
        <v>21.6929825257087</v>
      </c>
      <c r="E122" s="448">
        <f>IF(PCS!I128&lt;0, 0, PCS!F128/Aide!C122)</f>
        <v>4.7278112399363694</v>
      </c>
      <c r="F122" s="448">
        <f>Effort!G122</f>
        <v>-5.0181096716171201</v>
      </c>
      <c r="G122" s="341">
        <f t="shared" si="4"/>
        <v>31.438903437262191</v>
      </c>
      <c r="H122" s="208">
        <f t="shared" si="5"/>
        <v>0</v>
      </c>
      <c r="I122" s="42">
        <f t="shared" si="6"/>
        <v>0</v>
      </c>
      <c r="J122" s="29"/>
    </row>
    <row r="123" spans="1:10" x14ac:dyDescent="0.25">
      <c r="A123" s="38">
        <f>Données!A123</f>
        <v>5610</v>
      </c>
      <c r="B123" s="167" t="str">
        <f>Données!B123</f>
        <v>St-Saphorin (Lavaux)</v>
      </c>
      <c r="C123" s="321">
        <f>VPI!R123</f>
        <v>21326.679629629627</v>
      </c>
      <c r="D123" s="191">
        <f>Effort!I123-IF(PCS!I129&lt;0, Effort!D123, 0)</f>
        <v>29.258208620406361</v>
      </c>
      <c r="E123" s="448">
        <f>IF(PCS!I129&lt;0, 0, PCS!F129/Aide!C123)</f>
        <v>1.7586270179579451</v>
      </c>
      <c r="F123" s="448">
        <f>Effort!G123</f>
        <v>-0.3290794602865294</v>
      </c>
      <c r="G123" s="341">
        <f t="shared" si="4"/>
        <v>31.345915098650835</v>
      </c>
      <c r="H123" s="208">
        <f t="shared" si="5"/>
        <v>0</v>
      </c>
      <c r="I123" s="42">
        <f t="shared" si="6"/>
        <v>0</v>
      </c>
      <c r="J123" s="29"/>
    </row>
    <row r="124" spans="1:10" x14ac:dyDescent="0.25">
      <c r="A124" s="38">
        <f>Données!A124</f>
        <v>5611</v>
      </c>
      <c r="B124" s="167" t="str">
        <f>Données!B124</f>
        <v>Savigny</v>
      </c>
      <c r="C124" s="321">
        <f>VPI!R124</f>
        <v>139629.67036231884</v>
      </c>
      <c r="D124" s="191">
        <f>Effort!I124-IF(PCS!I130&lt;0, Effort!D124, 0)</f>
        <v>14.131270635745185</v>
      </c>
      <c r="E124" s="448">
        <f>IF(PCS!I130&lt;0, 0, PCS!F130/Aide!C124)</f>
        <v>3.2679427575526234</v>
      </c>
      <c r="F124" s="448">
        <f>Effort!G124</f>
        <v>-5.420969811516188</v>
      </c>
      <c r="G124" s="341">
        <f t="shared" si="4"/>
        <v>22.820183204813997</v>
      </c>
      <c r="H124" s="208">
        <f t="shared" si="5"/>
        <v>0</v>
      </c>
      <c r="I124" s="42">
        <f t="shared" si="6"/>
        <v>0</v>
      </c>
      <c r="J124" s="29"/>
    </row>
    <row r="125" spans="1:10" x14ac:dyDescent="0.25">
      <c r="A125" s="38">
        <f>Données!A125</f>
        <v>5613</v>
      </c>
      <c r="B125" s="167" t="str">
        <f>Données!B125</f>
        <v>Bourg-en-Lavaux</v>
      </c>
      <c r="C125" s="321">
        <f>VPI!R125</f>
        <v>367206.35685333336</v>
      </c>
      <c r="D125" s="191">
        <f>Effort!I125-IF(PCS!I131&lt;0, Effort!D125, 0)</f>
        <v>29.513141729454865</v>
      </c>
      <c r="E125" s="448">
        <f>IF(PCS!I131&lt;0, 0, PCS!F131/Aide!C125)</f>
        <v>4.7413587006485267</v>
      </c>
      <c r="F125" s="448">
        <f>Effort!G125</f>
        <v>0</v>
      </c>
      <c r="G125" s="341">
        <f t="shared" si="4"/>
        <v>34.254500430103391</v>
      </c>
      <c r="H125" s="208">
        <f t="shared" si="5"/>
        <v>0</v>
      </c>
      <c r="I125" s="42">
        <f t="shared" si="6"/>
        <v>0</v>
      </c>
      <c r="J125" s="29"/>
    </row>
    <row r="126" spans="1:10" x14ac:dyDescent="0.25">
      <c r="A126" s="38">
        <f>Données!A126</f>
        <v>5621</v>
      </c>
      <c r="B126" s="167" t="str">
        <f>Données!B126</f>
        <v>Aclens</v>
      </c>
      <c r="C126" s="321">
        <f>VPI!R126</f>
        <v>39203.094076246336</v>
      </c>
      <c r="D126" s="191">
        <f>Effort!I126-IF(PCS!I132&lt;0, Effort!D126, 0)</f>
        <v>33.879483037069917</v>
      </c>
      <c r="E126" s="448">
        <f>IF(PCS!I132&lt;0, 0, PCS!F132/Aide!C126)</f>
        <v>4.3616984584797436</v>
      </c>
      <c r="F126" s="448">
        <f>Effort!G126</f>
        <v>0</v>
      </c>
      <c r="G126" s="341">
        <f t="shared" si="4"/>
        <v>38.241181495549661</v>
      </c>
      <c r="H126" s="208">
        <f t="shared" si="5"/>
        <v>0</v>
      </c>
      <c r="I126" s="42">
        <f t="shared" si="6"/>
        <v>0</v>
      </c>
      <c r="J126" s="29"/>
    </row>
    <row r="127" spans="1:10" x14ac:dyDescent="0.25">
      <c r="A127" s="38">
        <f>Données!A127</f>
        <v>5622</v>
      </c>
      <c r="B127" s="167" t="str">
        <f>Données!B127</f>
        <v>Bremblens</v>
      </c>
      <c r="C127" s="321">
        <f>VPI!R127</f>
        <v>30852.761617647058</v>
      </c>
      <c r="D127" s="191">
        <f>Effort!I127-IF(PCS!I133&lt;0, Effort!D127, 0)</f>
        <v>28.944995059568772</v>
      </c>
      <c r="E127" s="448">
        <f>IF(PCS!I133&lt;0, 0, PCS!F133/Aide!C127)</f>
        <v>5.1199591776461206</v>
      </c>
      <c r="F127" s="448">
        <f>Effort!G127</f>
        <v>0</v>
      </c>
      <c r="G127" s="341">
        <f t="shared" si="4"/>
        <v>34.064954237214891</v>
      </c>
      <c r="H127" s="208">
        <f t="shared" si="5"/>
        <v>0</v>
      </c>
      <c r="I127" s="42">
        <f t="shared" si="6"/>
        <v>0</v>
      </c>
      <c r="J127" s="29"/>
    </row>
    <row r="128" spans="1:10" x14ac:dyDescent="0.25">
      <c r="A128" s="38">
        <f>Données!A128</f>
        <v>5623</v>
      </c>
      <c r="B128" s="167" t="str">
        <f>Données!B128</f>
        <v>Buchillon</v>
      </c>
      <c r="C128" s="321">
        <f>VPI!R128</f>
        <v>88403.083461538452</v>
      </c>
      <c r="D128" s="191">
        <f>Effort!I128-IF(PCS!I134&lt;0, Effort!D128, 0)</f>
        <v>42.999440297900207</v>
      </c>
      <c r="E128" s="448">
        <f>IF(PCS!I134&lt;0, 0, PCS!F134/Aide!C128)</f>
        <v>1.0250027651967952</v>
      </c>
      <c r="F128" s="448">
        <f>Effort!G128</f>
        <v>0</v>
      </c>
      <c r="G128" s="341">
        <f t="shared" si="4"/>
        <v>44.024443063097003</v>
      </c>
      <c r="H128" s="208">
        <f t="shared" si="5"/>
        <v>0</v>
      </c>
      <c r="I128" s="42">
        <f t="shared" si="6"/>
        <v>0</v>
      </c>
      <c r="J128" s="29"/>
    </row>
    <row r="129" spans="1:10" x14ac:dyDescent="0.25">
      <c r="A129" s="38">
        <f>Données!A129</f>
        <v>5624</v>
      </c>
      <c r="B129" s="167" t="str">
        <f>Données!B129</f>
        <v>Bussigny</v>
      </c>
      <c r="C129" s="321">
        <f>VPI!R129</f>
        <v>522420.75055999996</v>
      </c>
      <c r="D129" s="191">
        <f>Effort!I129-IF(PCS!I135&lt;0, Effort!D129, 0)</f>
        <v>16.956732881527259</v>
      </c>
      <c r="E129" s="448">
        <f>IF(PCS!I135&lt;0, 0, PCS!F135/Aide!C129)</f>
        <v>2.9389386779797593</v>
      </c>
      <c r="F129" s="448">
        <f>Effort!G129</f>
        <v>-3.5815328490193821</v>
      </c>
      <c r="G129" s="341">
        <f t="shared" si="4"/>
        <v>23.477204408526401</v>
      </c>
      <c r="H129" s="208">
        <f t="shared" si="5"/>
        <v>0</v>
      </c>
      <c r="I129" s="42">
        <f t="shared" si="6"/>
        <v>0</v>
      </c>
      <c r="J129" s="29"/>
    </row>
    <row r="130" spans="1:10" x14ac:dyDescent="0.25">
      <c r="A130" s="38">
        <f>Données!A130</f>
        <v>5627</v>
      </c>
      <c r="B130" s="167" t="str">
        <f>Données!B130</f>
        <v>Chavannes-près-Renens</v>
      </c>
      <c r="C130" s="321">
        <f>VPI!R130</f>
        <v>188690.75535483871</v>
      </c>
      <c r="D130" s="191">
        <f>Effort!I130-IF(PCS!I136&lt;0, Effort!D130, 0)</f>
        <v>-33.53395634669306</v>
      </c>
      <c r="E130" s="448">
        <f>IF(PCS!I136&lt;0, 0, PCS!F136/Aide!C130)</f>
        <v>5.2595362085106556</v>
      </c>
      <c r="F130" s="448">
        <f>Effort!G130</f>
        <v>-12.303345034075807</v>
      </c>
      <c r="G130" s="341">
        <f t="shared" si="4"/>
        <v>-15.971075104106596</v>
      </c>
      <c r="H130" s="208">
        <f t="shared" si="5"/>
        <v>-7.9710751041065961</v>
      </c>
      <c r="I130" s="42">
        <f t="shared" si="6"/>
        <v>1504068.1823840232</v>
      </c>
      <c r="J130" s="29"/>
    </row>
    <row r="131" spans="1:10" x14ac:dyDescent="0.25">
      <c r="A131" s="38">
        <f>Données!A131</f>
        <v>5628</v>
      </c>
      <c r="B131" s="167" t="str">
        <f>Données!B131</f>
        <v>Chigny</v>
      </c>
      <c r="C131" s="321">
        <f>VPI!R131</f>
        <v>27627.379193548386</v>
      </c>
      <c r="D131" s="191">
        <f>Effort!I131-IF(PCS!I137&lt;0, Effort!D131, 0)</f>
        <v>32.834550525635485</v>
      </c>
      <c r="E131" s="448">
        <f>IF(PCS!I137&lt;0, 0, PCS!F137/Aide!C131)</f>
        <v>3.5785077298641177</v>
      </c>
      <c r="F131" s="448">
        <f>Effort!G131</f>
        <v>0</v>
      </c>
      <c r="G131" s="341">
        <f t="shared" si="4"/>
        <v>36.413058255499607</v>
      </c>
      <c r="H131" s="208">
        <f t="shared" si="5"/>
        <v>0</v>
      </c>
      <c r="I131" s="42">
        <f t="shared" si="6"/>
        <v>0</v>
      </c>
      <c r="J131" s="29"/>
    </row>
    <row r="132" spans="1:10" x14ac:dyDescent="0.25">
      <c r="A132" s="38">
        <f>Données!A132</f>
        <v>5629</v>
      </c>
      <c r="B132" s="167" t="str">
        <f>Données!B132</f>
        <v>Clarmont</v>
      </c>
      <c r="C132" s="321">
        <f>VPI!R132</f>
        <v>9964.7430555555547</v>
      </c>
      <c r="D132" s="191">
        <f>Effort!I132-IF(PCS!I138&lt;0, Effort!D132, 0)</f>
        <v>21.929294608666375</v>
      </c>
      <c r="E132" s="448">
        <f>IF(PCS!I138&lt;0, 0, PCS!F138/Aide!C132)</f>
        <v>1.6122583302379292</v>
      </c>
      <c r="F132" s="448">
        <f>Effort!G132</f>
        <v>-5.341210643358564</v>
      </c>
      <c r="G132" s="341">
        <f t="shared" si="4"/>
        <v>28.882763582262868</v>
      </c>
      <c r="H132" s="208">
        <f t="shared" si="5"/>
        <v>0</v>
      </c>
      <c r="I132" s="42">
        <f t="shared" si="6"/>
        <v>0</v>
      </c>
      <c r="J132" s="29"/>
    </row>
    <row r="133" spans="1:10" x14ac:dyDescent="0.25">
      <c r="A133" s="38">
        <f>Données!A133</f>
        <v>5631</v>
      </c>
      <c r="B133" s="167" t="str">
        <f>Données!B133</f>
        <v>Denens</v>
      </c>
      <c r="C133" s="321">
        <f>VPI!R133</f>
        <v>41694.310588235297</v>
      </c>
      <c r="D133" s="191">
        <f>Effort!I133-IF(PCS!I139&lt;0, Effort!D133, 0)</f>
        <v>30.876343488098705</v>
      </c>
      <c r="E133" s="448">
        <f>IF(PCS!I139&lt;0, 0, PCS!F139/Aide!C133)</f>
        <v>3.3503495567909902</v>
      </c>
      <c r="F133" s="448">
        <f>Effort!G133</f>
        <v>0</v>
      </c>
      <c r="G133" s="341">
        <f t="shared" si="4"/>
        <v>34.226693044889693</v>
      </c>
      <c r="H133" s="208">
        <f t="shared" si="5"/>
        <v>0</v>
      </c>
      <c r="I133" s="42">
        <f t="shared" si="6"/>
        <v>0</v>
      </c>
      <c r="J133" s="29"/>
    </row>
    <row r="134" spans="1:10" x14ac:dyDescent="0.25">
      <c r="A134" s="38">
        <f>Données!A134</f>
        <v>5632</v>
      </c>
      <c r="B134" s="167" t="str">
        <f>Données!B134</f>
        <v>Denges</v>
      </c>
      <c r="C134" s="321">
        <f>VPI!R134</f>
        <v>81642.531612903229</v>
      </c>
      <c r="D134" s="191">
        <f>Effort!I134-IF(PCS!I140&lt;0, Effort!D134, 0)</f>
        <v>22.774049972901459</v>
      </c>
      <c r="E134" s="448">
        <f>IF(PCS!I140&lt;0, 0, PCS!F140/Aide!C134)</f>
        <v>4.1572393493290223</v>
      </c>
      <c r="F134" s="448">
        <f>Effort!G134</f>
        <v>-2.1248919759754568</v>
      </c>
      <c r="G134" s="341">
        <f t="shared" si="4"/>
        <v>29.056181298205935</v>
      </c>
      <c r="H134" s="208">
        <f t="shared" si="5"/>
        <v>0</v>
      </c>
      <c r="I134" s="42">
        <f t="shared" si="6"/>
        <v>0</v>
      </c>
      <c r="J134" s="29"/>
    </row>
    <row r="135" spans="1:10" x14ac:dyDescent="0.25">
      <c r="A135" s="38">
        <f>Données!A135</f>
        <v>5633</v>
      </c>
      <c r="B135" s="167" t="str">
        <f>Données!B135</f>
        <v>Echandens</v>
      </c>
      <c r="C135" s="321">
        <f>VPI!R135</f>
        <v>149835.3479338843</v>
      </c>
      <c r="D135" s="191">
        <f>Effort!I135-IF(PCS!I141&lt;0, Effort!D135, 0)</f>
        <v>20.499983914500969</v>
      </c>
      <c r="E135" s="448">
        <f>IF(PCS!I141&lt;0, 0, PCS!F141/Aide!C135)</f>
        <v>3.7071735919424191</v>
      </c>
      <c r="F135" s="448">
        <f>Effort!G135</f>
        <v>-5.6393562937468147</v>
      </c>
      <c r="G135" s="341">
        <f t="shared" ref="G135:G198" si="7">D135+E135-F135</f>
        <v>29.846513800190202</v>
      </c>
      <c r="H135" s="208">
        <f t="shared" ref="H135:H198" si="8">IF(G135&lt;H$5,G135-H$5,0)</f>
        <v>0</v>
      </c>
      <c r="I135" s="42">
        <f t="shared" ref="I135:I198" si="9">-H135*C135</f>
        <v>0</v>
      </c>
      <c r="J135" s="29"/>
    </row>
    <row r="136" spans="1:10" x14ac:dyDescent="0.25">
      <c r="A136" s="38">
        <f>Données!A136</f>
        <v>5634</v>
      </c>
      <c r="B136" s="167" t="str">
        <f>Données!B136</f>
        <v>Echichens</v>
      </c>
      <c r="C136" s="321">
        <f>VPI!R136</f>
        <v>183137.63424242428</v>
      </c>
      <c r="D136" s="191">
        <f>Effort!I136-IF(PCS!I142&lt;0, Effort!D136, 0)</f>
        <v>27.165945113604728</v>
      </c>
      <c r="E136" s="448">
        <f>IF(PCS!I142&lt;0, 0, PCS!F142/Aide!C136)</f>
        <v>5.0276587540776765</v>
      </c>
      <c r="F136" s="448">
        <f>Effort!G136</f>
        <v>-0.34757025670209801</v>
      </c>
      <c r="G136" s="341">
        <f t="shared" si="7"/>
        <v>32.541174124384504</v>
      </c>
      <c r="H136" s="208">
        <f t="shared" si="8"/>
        <v>0</v>
      </c>
      <c r="I136" s="42">
        <f t="shared" si="9"/>
        <v>0</v>
      </c>
      <c r="J136" s="29"/>
    </row>
    <row r="137" spans="1:10" x14ac:dyDescent="0.25">
      <c r="A137" s="38">
        <f>Données!A137</f>
        <v>5635</v>
      </c>
      <c r="B137" s="167" t="str">
        <f>Données!B137</f>
        <v>Ecublens</v>
      </c>
      <c r="C137" s="321">
        <f>VPI!R137</f>
        <v>516165.47293333331</v>
      </c>
      <c r="D137" s="191">
        <f>Effort!I137-IF(PCS!I143&lt;0, Effort!D137, 0)</f>
        <v>4.1322899645565343</v>
      </c>
      <c r="E137" s="448">
        <f>IF(PCS!I143&lt;0, 0, PCS!F143/Aide!C137)</f>
        <v>4.4314729673819766</v>
      </c>
      <c r="F137" s="448">
        <f>Effort!G137</f>
        <v>-7.2019538449061091</v>
      </c>
      <c r="G137" s="341">
        <f t="shared" si="7"/>
        <v>15.76571677684462</v>
      </c>
      <c r="H137" s="208">
        <f t="shared" si="8"/>
        <v>0</v>
      </c>
      <c r="I137" s="42">
        <f t="shared" si="9"/>
        <v>0</v>
      </c>
      <c r="J137" s="29"/>
    </row>
    <row r="138" spans="1:10" x14ac:dyDescent="0.25">
      <c r="A138" s="38">
        <f>Données!A138</f>
        <v>5636</v>
      </c>
      <c r="B138" s="167" t="str">
        <f>Données!B138</f>
        <v>Etoy</v>
      </c>
      <c r="C138" s="321">
        <f>VPI!R138</f>
        <v>189458.35050000003</v>
      </c>
      <c r="D138" s="191">
        <f>Effort!I138-IF(PCS!I144&lt;0, Effort!D138, 0)</f>
        <v>29.967755684176353</v>
      </c>
      <c r="E138" s="448">
        <f>IF(PCS!I144&lt;0, 0, PCS!F144/Aide!C138)</f>
        <v>4.8801576576589047</v>
      </c>
      <c r="F138" s="448">
        <f>Effort!G138</f>
        <v>0</v>
      </c>
      <c r="G138" s="341">
        <f t="shared" si="7"/>
        <v>34.847913341835259</v>
      </c>
      <c r="H138" s="208">
        <f t="shared" si="8"/>
        <v>0</v>
      </c>
      <c r="I138" s="42">
        <f t="shared" si="9"/>
        <v>0</v>
      </c>
      <c r="J138" s="29"/>
    </row>
    <row r="139" spans="1:10" x14ac:dyDescent="0.25">
      <c r="A139" s="38">
        <f>Données!A139</f>
        <v>5637</v>
      </c>
      <c r="B139" s="167" t="str">
        <f>Données!B139</f>
        <v>Lavigny</v>
      </c>
      <c r="C139" s="321">
        <f>VPI!R139</f>
        <v>36293.809863013703</v>
      </c>
      <c r="D139" s="191">
        <f>Effort!I139-IF(PCS!I145&lt;0, Effort!D139, 0)</f>
        <v>11.149651533828468</v>
      </c>
      <c r="E139" s="448">
        <f>IF(PCS!I145&lt;0, 0, PCS!F145/Aide!C139)</f>
        <v>5.3163808299065689</v>
      </c>
      <c r="F139" s="448">
        <f>Effort!G139</f>
        <v>-7.466304635548024</v>
      </c>
      <c r="G139" s="341">
        <f t="shared" si="7"/>
        <v>23.932336999283063</v>
      </c>
      <c r="H139" s="208">
        <f t="shared" si="8"/>
        <v>0</v>
      </c>
      <c r="I139" s="42">
        <f t="shared" si="9"/>
        <v>0</v>
      </c>
      <c r="J139" s="29"/>
    </row>
    <row r="140" spans="1:10" x14ac:dyDescent="0.25">
      <c r="A140" s="38">
        <f>Données!A140</f>
        <v>5638</v>
      </c>
      <c r="B140" s="167" t="str">
        <f>Données!B140</f>
        <v>Lonay</v>
      </c>
      <c r="C140" s="321">
        <f>VPI!R140</f>
        <v>153893.84090909091</v>
      </c>
      <c r="D140" s="191">
        <f>Effort!I140-IF(PCS!I146&lt;0, Effort!D140, 0)</f>
        <v>24.541801316962133</v>
      </c>
      <c r="E140" s="448">
        <f>IF(PCS!I146&lt;0, 0, PCS!F146/Aide!C140)</f>
        <v>20.451913386574482</v>
      </c>
      <c r="F140" s="448">
        <f>Effort!G140</f>
        <v>-3.195943071146004</v>
      </c>
      <c r="G140" s="341">
        <f t="shared" si="7"/>
        <v>48.189657774682615</v>
      </c>
      <c r="H140" s="208">
        <f t="shared" si="8"/>
        <v>0</v>
      </c>
      <c r="I140" s="42">
        <f t="shared" si="9"/>
        <v>0</v>
      </c>
      <c r="J140" s="29"/>
    </row>
    <row r="141" spans="1:10" x14ac:dyDescent="0.25">
      <c r="A141" s="38">
        <f>Données!A141</f>
        <v>5639</v>
      </c>
      <c r="B141" s="167" t="str">
        <f>Données!B141</f>
        <v>Lully</v>
      </c>
      <c r="C141" s="321">
        <f>VPI!R141</f>
        <v>52242.173114754092</v>
      </c>
      <c r="D141" s="191">
        <f>Effort!I141-IF(PCS!I147&lt;0, Effort!D141, 0)</f>
        <v>32.097024251248634</v>
      </c>
      <c r="E141" s="448">
        <f>IF(PCS!I147&lt;0, 0, PCS!F147/Aide!C141)</f>
        <v>2.2399654919207665</v>
      </c>
      <c r="F141" s="448">
        <f>Effort!G141</f>
        <v>0</v>
      </c>
      <c r="G141" s="341">
        <f t="shared" si="7"/>
        <v>34.336989743169397</v>
      </c>
      <c r="H141" s="208">
        <f t="shared" si="8"/>
        <v>0</v>
      </c>
      <c r="I141" s="42">
        <f t="shared" si="9"/>
        <v>0</v>
      </c>
      <c r="J141" s="29"/>
    </row>
    <row r="142" spans="1:10" x14ac:dyDescent="0.25">
      <c r="A142" s="38">
        <f>Données!A142</f>
        <v>5640</v>
      </c>
      <c r="B142" s="167" t="str">
        <f>Données!B142</f>
        <v>Lussy-sur-Morges</v>
      </c>
      <c r="C142" s="321">
        <f>VPI!R142</f>
        <v>57771.49271317829</v>
      </c>
      <c r="D142" s="191">
        <f>Effort!I142-IF(PCS!I148&lt;0, Effort!D142, 0)</f>
        <v>36.378430442182662</v>
      </c>
      <c r="E142" s="448">
        <f>IF(PCS!I148&lt;0, 0, PCS!F148/Aide!C142)</f>
        <v>37.167150166265316</v>
      </c>
      <c r="F142" s="448">
        <f>Effort!G142</f>
        <v>0</v>
      </c>
      <c r="G142" s="341">
        <f t="shared" si="7"/>
        <v>73.545580608447978</v>
      </c>
      <c r="H142" s="208">
        <f t="shared" si="8"/>
        <v>0</v>
      </c>
      <c r="I142" s="42">
        <f t="shared" si="9"/>
        <v>0</v>
      </c>
      <c r="J142" s="29"/>
    </row>
    <row r="143" spans="1:10" x14ac:dyDescent="0.25">
      <c r="A143" s="38">
        <f>Données!A143</f>
        <v>5642</v>
      </c>
      <c r="B143" s="167" t="str">
        <f>Données!B143</f>
        <v>Morges</v>
      </c>
      <c r="C143" s="321">
        <f>VPI!R143</f>
        <v>980547.23447761196</v>
      </c>
      <c r="D143" s="191">
        <f>Effort!I143-IF(PCS!I149&lt;0, Effort!D143, 0)</f>
        <v>18.146359001576016</v>
      </c>
      <c r="E143" s="448">
        <f>IF(PCS!I149&lt;0, 0, PCS!F149/Aide!C143)</f>
        <v>3.609760249730035</v>
      </c>
      <c r="F143" s="448">
        <f>Effort!G143</f>
        <v>-1.3315978539574782</v>
      </c>
      <c r="G143" s="341">
        <f t="shared" si="7"/>
        <v>23.087717105263529</v>
      </c>
      <c r="H143" s="208">
        <f t="shared" si="8"/>
        <v>0</v>
      </c>
      <c r="I143" s="42">
        <f t="shared" si="9"/>
        <v>0</v>
      </c>
      <c r="J143" s="29"/>
    </row>
    <row r="144" spans="1:10" x14ac:dyDescent="0.25">
      <c r="A144" s="38">
        <f>Données!A144</f>
        <v>5643</v>
      </c>
      <c r="B144" s="167" t="str">
        <f>Données!B144</f>
        <v>Préverenges</v>
      </c>
      <c r="C144" s="321">
        <f>VPI!R144</f>
        <v>252724.38943999997</v>
      </c>
      <c r="D144" s="191">
        <f>Effort!I144-IF(PCS!I150&lt;0, Effort!D144, 0)</f>
        <v>22.821921368269741</v>
      </c>
      <c r="E144" s="448">
        <f>IF(PCS!I150&lt;0, 0, PCS!F150/Aide!C144)</f>
        <v>2.4394070408719477</v>
      </c>
      <c r="F144" s="448">
        <f>Effort!G144</f>
        <v>0</v>
      </c>
      <c r="G144" s="341">
        <f t="shared" si="7"/>
        <v>25.26132840914169</v>
      </c>
      <c r="H144" s="208">
        <f t="shared" si="8"/>
        <v>0</v>
      </c>
      <c r="I144" s="42">
        <f t="shared" si="9"/>
        <v>0</v>
      </c>
      <c r="J144" s="29"/>
    </row>
    <row r="145" spans="1:10" x14ac:dyDescent="0.25">
      <c r="A145" s="38">
        <f>Données!A145</f>
        <v>5645</v>
      </c>
      <c r="B145" s="167" t="str">
        <f>Données!B145</f>
        <v>Romanel-sur-Morges</v>
      </c>
      <c r="C145" s="321">
        <f>VPI!R145</f>
        <v>23768.997321428575</v>
      </c>
      <c r="D145" s="191">
        <f>Effort!I145-IF(PCS!I151&lt;0, Effort!D145, 0)</f>
        <v>27.883222937850249</v>
      </c>
      <c r="E145" s="448">
        <f>IF(PCS!I151&lt;0, 0, PCS!F151/Aide!C145)</f>
        <v>2.5843366116508983</v>
      </c>
      <c r="F145" s="448">
        <f>Effort!G145</f>
        <v>-1.1461260104088911</v>
      </c>
      <c r="G145" s="341">
        <f t="shared" si="7"/>
        <v>31.613685559910039</v>
      </c>
      <c r="H145" s="208">
        <f t="shared" si="8"/>
        <v>0</v>
      </c>
      <c r="I145" s="42">
        <f t="shared" si="9"/>
        <v>0</v>
      </c>
      <c r="J145" s="29"/>
    </row>
    <row r="146" spans="1:10" x14ac:dyDescent="0.25">
      <c r="A146" s="38">
        <f>Données!A146</f>
        <v>5646</v>
      </c>
      <c r="B146" s="167" t="str">
        <f>Données!B146</f>
        <v>Saint-Prex</v>
      </c>
      <c r="C146" s="321">
        <f>VPI!R146</f>
        <v>515578.26330508466</v>
      </c>
      <c r="D146" s="191">
        <f>Effort!I146-IF(PCS!I152&lt;0, Effort!D146, 0)</f>
        <v>34.351540472212001</v>
      </c>
      <c r="E146" s="448">
        <f>IF(PCS!I152&lt;0, 0, PCS!F152/Aide!C146)</f>
        <v>4.6747888662904966</v>
      </c>
      <c r="F146" s="448">
        <f>Effort!G146</f>
        <v>0</v>
      </c>
      <c r="G146" s="341">
        <f t="shared" si="7"/>
        <v>39.026329338502499</v>
      </c>
      <c r="H146" s="208">
        <f t="shared" si="8"/>
        <v>0</v>
      </c>
      <c r="I146" s="42">
        <f t="shared" si="9"/>
        <v>0</v>
      </c>
      <c r="J146" s="29"/>
    </row>
    <row r="147" spans="1:10" x14ac:dyDescent="0.25">
      <c r="A147" s="38">
        <f>Données!A147</f>
        <v>5648</v>
      </c>
      <c r="B147" s="167" t="str">
        <f>Données!B147</f>
        <v>Saint-Sulpice</v>
      </c>
      <c r="C147" s="321">
        <f>VPI!R147</f>
        <v>417040.44568181824</v>
      </c>
      <c r="D147" s="191">
        <f>Effort!I147-IF(PCS!I153&lt;0, Effort!D147, 0)</f>
        <v>33.071586250898754</v>
      </c>
      <c r="E147" s="448">
        <f>IF(PCS!I153&lt;0, 0, PCS!F153/Aide!C147)</f>
        <v>2.1020677468507207</v>
      </c>
      <c r="F147" s="448">
        <f>Effort!G147</f>
        <v>-3.6748855535701668E-3</v>
      </c>
      <c r="G147" s="341">
        <f t="shared" si="7"/>
        <v>35.177328883303048</v>
      </c>
      <c r="H147" s="208">
        <f t="shared" si="8"/>
        <v>0</v>
      </c>
      <c r="I147" s="42">
        <f t="shared" si="9"/>
        <v>0</v>
      </c>
      <c r="J147" s="29"/>
    </row>
    <row r="148" spans="1:10" x14ac:dyDescent="0.25">
      <c r="A148" s="38">
        <f>Données!A148</f>
        <v>5649</v>
      </c>
      <c r="B148" s="167" t="str">
        <f>Données!B148</f>
        <v>Tolochenaz</v>
      </c>
      <c r="C148" s="321">
        <f>VPI!R148</f>
        <v>173464.05234375002</v>
      </c>
      <c r="D148" s="191">
        <f>Effort!I148-IF(PCS!I154&lt;0, Effort!D148, 0)</f>
        <v>37.892775478483763</v>
      </c>
      <c r="E148" s="448">
        <f>IF(PCS!I154&lt;0, 0, PCS!F154/Aide!C148)</f>
        <v>2.9099135710246014</v>
      </c>
      <c r="F148" s="448">
        <f>Effort!G148</f>
        <v>0</v>
      </c>
      <c r="G148" s="341">
        <f t="shared" si="7"/>
        <v>40.802689049508366</v>
      </c>
      <c r="H148" s="208">
        <f t="shared" si="8"/>
        <v>0</v>
      </c>
      <c r="I148" s="42">
        <f t="shared" si="9"/>
        <v>0</v>
      </c>
      <c r="J148" s="29"/>
    </row>
    <row r="149" spans="1:10" x14ac:dyDescent="0.25">
      <c r="A149" s="38">
        <f>Données!A149</f>
        <v>5650</v>
      </c>
      <c r="B149" s="167" t="str">
        <f>Données!B149</f>
        <v>Vaux-sur-Morges</v>
      </c>
      <c r="C149" s="321">
        <f>VPI!R149</f>
        <v>90407.863928571445</v>
      </c>
      <c r="D149" s="191">
        <f>Effort!I149-IF(PCS!I155&lt;0, Effort!D149, 0)</f>
        <v>58.724248986504705</v>
      </c>
      <c r="E149" s="448">
        <f>IF(PCS!I155&lt;0, 0, PCS!F155/Aide!C149)</f>
        <v>0.17993678086291945</v>
      </c>
      <c r="F149" s="448">
        <f>Effort!G149</f>
        <v>0</v>
      </c>
      <c r="G149" s="341">
        <f t="shared" si="7"/>
        <v>58.904185767367622</v>
      </c>
      <c r="H149" s="208">
        <f t="shared" si="8"/>
        <v>0</v>
      </c>
      <c r="I149" s="42">
        <f t="shared" si="9"/>
        <v>0</v>
      </c>
      <c r="J149" s="29"/>
    </row>
    <row r="150" spans="1:10" x14ac:dyDescent="0.25">
      <c r="A150" s="38">
        <f>Données!A150</f>
        <v>5651</v>
      </c>
      <c r="B150" s="167" t="str">
        <f>Données!B150</f>
        <v>Villars-Sainte-Croix</v>
      </c>
      <c r="C150" s="321">
        <f>VPI!R150</f>
        <v>56008.147272727285</v>
      </c>
      <c r="D150" s="191">
        <f>Effort!I150-IF(PCS!I156&lt;0, Effort!D150, 0)</f>
        <v>28.63946699598073</v>
      </c>
      <c r="E150" s="448">
        <f>IF(PCS!I156&lt;0, 0, PCS!F156/Aide!C150)</f>
        <v>3.7889904475261242</v>
      </c>
      <c r="F150" s="448">
        <f>Effort!G150</f>
        <v>-1.7422887761037087</v>
      </c>
      <c r="G150" s="341">
        <f t="shared" si="7"/>
        <v>34.170746219610557</v>
      </c>
      <c r="H150" s="208">
        <f t="shared" si="8"/>
        <v>0</v>
      </c>
      <c r="I150" s="42">
        <f t="shared" si="9"/>
        <v>0</v>
      </c>
      <c r="J150" s="29"/>
    </row>
    <row r="151" spans="1:10" x14ac:dyDescent="0.25">
      <c r="A151" s="38">
        <f>Données!A151</f>
        <v>5652</v>
      </c>
      <c r="B151" s="167" t="str">
        <f>Données!B151</f>
        <v>Villars-sous-Yens</v>
      </c>
      <c r="C151" s="321">
        <f>VPI!R151</f>
        <v>25957.212521929825</v>
      </c>
      <c r="D151" s="191">
        <f>Effort!I151-IF(PCS!I157&lt;0, Effort!D151, 0)</f>
        <v>17.012480597256022</v>
      </c>
      <c r="E151" s="448">
        <f>IF(PCS!I157&lt;0, 0, PCS!F157/Aide!C151)</f>
        <v>9.4640834331673442</v>
      </c>
      <c r="F151" s="448">
        <f>Effort!G151</f>
        <v>-7.2804995801749115</v>
      </c>
      <c r="G151" s="341">
        <f t="shared" si="7"/>
        <v>33.75706361059828</v>
      </c>
      <c r="H151" s="208">
        <f t="shared" si="8"/>
        <v>0</v>
      </c>
      <c r="I151" s="42">
        <f t="shared" si="9"/>
        <v>0</v>
      </c>
      <c r="J151" s="29"/>
    </row>
    <row r="152" spans="1:10" x14ac:dyDescent="0.25">
      <c r="A152" s="38">
        <f>Données!A152</f>
        <v>5653</v>
      </c>
      <c r="B152" s="167" t="str">
        <f>Données!B152</f>
        <v>Vufflens-le-Château</v>
      </c>
      <c r="C152" s="321">
        <f>VPI!R152</f>
        <v>71346.970598290602</v>
      </c>
      <c r="D152" s="191">
        <f>Effort!I152-IF(PCS!I158&lt;0, Effort!D152, 0)</f>
        <v>36.064957194244457</v>
      </c>
      <c r="E152" s="448">
        <f>IF(PCS!I158&lt;0, 0, PCS!F158/Aide!C152)</f>
        <v>2.542825553469914</v>
      </c>
      <c r="F152" s="448">
        <f>Effort!G152</f>
        <v>0</v>
      </c>
      <c r="G152" s="341">
        <f t="shared" si="7"/>
        <v>38.607782747714367</v>
      </c>
      <c r="H152" s="208">
        <f t="shared" si="8"/>
        <v>0</v>
      </c>
      <c r="I152" s="42">
        <f t="shared" si="9"/>
        <v>0</v>
      </c>
      <c r="J152" s="29"/>
    </row>
    <row r="153" spans="1:10" x14ac:dyDescent="0.25">
      <c r="A153" s="38">
        <f>Données!A153</f>
        <v>5654</v>
      </c>
      <c r="B153" s="167" t="str">
        <f>Données!B153</f>
        <v>Vullierens</v>
      </c>
      <c r="C153" s="321">
        <f>VPI!R153</f>
        <v>20741.31131578947</v>
      </c>
      <c r="D153" s="191">
        <f>Effort!I153-IF(PCS!I159&lt;0, Effort!D153, 0)</f>
        <v>17.894852276911809</v>
      </c>
      <c r="E153" s="448">
        <f>IF(PCS!I159&lt;0, 0, PCS!F159/Aide!C153)</f>
        <v>2.0032103740890466</v>
      </c>
      <c r="F153" s="448">
        <f>Effort!G153</f>
        <v>-2.1514494154134285</v>
      </c>
      <c r="G153" s="341">
        <f t="shared" si="7"/>
        <v>22.049512066414284</v>
      </c>
      <c r="H153" s="208">
        <f t="shared" si="8"/>
        <v>0</v>
      </c>
      <c r="I153" s="42">
        <f t="shared" si="9"/>
        <v>0</v>
      </c>
      <c r="J153" s="29"/>
    </row>
    <row r="154" spans="1:10" x14ac:dyDescent="0.25">
      <c r="A154" s="38">
        <f>Données!A154</f>
        <v>5655</v>
      </c>
      <c r="B154" s="167" t="str">
        <f>Données!B154</f>
        <v>Yens</v>
      </c>
      <c r="C154" s="321">
        <f>VPI!R154</f>
        <v>81488.710349650341</v>
      </c>
      <c r="D154" s="191">
        <f>Effort!I154-IF(PCS!I160&lt;0, Effort!D154, 0)</f>
        <v>28.348973782055907</v>
      </c>
      <c r="E154" s="448">
        <f>IF(PCS!I160&lt;0, 0, PCS!F160/Aide!C154)</f>
        <v>4.23446098876052</v>
      </c>
      <c r="F154" s="448">
        <f>Effort!G154</f>
        <v>0</v>
      </c>
      <c r="G154" s="341">
        <f t="shared" si="7"/>
        <v>32.583434770816424</v>
      </c>
      <c r="H154" s="208">
        <f t="shared" si="8"/>
        <v>0</v>
      </c>
      <c r="I154" s="42">
        <f t="shared" si="9"/>
        <v>0</v>
      </c>
      <c r="J154" s="29"/>
    </row>
    <row r="155" spans="1:10" x14ac:dyDescent="0.25">
      <c r="A155" s="38">
        <f>Données!A155</f>
        <v>5656</v>
      </c>
      <c r="B155" s="167" t="str">
        <f>Données!B155</f>
        <v>Hautemorges</v>
      </c>
      <c r="C155" s="321">
        <f>VPI!R155</f>
        <v>168934.99020689653</v>
      </c>
      <c r="D155" s="191">
        <f>Effort!I155-IF(PCS!I161&lt;0, Effort!D155, 0)</f>
        <v>11.41326783131283</v>
      </c>
      <c r="E155" s="448">
        <f>IF(PCS!I161&lt;0, 0, PCS!F161/Aide!C155)</f>
        <v>3.5944785284346055</v>
      </c>
      <c r="F155" s="448">
        <f>Effort!G155</f>
        <v>-5.8303467203399961</v>
      </c>
      <c r="G155" s="341">
        <f t="shared" si="7"/>
        <v>20.838093080087432</v>
      </c>
      <c r="H155" s="208">
        <f t="shared" si="8"/>
        <v>0</v>
      </c>
      <c r="I155" s="42">
        <f t="shared" si="9"/>
        <v>0</v>
      </c>
      <c r="J155" s="29"/>
    </row>
    <row r="156" spans="1:10" x14ac:dyDescent="0.25">
      <c r="A156" s="38">
        <f>Données!A156</f>
        <v>5661</v>
      </c>
      <c r="B156" s="167" t="str">
        <f>Données!B156</f>
        <v>Boulens</v>
      </c>
      <c r="C156" s="321">
        <f>VPI!R156</f>
        <v>11008.776923076925</v>
      </c>
      <c r="D156" s="191">
        <f>Effort!I156-IF(PCS!I162&lt;0, Effort!D156, 0)</f>
        <v>10.935567183436195</v>
      </c>
      <c r="E156" s="448">
        <f>IF(PCS!I162&lt;0, 0, PCS!F162/Aide!C156)</f>
        <v>1.2167641413389734</v>
      </c>
      <c r="F156" s="448">
        <f>Effort!G156</f>
        <v>-1.3285541047318179</v>
      </c>
      <c r="G156" s="341">
        <f t="shared" si="7"/>
        <v>13.480885429506987</v>
      </c>
      <c r="H156" s="208">
        <f t="shared" si="8"/>
        <v>0</v>
      </c>
      <c r="I156" s="42">
        <f t="shared" si="9"/>
        <v>0</v>
      </c>
      <c r="J156" s="29"/>
    </row>
    <row r="157" spans="1:10" x14ac:dyDescent="0.25">
      <c r="A157" s="38">
        <f>Données!A157</f>
        <v>5663</v>
      </c>
      <c r="B157" s="167" t="str">
        <f>Données!B157</f>
        <v>Bussy-sur-Moudon</v>
      </c>
      <c r="C157" s="321">
        <f>VPI!R157</f>
        <v>6460.7661146496821</v>
      </c>
      <c r="D157" s="191">
        <f>Effort!I157-IF(PCS!I163&lt;0, Effort!D157, 0)</f>
        <v>5.0377878607822915</v>
      </c>
      <c r="E157" s="448">
        <f>IF(PCS!I163&lt;0, 0, PCS!F163/Aide!C157)</f>
        <v>3.194880395561142</v>
      </c>
      <c r="F157" s="448">
        <f>Effort!G157</f>
        <v>0</v>
      </c>
      <c r="G157" s="341">
        <f t="shared" si="7"/>
        <v>8.2326682563434339</v>
      </c>
      <c r="H157" s="208">
        <f t="shared" si="8"/>
        <v>0</v>
      </c>
      <c r="I157" s="42">
        <f t="shared" si="9"/>
        <v>0</v>
      </c>
      <c r="J157" s="29"/>
    </row>
    <row r="158" spans="1:10" x14ac:dyDescent="0.25">
      <c r="A158" s="38">
        <f>Données!A158</f>
        <v>5665</v>
      </c>
      <c r="B158" s="167" t="str">
        <f>Données!B158</f>
        <v>Chavannes-sur-Moudon</v>
      </c>
      <c r="C158" s="321">
        <f>VPI!R158</f>
        <v>5786.5608571428584</v>
      </c>
      <c r="D158" s="191">
        <f>Effort!I158-IF(PCS!I164&lt;0, Effort!D158, 0)</f>
        <v>5.3867504896878078</v>
      </c>
      <c r="E158" s="448">
        <f>IF(PCS!I164&lt;0, 0, PCS!F164/Aide!C158)</f>
        <v>4.5363559889977569</v>
      </c>
      <c r="F158" s="448">
        <f>Effort!G158</f>
        <v>-4.3508277159248241</v>
      </c>
      <c r="G158" s="341">
        <f t="shared" si="7"/>
        <v>14.273934194610389</v>
      </c>
      <c r="H158" s="208">
        <f t="shared" si="8"/>
        <v>0</v>
      </c>
      <c r="I158" s="42">
        <f t="shared" si="9"/>
        <v>0</v>
      </c>
      <c r="J158" s="29"/>
    </row>
    <row r="159" spans="1:10" x14ac:dyDescent="0.25">
      <c r="A159" s="38">
        <f>Données!A159</f>
        <v>5669</v>
      </c>
      <c r="B159" s="167" t="str">
        <f>Données!B159</f>
        <v>Curtilles</v>
      </c>
      <c r="C159" s="321">
        <f>VPI!R159</f>
        <v>8428.0279452054765</v>
      </c>
      <c r="D159" s="191">
        <f>Effort!I159-IF(PCS!I165&lt;0, Effort!D159, 0)</f>
        <v>11.56134819053133</v>
      </c>
      <c r="E159" s="448">
        <f>IF(PCS!I165&lt;0, 0, PCS!F165/Aide!C159)</f>
        <v>0.61402560998198408</v>
      </c>
      <c r="F159" s="448">
        <f>Effort!G159</f>
        <v>0</v>
      </c>
      <c r="G159" s="341">
        <f t="shared" si="7"/>
        <v>12.175373800513315</v>
      </c>
      <c r="H159" s="208">
        <f t="shared" si="8"/>
        <v>0</v>
      </c>
      <c r="I159" s="42">
        <f t="shared" si="9"/>
        <v>0</v>
      </c>
      <c r="J159" s="29"/>
    </row>
    <row r="160" spans="1:10" x14ac:dyDescent="0.25">
      <c r="A160" s="38">
        <f>Données!A160</f>
        <v>5671</v>
      </c>
      <c r="B160" s="167" t="str">
        <f>Données!B160</f>
        <v>Dompierre</v>
      </c>
      <c r="C160" s="321">
        <f>VPI!R160</f>
        <v>6751.3758974358971</v>
      </c>
      <c r="D160" s="191">
        <f>Effort!I160-IF(PCS!I166&lt;0, Effort!D160, 0)</f>
        <v>5.4515273709414007</v>
      </c>
      <c r="E160" s="448">
        <f>IF(PCS!I166&lt;0, 0, PCS!F166/Aide!C160)</f>
        <v>1.3707287433832103</v>
      </c>
      <c r="F160" s="448">
        <f>Effort!G160</f>
        <v>-1.6065188573527618</v>
      </c>
      <c r="G160" s="341">
        <f t="shared" si="7"/>
        <v>8.4287749716773739</v>
      </c>
      <c r="H160" s="208">
        <f t="shared" si="8"/>
        <v>0</v>
      </c>
      <c r="I160" s="42">
        <f t="shared" si="9"/>
        <v>0</v>
      </c>
      <c r="J160" s="29"/>
    </row>
    <row r="161" spans="1:10" x14ac:dyDescent="0.25">
      <c r="A161" s="38">
        <f>Données!A161</f>
        <v>5673</v>
      </c>
      <c r="B161" s="167" t="str">
        <f>Données!B161</f>
        <v>Hermenches</v>
      </c>
      <c r="C161" s="321">
        <f>VPI!R161</f>
        <v>9675.0074829931946</v>
      </c>
      <c r="D161" s="191">
        <f>Effort!I161-IF(PCS!I167&lt;0, Effort!D161, 0)</f>
        <v>-0.77046780494944045</v>
      </c>
      <c r="E161" s="448">
        <f>IF(PCS!I167&lt;0, 0, PCS!F167/Aide!C161)</f>
        <v>3.4150128625821181</v>
      </c>
      <c r="F161" s="448">
        <f>Effort!G161</f>
        <v>-7.6944849521465022</v>
      </c>
      <c r="G161" s="341">
        <f t="shared" si="7"/>
        <v>10.339030009779179</v>
      </c>
      <c r="H161" s="208">
        <f t="shared" si="8"/>
        <v>0</v>
      </c>
      <c r="I161" s="42">
        <f t="shared" si="9"/>
        <v>0</v>
      </c>
      <c r="J161" s="29"/>
    </row>
    <row r="162" spans="1:10" x14ac:dyDescent="0.25">
      <c r="A162" s="38">
        <f>Données!A162</f>
        <v>5674</v>
      </c>
      <c r="B162" s="167" t="str">
        <f>Données!B162</f>
        <v>Lovatens</v>
      </c>
      <c r="C162" s="321">
        <f>VPI!R162</f>
        <v>3538.9463999999998</v>
      </c>
      <c r="D162" s="191">
        <f>Effort!I162-IF(PCS!I168&lt;0, Effort!D162, 0)</f>
        <v>-1.414760044509773</v>
      </c>
      <c r="E162" s="448">
        <f>IF(PCS!I168&lt;0, 0, PCS!F168/Aide!C162)</f>
        <v>5.3617864910302124</v>
      </c>
      <c r="F162" s="448">
        <f>Effort!G162</f>
        <v>-5.4267059823228756</v>
      </c>
      <c r="G162" s="341">
        <f t="shared" si="7"/>
        <v>9.373732428843315</v>
      </c>
      <c r="H162" s="208">
        <f t="shared" si="8"/>
        <v>0</v>
      </c>
      <c r="I162" s="42">
        <f t="shared" si="9"/>
        <v>0</v>
      </c>
      <c r="J162" s="29"/>
    </row>
    <row r="163" spans="1:10" x14ac:dyDescent="0.25">
      <c r="A163" s="38">
        <f>Données!A163</f>
        <v>5675</v>
      </c>
      <c r="B163" s="167" t="str">
        <f>Données!B163</f>
        <v>Lucens</v>
      </c>
      <c r="C163" s="321">
        <f>VPI!R163</f>
        <v>92803.818404185746</v>
      </c>
      <c r="D163" s="191">
        <f>Effort!I163-IF(PCS!I169&lt;0, Effort!D163, 0)</f>
        <v>-18.72487754469709</v>
      </c>
      <c r="E163" s="448">
        <f>IF(PCS!I169&lt;0, 0, PCS!F169/Aide!C163)</f>
        <v>4.2200207031819286</v>
      </c>
      <c r="F163" s="448">
        <f>Effort!G163</f>
        <v>-7.1665730032600479</v>
      </c>
      <c r="G163" s="341">
        <f t="shared" si="7"/>
        <v>-7.3382838382551139</v>
      </c>
      <c r="H163" s="208">
        <f t="shared" si="8"/>
        <v>0</v>
      </c>
      <c r="I163" s="42">
        <f t="shared" si="9"/>
        <v>0</v>
      </c>
      <c r="J163" s="29"/>
    </row>
    <row r="164" spans="1:10" x14ac:dyDescent="0.25">
      <c r="A164" s="38">
        <f>Données!A164</f>
        <v>5678</v>
      </c>
      <c r="B164" s="167" t="str">
        <f>Données!B164</f>
        <v>Moudon</v>
      </c>
      <c r="C164" s="321">
        <f>VPI!R164</f>
        <v>130675.7416551724</v>
      </c>
      <c r="D164" s="191">
        <f>Effort!I164-IF(PCS!I170&lt;0, Effort!D164, 0)</f>
        <v>-26.020449136751207</v>
      </c>
      <c r="E164" s="448">
        <f>IF(PCS!I170&lt;0, 0, PCS!F170/Aide!C164)</f>
        <v>4.3762109382859924</v>
      </c>
      <c r="F164" s="448">
        <f>Effort!G164</f>
        <v>-10.241438335207588</v>
      </c>
      <c r="G164" s="341">
        <f t="shared" si="7"/>
        <v>-11.402799863257625</v>
      </c>
      <c r="H164" s="208">
        <f t="shared" si="8"/>
        <v>-3.4027998632576253</v>
      </c>
      <c r="I164" s="42">
        <f t="shared" si="9"/>
        <v>444663.39583530941</v>
      </c>
      <c r="J164" s="29"/>
    </row>
    <row r="165" spans="1:10" x14ac:dyDescent="0.25">
      <c r="A165" s="38">
        <f>Données!A165</f>
        <v>5680</v>
      </c>
      <c r="B165" s="167" t="str">
        <f>Données!B165</f>
        <v>Ogens</v>
      </c>
      <c r="C165" s="321">
        <f>VPI!R165</f>
        <v>10096.830811965814</v>
      </c>
      <c r="D165" s="191">
        <f>Effort!I165-IF(PCS!I171&lt;0, Effort!D165, 0)</f>
        <v>11.613423937439357</v>
      </c>
      <c r="E165" s="448">
        <f>IF(PCS!I171&lt;0, 0, PCS!F171/Aide!C165)</f>
        <v>7.4005251144197342</v>
      </c>
      <c r="F165" s="448">
        <f>Effort!G165</f>
        <v>-1.5172970909916665</v>
      </c>
      <c r="G165" s="341">
        <f t="shared" si="7"/>
        <v>20.531246142850758</v>
      </c>
      <c r="H165" s="208">
        <f t="shared" si="8"/>
        <v>0</v>
      </c>
      <c r="I165" s="42">
        <f t="shared" si="9"/>
        <v>0</v>
      </c>
      <c r="J165" s="29"/>
    </row>
    <row r="166" spans="1:10" x14ac:dyDescent="0.25">
      <c r="A166" s="38">
        <f>Données!A166</f>
        <v>5683</v>
      </c>
      <c r="B166" s="167" t="str">
        <f>Données!B166</f>
        <v>Prévonloup</v>
      </c>
      <c r="C166" s="321">
        <f>VPI!R166</f>
        <v>5181.5891034482765</v>
      </c>
      <c r="D166" s="191">
        <f>Effort!I166-IF(PCS!I172&lt;0, Effort!D166, 0)</f>
        <v>-25.859584048617773</v>
      </c>
      <c r="E166" s="448">
        <f>IF(PCS!I172&lt;0, 0, PCS!F172/Aide!C166)</f>
        <v>1.0727404062782389</v>
      </c>
      <c r="F166" s="448">
        <f>Effort!G166</f>
        <v>-28.931754793050967</v>
      </c>
      <c r="G166" s="341">
        <f t="shared" si="7"/>
        <v>4.1449111507114331</v>
      </c>
      <c r="H166" s="208">
        <f t="shared" si="8"/>
        <v>0</v>
      </c>
      <c r="I166" s="42">
        <f t="shared" si="9"/>
        <v>0</v>
      </c>
      <c r="J166" s="29"/>
    </row>
    <row r="167" spans="1:10" x14ac:dyDescent="0.25">
      <c r="A167" s="38">
        <f>Données!A167</f>
        <v>5684</v>
      </c>
      <c r="B167" s="167" t="str">
        <f>Données!B167</f>
        <v>Rossenges</v>
      </c>
      <c r="C167" s="321">
        <f>VPI!R167</f>
        <v>7033.3142000000007</v>
      </c>
      <c r="D167" s="191">
        <f>Effort!I167-IF(PCS!I173&lt;0, Effort!D167, 0)</f>
        <v>36.477555941478762</v>
      </c>
      <c r="E167" s="448">
        <f>IF(PCS!I173&lt;0, 0, PCS!F173/Aide!C167)</f>
        <v>0.91895866105341906</v>
      </c>
      <c r="F167" s="448">
        <f>Effort!G167</f>
        <v>0</v>
      </c>
      <c r="G167" s="341">
        <f t="shared" si="7"/>
        <v>37.396514602532179</v>
      </c>
      <c r="H167" s="208">
        <f t="shared" si="8"/>
        <v>0</v>
      </c>
      <c r="I167" s="42">
        <f t="shared" si="9"/>
        <v>0</v>
      </c>
      <c r="J167" s="29"/>
    </row>
    <row r="168" spans="1:10" x14ac:dyDescent="0.25">
      <c r="A168" s="38">
        <f>Données!A168</f>
        <v>5688</v>
      </c>
      <c r="B168" s="167" t="str">
        <f>Données!B168</f>
        <v>Syens</v>
      </c>
      <c r="C168" s="321">
        <f>VPI!R168</f>
        <v>5277.0104615384616</v>
      </c>
      <c r="D168" s="191">
        <f>Effort!I168-IF(PCS!I174&lt;0, Effort!D168, 0)</f>
        <v>14.779363934611737</v>
      </c>
      <c r="E168" s="448">
        <f>IF(PCS!I174&lt;0, 0, PCS!F174/Aide!C168)</f>
        <v>2.4666162962665803</v>
      </c>
      <c r="F168" s="448">
        <f>Effort!G168</f>
        <v>-3.4358823737262894</v>
      </c>
      <c r="G168" s="341">
        <f t="shared" si="7"/>
        <v>20.681862604604607</v>
      </c>
      <c r="H168" s="208">
        <f t="shared" si="8"/>
        <v>0</v>
      </c>
      <c r="I168" s="42">
        <f t="shared" si="9"/>
        <v>0</v>
      </c>
      <c r="J168" s="29"/>
    </row>
    <row r="169" spans="1:10" x14ac:dyDescent="0.25">
      <c r="A169" s="38">
        <f>Données!A169</f>
        <v>5690</v>
      </c>
      <c r="B169" s="167" t="str">
        <f>Données!B169</f>
        <v>Villars-le-Comte</v>
      </c>
      <c r="C169" s="321">
        <f>VPI!R169</f>
        <v>4331.3836666666666</v>
      </c>
      <c r="D169" s="191">
        <f>Effort!I169-IF(PCS!I175&lt;0, Effort!D169, 0)</f>
        <v>16.005605482068347</v>
      </c>
      <c r="E169" s="448">
        <f>IF(PCS!I175&lt;0, 0, PCS!F175/Aide!C169)</f>
        <v>3.9664576777659426</v>
      </c>
      <c r="F169" s="448">
        <f>Effort!G169</f>
        <v>0</v>
      </c>
      <c r="G169" s="341">
        <f t="shared" si="7"/>
        <v>19.972063159834288</v>
      </c>
      <c r="H169" s="208">
        <f t="shared" si="8"/>
        <v>0</v>
      </c>
      <c r="I169" s="42">
        <f t="shared" si="9"/>
        <v>0</v>
      </c>
      <c r="J169" s="29"/>
    </row>
    <row r="170" spans="1:10" x14ac:dyDescent="0.25">
      <c r="A170" s="38">
        <f>Données!A170</f>
        <v>5692</v>
      </c>
      <c r="B170" s="167" t="str">
        <f>Données!B170</f>
        <v>Vucherens</v>
      </c>
      <c r="C170" s="321">
        <f>VPI!R170</f>
        <v>18948.300519480523</v>
      </c>
      <c r="D170" s="191">
        <f>Effort!I170-IF(PCS!I176&lt;0, Effort!D170, 0)</f>
        <v>6.3393648962981342</v>
      </c>
      <c r="E170" s="448">
        <f>IF(PCS!I176&lt;0, 0, PCS!F176/Aide!C170)</f>
        <v>4.8084206763730313</v>
      </c>
      <c r="F170" s="448">
        <f>Effort!G170</f>
        <v>-5.182560905266806</v>
      </c>
      <c r="G170" s="341">
        <f t="shared" si="7"/>
        <v>16.330346477937972</v>
      </c>
      <c r="H170" s="208">
        <f t="shared" si="8"/>
        <v>0</v>
      </c>
      <c r="I170" s="42">
        <f t="shared" si="9"/>
        <v>0</v>
      </c>
      <c r="J170" s="29"/>
    </row>
    <row r="171" spans="1:10" x14ac:dyDescent="0.25">
      <c r="A171" s="38">
        <f>Données!A171</f>
        <v>5693</v>
      </c>
      <c r="B171" s="167" t="str">
        <f>Données!B171</f>
        <v>Montanaire</v>
      </c>
      <c r="C171" s="321">
        <f>VPI!R171</f>
        <v>80078.044999999984</v>
      </c>
      <c r="D171" s="191">
        <f>Effort!I171-IF(PCS!I177&lt;0, Effort!D171, 0)</f>
        <v>-0.93491179994764906</v>
      </c>
      <c r="E171" s="448">
        <f>IF(PCS!I177&lt;0, 0, PCS!F177/Aide!C171)</f>
        <v>2.7513728638105492</v>
      </c>
      <c r="F171" s="448">
        <f>Effort!G171</f>
        <v>-8.0443453164971785</v>
      </c>
      <c r="G171" s="341">
        <f t="shared" si="7"/>
        <v>9.8608063803600778</v>
      </c>
      <c r="H171" s="208">
        <f t="shared" si="8"/>
        <v>0</v>
      </c>
      <c r="I171" s="42">
        <f t="shared" si="9"/>
        <v>0</v>
      </c>
      <c r="J171" s="29"/>
    </row>
    <row r="172" spans="1:10" x14ac:dyDescent="0.25">
      <c r="A172" s="38">
        <f>Données!A172</f>
        <v>5701</v>
      </c>
      <c r="B172" s="167" t="str">
        <f>Données!B172</f>
        <v>Arnex-sur-Nyon</v>
      </c>
      <c r="C172" s="321">
        <f>VPI!R172</f>
        <v>12996.826285714285</v>
      </c>
      <c r="D172" s="191">
        <f>Effort!I172-IF(PCS!I178&lt;0, Effort!D172, 0)</f>
        <v>29.862537305276511</v>
      </c>
      <c r="E172" s="448">
        <f>IF(PCS!I178&lt;0, 0, PCS!F178/Aide!C172)</f>
        <v>15.863233874766612</v>
      </c>
      <c r="F172" s="448">
        <f>Effort!G172</f>
        <v>0</v>
      </c>
      <c r="G172" s="341">
        <f t="shared" si="7"/>
        <v>45.725771180043125</v>
      </c>
      <c r="H172" s="208">
        <f t="shared" si="8"/>
        <v>0</v>
      </c>
      <c r="I172" s="42">
        <f t="shared" si="9"/>
        <v>0</v>
      </c>
      <c r="J172" s="29"/>
    </row>
    <row r="173" spans="1:10" x14ac:dyDescent="0.25">
      <c r="A173" s="38">
        <f>Données!A173</f>
        <v>5702</v>
      </c>
      <c r="B173" s="167" t="str">
        <f>Données!B173</f>
        <v>Arzier-Le Muids</v>
      </c>
      <c r="C173" s="321">
        <f>VPI!R173</f>
        <v>187984.45531250001</v>
      </c>
      <c r="D173" s="191">
        <f>Effort!I173-IF(PCS!I179&lt;0, Effort!D173, 0)</f>
        <v>27.074770742769786</v>
      </c>
      <c r="E173" s="448">
        <f>IF(PCS!I179&lt;0, 0, PCS!F179/Aide!C173)</f>
        <v>4.4861739690022269</v>
      </c>
      <c r="F173" s="448">
        <f>Effort!G173</f>
        <v>-2.8606190209806521</v>
      </c>
      <c r="G173" s="341">
        <f t="shared" si="7"/>
        <v>34.421563732752666</v>
      </c>
      <c r="H173" s="208">
        <f t="shared" si="8"/>
        <v>0</v>
      </c>
      <c r="I173" s="42">
        <f t="shared" si="9"/>
        <v>0</v>
      </c>
      <c r="J173" s="29"/>
    </row>
    <row r="174" spans="1:10" x14ac:dyDescent="0.25">
      <c r="A174" s="38">
        <f>Données!A174</f>
        <v>5703</v>
      </c>
      <c r="B174" s="167" t="str">
        <f>Données!B174</f>
        <v>Bassins</v>
      </c>
      <c r="C174" s="321">
        <f>VPI!R174</f>
        <v>65441.246975369453</v>
      </c>
      <c r="D174" s="191">
        <f>Effort!I174-IF(PCS!I180&lt;0, Effort!D174, 0)</f>
        <v>24.175749835349858</v>
      </c>
      <c r="E174" s="448">
        <f>IF(PCS!I180&lt;0, 0, PCS!F180/Aide!C174)</f>
        <v>3.6575930481594967</v>
      </c>
      <c r="F174" s="448">
        <f>Effort!G174</f>
        <v>0</v>
      </c>
      <c r="G174" s="341">
        <f t="shared" si="7"/>
        <v>27.833342883509356</v>
      </c>
      <c r="H174" s="208">
        <f t="shared" si="8"/>
        <v>0</v>
      </c>
      <c r="I174" s="42">
        <f t="shared" si="9"/>
        <v>0</v>
      </c>
      <c r="J174" s="29"/>
    </row>
    <row r="175" spans="1:10" x14ac:dyDescent="0.25">
      <c r="A175" s="38">
        <f>Données!A175</f>
        <v>5704</v>
      </c>
      <c r="B175" s="167" t="str">
        <f>Données!B175</f>
        <v>Begnins</v>
      </c>
      <c r="C175" s="321">
        <f>VPI!R175</f>
        <v>129730.03685333332</v>
      </c>
      <c r="D175" s="191">
        <f>Effort!I175-IF(PCS!I181&lt;0, Effort!D175, 0)</f>
        <v>31.437504532317469</v>
      </c>
      <c r="E175" s="448">
        <f>IF(PCS!I181&lt;0, 0, PCS!F181/Aide!C175)</f>
        <v>10.14039089873425</v>
      </c>
      <c r="F175" s="448">
        <f>Effort!G175</f>
        <v>0</v>
      </c>
      <c r="G175" s="341">
        <f t="shared" si="7"/>
        <v>41.577895431051715</v>
      </c>
      <c r="H175" s="208">
        <f t="shared" si="8"/>
        <v>0</v>
      </c>
      <c r="I175" s="42">
        <f t="shared" si="9"/>
        <v>0</v>
      </c>
      <c r="J175" s="29"/>
    </row>
    <row r="176" spans="1:10" x14ac:dyDescent="0.25">
      <c r="A176" s="38">
        <f>Données!A176</f>
        <v>5705</v>
      </c>
      <c r="B176" s="167" t="str">
        <f>Données!B176</f>
        <v>Bogis-Bossey</v>
      </c>
      <c r="C176" s="321">
        <f>VPI!R176</f>
        <v>51044.070201342278</v>
      </c>
      <c r="D176" s="191">
        <f>Effort!I176-IF(PCS!I182&lt;0, Effort!D176, 0)</f>
        <v>30.28354329242292</v>
      </c>
      <c r="E176" s="448">
        <f>IF(PCS!I182&lt;0, 0, PCS!F182/Aide!C176)</f>
        <v>6.7962104830519099</v>
      </c>
      <c r="F176" s="448">
        <f>Effort!G176</f>
        <v>0</v>
      </c>
      <c r="G176" s="341">
        <f t="shared" si="7"/>
        <v>37.079753775474828</v>
      </c>
      <c r="H176" s="208">
        <f t="shared" si="8"/>
        <v>0</v>
      </c>
      <c r="I176" s="42">
        <f t="shared" si="9"/>
        <v>0</v>
      </c>
      <c r="J176" s="29"/>
    </row>
    <row r="177" spans="1:10" x14ac:dyDescent="0.25">
      <c r="A177" s="38">
        <f>Données!A177</f>
        <v>5706</v>
      </c>
      <c r="B177" s="167" t="str">
        <f>Données!B177</f>
        <v>Borex</v>
      </c>
      <c r="C177" s="321">
        <f>VPI!R177</f>
        <v>156857.9796491228</v>
      </c>
      <c r="D177" s="191">
        <f>Effort!I177-IF(PCS!I183&lt;0, Effort!D177, 0)</f>
        <v>44.804667049331172</v>
      </c>
      <c r="E177" s="448">
        <f>IF(PCS!I183&lt;0, 0, PCS!F183/Aide!C177)</f>
        <v>1.257512754156547</v>
      </c>
      <c r="F177" s="448">
        <f>Effort!G177</f>
        <v>0</v>
      </c>
      <c r="G177" s="341">
        <f t="shared" si="7"/>
        <v>46.062179803487716</v>
      </c>
      <c r="H177" s="208">
        <f t="shared" si="8"/>
        <v>0</v>
      </c>
      <c r="I177" s="42">
        <f t="shared" si="9"/>
        <v>0</v>
      </c>
      <c r="J177" s="29"/>
    </row>
    <row r="178" spans="1:10" x14ac:dyDescent="0.25">
      <c r="A178" s="38">
        <f>Données!A178</f>
        <v>5707</v>
      </c>
      <c r="B178" s="167" t="str">
        <f>Données!B178</f>
        <v>Chavannes-de-Bogis</v>
      </c>
      <c r="C178" s="321">
        <f>VPI!R178</f>
        <v>86804.197126436775</v>
      </c>
      <c r="D178" s="191">
        <f>Effort!I178-IF(PCS!I184&lt;0, Effort!D178, 0)</f>
        <v>31.764809407237852</v>
      </c>
      <c r="E178" s="448">
        <f>IF(PCS!I184&lt;0, 0, PCS!F184/Aide!C178)</f>
        <v>6.0737891997555105</v>
      </c>
      <c r="F178" s="448">
        <f>Effort!G178</f>
        <v>0</v>
      </c>
      <c r="G178" s="341">
        <f t="shared" si="7"/>
        <v>37.838598606993365</v>
      </c>
      <c r="H178" s="208">
        <f t="shared" si="8"/>
        <v>0</v>
      </c>
      <c r="I178" s="42">
        <f t="shared" si="9"/>
        <v>0</v>
      </c>
      <c r="J178" s="29"/>
    </row>
    <row r="179" spans="1:10" x14ac:dyDescent="0.25">
      <c r="A179" s="38">
        <f>Données!A179</f>
        <v>5708</v>
      </c>
      <c r="B179" s="167" t="str">
        <f>Données!B179</f>
        <v>Chavannes-des-Bois</v>
      </c>
      <c r="C179" s="321">
        <f>VPI!R179</f>
        <v>68806.761617647047</v>
      </c>
      <c r="D179" s="191">
        <f>Effort!I179-IF(PCS!I185&lt;0, Effort!D179, 0)</f>
        <v>33.581036673242508</v>
      </c>
      <c r="E179" s="448">
        <f>IF(PCS!I185&lt;0, 0, PCS!F185/Aide!C179)</f>
        <v>1.8011234955172706</v>
      </c>
      <c r="F179" s="448">
        <f>Effort!G179</f>
        <v>0</v>
      </c>
      <c r="G179" s="341">
        <f t="shared" si="7"/>
        <v>35.382160168759782</v>
      </c>
      <c r="H179" s="208">
        <f t="shared" si="8"/>
        <v>0</v>
      </c>
      <c r="I179" s="42">
        <f t="shared" si="9"/>
        <v>0</v>
      </c>
      <c r="J179" s="29"/>
    </row>
    <row r="180" spans="1:10" x14ac:dyDescent="0.25">
      <c r="A180" s="38">
        <f>Données!A180</f>
        <v>5709</v>
      </c>
      <c r="B180" s="167" t="str">
        <f>Données!B180</f>
        <v>Chéserex</v>
      </c>
      <c r="C180" s="321">
        <f>VPI!R180</f>
        <v>90983.63491228073</v>
      </c>
      <c r="D180" s="191">
        <f>Effort!I180-IF(PCS!I186&lt;0, Effort!D180, 0)</f>
        <v>33.30679006850719</v>
      </c>
      <c r="E180" s="448">
        <f>IF(PCS!I186&lt;0, 0, PCS!F186/Aide!C180)</f>
        <v>3.1429700547323596</v>
      </c>
      <c r="F180" s="448">
        <f>Effort!G180</f>
        <v>0</v>
      </c>
      <c r="G180" s="341">
        <f t="shared" si="7"/>
        <v>36.44976012323955</v>
      </c>
      <c r="H180" s="208">
        <f t="shared" si="8"/>
        <v>0</v>
      </c>
      <c r="I180" s="42">
        <f t="shared" si="9"/>
        <v>0</v>
      </c>
      <c r="J180" s="29"/>
    </row>
    <row r="181" spans="1:10" x14ac:dyDescent="0.25">
      <c r="A181" s="38">
        <f>Données!A181</f>
        <v>5710</v>
      </c>
      <c r="B181" s="167" t="str">
        <f>Données!B181</f>
        <v>Coinsins</v>
      </c>
      <c r="C181" s="321">
        <f>VPI!R181</f>
        <v>33549.646470588232</v>
      </c>
      <c r="D181" s="191">
        <f>Effort!I181-IF(PCS!I187&lt;0, Effort!D181, 0)</f>
        <v>32.391392142168087</v>
      </c>
      <c r="E181" s="448">
        <f>IF(PCS!I187&lt;0, 0, PCS!F187/Aide!C181)</f>
        <v>3.2089993882463816</v>
      </c>
      <c r="F181" s="448">
        <f>Effort!G181</f>
        <v>0</v>
      </c>
      <c r="G181" s="341">
        <f t="shared" si="7"/>
        <v>35.60039153041447</v>
      </c>
      <c r="H181" s="208">
        <f t="shared" si="8"/>
        <v>0</v>
      </c>
      <c r="I181" s="42">
        <f t="shared" si="9"/>
        <v>0</v>
      </c>
      <c r="J181" s="29"/>
    </row>
    <row r="182" spans="1:10" x14ac:dyDescent="0.25">
      <c r="A182" s="38">
        <f>Données!A182</f>
        <v>5711</v>
      </c>
      <c r="B182" s="167" t="str">
        <f>Données!B182</f>
        <v>Commugny</v>
      </c>
      <c r="C182" s="321">
        <f>VPI!R182</f>
        <v>305461.09360323887</v>
      </c>
      <c r="D182" s="191">
        <f>Effort!I182-IF(PCS!I188&lt;0, Effort!D182, 0)</f>
        <v>38.431291721262255</v>
      </c>
      <c r="E182" s="448">
        <f>IF(PCS!I188&lt;0, 0, PCS!F188/Aide!C182)</f>
        <v>3.8970921172246396</v>
      </c>
      <c r="F182" s="448">
        <f>Effort!G182</f>
        <v>0</v>
      </c>
      <c r="G182" s="341">
        <f t="shared" si="7"/>
        <v>42.328383838486893</v>
      </c>
      <c r="H182" s="208">
        <f t="shared" si="8"/>
        <v>0</v>
      </c>
      <c r="I182" s="42">
        <f t="shared" si="9"/>
        <v>0</v>
      </c>
      <c r="J182" s="29"/>
    </row>
    <row r="183" spans="1:10" x14ac:dyDescent="0.25">
      <c r="A183" s="38">
        <f>Données!A183</f>
        <v>5712</v>
      </c>
      <c r="B183" s="167" t="str">
        <f>Données!B183</f>
        <v>Coppet</v>
      </c>
      <c r="C183" s="321">
        <f>VPI!R183</f>
        <v>422782.58779874217</v>
      </c>
      <c r="D183" s="191">
        <f>Effort!I183-IF(PCS!I189&lt;0, Effort!D183, 0)</f>
        <v>42.074768950776672</v>
      </c>
      <c r="E183" s="448">
        <f>IF(PCS!I189&lt;0, 0, PCS!F189/Aide!C183)</f>
        <v>3.5986858231831049</v>
      </c>
      <c r="F183" s="448">
        <f>Effort!G183</f>
        <v>0</v>
      </c>
      <c r="G183" s="341">
        <f t="shared" si="7"/>
        <v>45.673454773959776</v>
      </c>
      <c r="H183" s="208">
        <f t="shared" si="8"/>
        <v>0</v>
      </c>
      <c r="I183" s="42">
        <f t="shared" si="9"/>
        <v>0</v>
      </c>
      <c r="J183" s="29"/>
    </row>
    <row r="184" spans="1:10" x14ac:dyDescent="0.25">
      <c r="A184" s="38">
        <f>Données!A184</f>
        <v>5713</v>
      </c>
      <c r="B184" s="167" t="str">
        <f>Données!B184</f>
        <v>Crans</v>
      </c>
      <c r="C184" s="321">
        <f>VPI!R184</f>
        <v>284269.17355932208</v>
      </c>
      <c r="D184" s="191">
        <f>Effort!I184-IF(PCS!I190&lt;0, Effort!D184, 0)</f>
        <v>42.210744917496946</v>
      </c>
      <c r="E184" s="448">
        <f>IF(PCS!I190&lt;0, 0, PCS!F190/Aide!C184)</f>
        <v>2.9767605273718236</v>
      </c>
      <c r="F184" s="448">
        <f>Effort!G184</f>
        <v>0</v>
      </c>
      <c r="G184" s="341">
        <f t="shared" si="7"/>
        <v>45.187505444868769</v>
      </c>
      <c r="H184" s="208">
        <f t="shared" si="8"/>
        <v>0</v>
      </c>
      <c r="I184" s="42">
        <f t="shared" si="9"/>
        <v>0</v>
      </c>
      <c r="J184" s="29"/>
    </row>
    <row r="185" spans="1:10" x14ac:dyDescent="0.25">
      <c r="A185" s="38">
        <f>Données!A185</f>
        <v>5714</v>
      </c>
      <c r="B185" s="167" t="str">
        <f>Données!B185</f>
        <v>Crassier</v>
      </c>
      <c r="C185" s="321">
        <f>VPI!R185</f>
        <v>62524.655789473691</v>
      </c>
      <c r="D185" s="191">
        <f>Effort!I185-IF(PCS!I191&lt;0, Effort!D185, 0)</f>
        <v>27.953283555782527</v>
      </c>
      <c r="E185" s="448">
        <f>IF(PCS!I191&lt;0, 0, PCS!F191/Aide!C185)</f>
        <v>4.3402093393960977</v>
      </c>
      <c r="F185" s="448">
        <f>Effort!G185</f>
        <v>0</v>
      </c>
      <c r="G185" s="341">
        <f t="shared" si="7"/>
        <v>32.293492895178623</v>
      </c>
      <c r="H185" s="208">
        <f t="shared" si="8"/>
        <v>0</v>
      </c>
      <c r="I185" s="42">
        <f t="shared" si="9"/>
        <v>0</v>
      </c>
      <c r="J185" s="29"/>
    </row>
    <row r="186" spans="1:10" x14ac:dyDescent="0.25">
      <c r="A186" s="38">
        <f>Données!A186</f>
        <v>5715</v>
      </c>
      <c r="B186" s="167" t="str">
        <f>Données!B186</f>
        <v>Duillier</v>
      </c>
      <c r="C186" s="321">
        <f>VPI!R186</f>
        <v>60550.113787878792</v>
      </c>
      <c r="D186" s="191">
        <f>Effort!I186-IF(PCS!I192&lt;0, Effort!D186, 0)</f>
        <v>29.360597637069112</v>
      </c>
      <c r="E186" s="448">
        <f>IF(PCS!I192&lt;0, 0, PCS!F192/Aide!C186)</f>
        <v>3.630232236557791</v>
      </c>
      <c r="F186" s="448">
        <f>Effort!G186</f>
        <v>0</v>
      </c>
      <c r="G186" s="341">
        <f t="shared" si="7"/>
        <v>32.9908298736269</v>
      </c>
      <c r="H186" s="208">
        <f t="shared" si="8"/>
        <v>0</v>
      </c>
      <c r="I186" s="42">
        <f t="shared" si="9"/>
        <v>0</v>
      </c>
      <c r="J186" s="29"/>
    </row>
    <row r="187" spans="1:10" x14ac:dyDescent="0.25">
      <c r="A187" s="38">
        <f>Données!A187</f>
        <v>5716</v>
      </c>
      <c r="B187" s="167" t="str">
        <f>Données!B187</f>
        <v>Eysins</v>
      </c>
      <c r="C187" s="321">
        <f>VPI!R187</f>
        <v>232557.04084033609</v>
      </c>
      <c r="D187" s="191">
        <f>Effort!I187-IF(PCS!I193&lt;0, Effort!D187, 0)</f>
        <v>44.088040299129268</v>
      </c>
      <c r="E187" s="448">
        <f>IF(PCS!I193&lt;0, 0, PCS!F193/Aide!C187)</f>
        <v>1.8656575970876672</v>
      </c>
      <c r="F187" s="448">
        <f>Effort!G187</f>
        <v>0</v>
      </c>
      <c r="G187" s="341">
        <f t="shared" si="7"/>
        <v>45.953697896216937</v>
      </c>
      <c r="H187" s="208">
        <f t="shared" si="8"/>
        <v>0</v>
      </c>
      <c r="I187" s="42">
        <f t="shared" si="9"/>
        <v>0</v>
      </c>
      <c r="J187" s="29"/>
    </row>
    <row r="188" spans="1:10" x14ac:dyDescent="0.25">
      <c r="A188" s="38">
        <f>Données!A188</f>
        <v>5717</v>
      </c>
      <c r="B188" s="167" t="str">
        <f>Données!B188</f>
        <v>Founex</v>
      </c>
      <c r="C188" s="321">
        <f>VPI!R188</f>
        <v>361582.97087719297</v>
      </c>
      <c r="D188" s="191">
        <f>Effort!I188-IF(PCS!I194&lt;0, Effort!D188, 0)</f>
        <v>36.618012567773633</v>
      </c>
      <c r="E188" s="448">
        <f>IF(PCS!I194&lt;0, 0, PCS!F194/Aide!C188)</f>
        <v>5.1777431206401126</v>
      </c>
      <c r="F188" s="448">
        <f>Effort!G188</f>
        <v>0</v>
      </c>
      <c r="G188" s="341">
        <f t="shared" si="7"/>
        <v>41.795755688413749</v>
      </c>
      <c r="H188" s="208">
        <f t="shared" si="8"/>
        <v>0</v>
      </c>
      <c r="I188" s="42">
        <f t="shared" si="9"/>
        <v>0</v>
      </c>
      <c r="J188" s="29"/>
    </row>
    <row r="189" spans="1:10" x14ac:dyDescent="0.25">
      <c r="A189" s="38">
        <f>Données!A189</f>
        <v>5718</v>
      </c>
      <c r="B189" s="167" t="str">
        <f>Données!B189</f>
        <v>Genolier</v>
      </c>
      <c r="C189" s="321">
        <f>VPI!R189</f>
        <v>212699.2265454545</v>
      </c>
      <c r="D189" s="191">
        <f>Effort!I189-IF(PCS!I195&lt;0, Effort!D189, 0)</f>
        <v>38.913344607510851</v>
      </c>
      <c r="E189" s="448">
        <f>IF(PCS!I195&lt;0, 0, PCS!F195/Aide!C189)</f>
        <v>3.0154497287884321</v>
      </c>
      <c r="F189" s="448">
        <f>Effort!G189</f>
        <v>0</v>
      </c>
      <c r="G189" s="341">
        <f t="shared" si="7"/>
        <v>41.928794336299283</v>
      </c>
      <c r="H189" s="208">
        <f t="shared" si="8"/>
        <v>0</v>
      </c>
      <c r="I189" s="42">
        <f t="shared" si="9"/>
        <v>0</v>
      </c>
      <c r="J189" s="29"/>
    </row>
    <row r="190" spans="1:10" x14ac:dyDescent="0.25">
      <c r="A190" s="38">
        <f>Données!A190</f>
        <v>5719</v>
      </c>
      <c r="B190" s="167" t="str">
        <f>Données!B190</f>
        <v>Gingins</v>
      </c>
      <c r="C190" s="321">
        <f>VPI!R190</f>
        <v>119943.29911111109</v>
      </c>
      <c r="D190" s="191">
        <f>Effort!I190-IF(PCS!I196&lt;0, Effort!D190, 0)</f>
        <v>38.414106709798268</v>
      </c>
      <c r="E190" s="448">
        <f>IF(PCS!I196&lt;0, 0, PCS!F196/Aide!C190)</f>
        <v>4.9215114923024217</v>
      </c>
      <c r="F190" s="448">
        <f>Effort!G190</f>
        <v>0</v>
      </c>
      <c r="G190" s="341">
        <f t="shared" si="7"/>
        <v>43.33561820210069</v>
      </c>
      <c r="H190" s="208">
        <f t="shared" si="8"/>
        <v>0</v>
      </c>
      <c r="I190" s="42">
        <f t="shared" si="9"/>
        <v>0</v>
      </c>
      <c r="J190" s="29"/>
    </row>
    <row r="191" spans="1:10" x14ac:dyDescent="0.25">
      <c r="A191" s="38">
        <f>Données!A191</f>
        <v>5720</v>
      </c>
      <c r="B191" s="167" t="str">
        <f>Données!B191</f>
        <v>Givrins</v>
      </c>
      <c r="C191" s="321">
        <f>VPI!R191</f>
        <v>84868.432139303477</v>
      </c>
      <c r="D191" s="191">
        <f>Effort!I191-IF(PCS!I197&lt;0, Effort!D191, 0)</f>
        <v>37.310821814596622</v>
      </c>
      <c r="E191" s="448">
        <f>IF(PCS!I197&lt;0, 0, PCS!F197/Aide!C191)</f>
        <v>2.5941642192543855</v>
      </c>
      <c r="F191" s="448">
        <f>Effort!G191</f>
        <v>-0.22625522130542311</v>
      </c>
      <c r="G191" s="341">
        <f t="shared" si="7"/>
        <v>40.131241255156432</v>
      </c>
      <c r="H191" s="208">
        <f t="shared" si="8"/>
        <v>0</v>
      </c>
      <c r="I191" s="42">
        <f t="shared" si="9"/>
        <v>0</v>
      </c>
      <c r="J191" s="29"/>
    </row>
    <row r="192" spans="1:10" x14ac:dyDescent="0.25">
      <c r="A192" s="38">
        <f>Données!A192</f>
        <v>5721</v>
      </c>
      <c r="B192" s="167" t="str">
        <f>Données!B192</f>
        <v>Gland</v>
      </c>
      <c r="C192" s="321">
        <f>VPI!R192</f>
        <v>688985.30491803284</v>
      </c>
      <c r="D192" s="191">
        <f>Effort!I192-IF(PCS!I198&lt;0, Effort!D192, 0)</f>
        <v>18.553828181100826</v>
      </c>
      <c r="E192" s="448">
        <f>IF(PCS!I198&lt;0, 0, PCS!F198/Aide!C192)</f>
        <v>3.6846496026530211</v>
      </c>
      <c r="F192" s="448">
        <f>Effort!G192</f>
        <v>0</v>
      </c>
      <c r="G192" s="341">
        <f t="shared" si="7"/>
        <v>22.238477783753847</v>
      </c>
      <c r="H192" s="208">
        <f t="shared" si="8"/>
        <v>0</v>
      </c>
      <c r="I192" s="42">
        <f t="shared" si="9"/>
        <v>0</v>
      </c>
      <c r="J192" s="29"/>
    </row>
    <row r="193" spans="1:10" x14ac:dyDescent="0.25">
      <c r="A193" s="38">
        <f>Données!A193</f>
        <v>5722</v>
      </c>
      <c r="B193" s="167" t="str">
        <f>Données!B193</f>
        <v>Grens</v>
      </c>
      <c r="C193" s="321">
        <f>VPI!R193</f>
        <v>20912.723225806454</v>
      </c>
      <c r="D193" s="191">
        <f>Effort!I193-IF(PCS!I199&lt;0, Effort!D193, 0)</f>
        <v>29.212020206164333</v>
      </c>
      <c r="E193" s="448">
        <f>IF(PCS!I199&lt;0, 0, PCS!F199/Aide!C193)</f>
        <v>5.4471212940564868</v>
      </c>
      <c r="F193" s="448">
        <f>Effort!G193</f>
        <v>0</v>
      </c>
      <c r="G193" s="341">
        <f t="shared" si="7"/>
        <v>34.659141500220819</v>
      </c>
      <c r="H193" s="208">
        <f t="shared" si="8"/>
        <v>0</v>
      </c>
      <c r="I193" s="42">
        <f t="shared" si="9"/>
        <v>0</v>
      </c>
      <c r="J193" s="29"/>
    </row>
    <row r="194" spans="1:10" x14ac:dyDescent="0.25">
      <c r="A194" s="38">
        <f>Données!A194</f>
        <v>5723</v>
      </c>
      <c r="B194" s="167" t="str">
        <f>Données!B194</f>
        <v>Mies</v>
      </c>
      <c r="C194" s="321">
        <f>VPI!R194</f>
        <v>253771.19326923077</v>
      </c>
      <c r="D194" s="191">
        <f>Effort!I194-IF(PCS!I200&lt;0, Effort!D194, 0)</f>
        <v>39.709309261542899</v>
      </c>
      <c r="E194" s="448">
        <f>IF(PCS!I200&lt;0, 0, PCS!F200/Aide!C194)</f>
        <v>4.1574535565220181</v>
      </c>
      <c r="F194" s="448">
        <f>Effort!G194</f>
        <v>0</v>
      </c>
      <c r="G194" s="341">
        <f t="shared" si="7"/>
        <v>43.866762818064913</v>
      </c>
      <c r="H194" s="208">
        <f t="shared" si="8"/>
        <v>0</v>
      </c>
      <c r="I194" s="42">
        <f t="shared" si="9"/>
        <v>0</v>
      </c>
      <c r="J194" s="29"/>
    </row>
    <row r="195" spans="1:10" x14ac:dyDescent="0.25">
      <c r="A195" s="38">
        <f>Données!A195</f>
        <v>5724</v>
      </c>
      <c r="B195" s="167" t="str">
        <f>Données!B195</f>
        <v>Nyon</v>
      </c>
      <c r="C195" s="321">
        <f>VPI!R195</f>
        <v>1520148.6004918031</v>
      </c>
      <c r="D195" s="191">
        <f>Effort!I195-IF(PCS!I201&lt;0, Effort!D195, 0)</f>
        <v>22.166834817432175</v>
      </c>
      <c r="E195" s="448">
        <f>IF(PCS!I201&lt;0, 0, PCS!F201/Aide!C195)</f>
        <v>3.8103896113353906</v>
      </c>
      <c r="F195" s="448">
        <f>Effort!G195</f>
        <v>-0.97261208316795311</v>
      </c>
      <c r="G195" s="341">
        <f t="shared" si="7"/>
        <v>26.949836511935519</v>
      </c>
      <c r="H195" s="208">
        <f t="shared" si="8"/>
        <v>0</v>
      </c>
      <c r="I195" s="42">
        <f t="shared" si="9"/>
        <v>0</v>
      </c>
      <c r="J195" s="29"/>
    </row>
    <row r="196" spans="1:10" x14ac:dyDescent="0.25">
      <c r="A196" s="38">
        <f>Données!A196</f>
        <v>5725</v>
      </c>
      <c r="B196" s="167" t="str">
        <f>Données!B196</f>
        <v>Prangins</v>
      </c>
      <c r="C196" s="321">
        <f>VPI!R196</f>
        <v>388958.996077922</v>
      </c>
      <c r="D196" s="191">
        <f>Effort!I196-IF(PCS!I202&lt;0, Effort!D196, 0)</f>
        <v>35.114580984343441</v>
      </c>
      <c r="E196" s="448">
        <f>IF(PCS!I202&lt;0, 0, PCS!F202/Aide!C196)</f>
        <v>2.8717609857678332</v>
      </c>
      <c r="F196" s="448">
        <f>Effort!G196</f>
        <v>0</v>
      </c>
      <c r="G196" s="341">
        <f t="shared" si="7"/>
        <v>37.986341970111276</v>
      </c>
      <c r="H196" s="208">
        <f t="shared" si="8"/>
        <v>0</v>
      </c>
      <c r="I196" s="42">
        <f t="shared" si="9"/>
        <v>0</v>
      </c>
      <c r="J196" s="29"/>
    </row>
    <row r="197" spans="1:10" x14ac:dyDescent="0.25">
      <c r="A197" s="38">
        <f>Données!A197</f>
        <v>5726</v>
      </c>
      <c r="B197" s="167" t="str">
        <f>Données!B197</f>
        <v>La Rippe</v>
      </c>
      <c r="C197" s="321">
        <f>VPI!R197</f>
        <v>69785.913125000021</v>
      </c>
      <c r="D197" s="191">
        <f>Effort!I197-IF(PCS!I203&lt;0, Effort!D197, 0)</f>
        <v>30.080380665858542</v>
      </c>
      <c r="E197" s="448">
        <f>IF(PCS!I203&lt;0, 0, PCS!F203/Aide!C197)</f>
        <v>3.0336466275191398</v>
      </c>
      <c r="F197" s="448">
        <f>Effort!G197</f>
        <v>0</v>
      </c>
      <c r="G197" s="341">
        <f t="shared" si="7"/>
        <v>33.114027293377681</v>
      </c>
      <c r="H197" s="208">
        <f t="shared" si="8"/>
        <v>0</v>
      </c>
      <c r="I197" s="42">
        <f t="shared" si="9"/>
        <v>0</v>
      </c>
      <c r="J197" s="29"/>
    </row>
    <row r="198" spans="1:10" x14ac:dyDescent="0.25">
      <c r="A198" s="38">
        <f>Données!A198</f>
        <v>5727</v>
      </c>
      <c r="B198" s="167" t="str">
        <f>Données!B198</f>
        <v>Saint-Cergue</v>
      </c>
      <c r="C198" s="321">
        <f>VPI!R198</f>
        <v>107048.1634848485</v>
      </c>
      <c r="D198" s="191">
        <f>Effort!I198-IF(PCS!I204&lt;0, Effort!D198, 0)</f>
        <v>15.711513172774904</v>
      </c>
      <c r="E198" s="448">
        <f>IF(PCS!I204&lt;0, 0, PCS!F204/Aide!C198)</f>
        <v>7.1121220599712514</v>
      </c>
      <c r="F198" s="448">
        <f>Effort!G198</f>
        <v>-3.2793920516624313</v>
      </c>
      <c r="G198" s="341">
        <f t="shared" si="7"/>
        <v>26.103027284408586</v>
      </c>
      <c r="H198" s="208">
        <f t="shared" si="8"/>
        <v>0</v>
      </c>
      <c r="I198" s="42">
        <f t="shared" si="9"/>
        <v>0</v>
      </c>
      <c r="J198" s="29"/>
    </row>
    <row r="199" spans="1:10" x14ac:dyDescent="0.25">
      <c r="A199" s="38">
        <f>Données!A199</f>
        <v>5728</v>
      </c>
      <c r="B199" s="167" t="str">
        <f>Données!B199</f>
        <v>Signy-Avenex</v>
      </c>
      <c r="C199" s="321">
        <f>VPI!R199</f>
        <v>66000.760172413793</v>
      </c>
      <c r="D199" s="191">
        <f>Effort!I199-IF(PCS!I205&lt;0, Effort!D199, 0)</f>
        <v>41.998246179172696</v>
      </c>
      <c r="E199" s="448">
        <f>IF(PCS!I205&lt;0, 0, PCS!F205/Aide!C199)</f>
        <v>2.5082600498470224</v>
      </c>
      <c r="F199" s="448">
        <f>Effort!G199</f>
        <v>0</v>
      </c>
      <c r="G199" s="341">
        <f t="shared" ref="G199:G262" si="10">D199+E199-F199</f>
        <v>44.50650622901972</v>
      </c>
      <c r="H199" s="208">
        <f t="shared" ref="H199:H262" si="11">IF(G199&lt;H$5,G199-H$5,0)</f>
        <v>0</v>
      </c>
      <c r="I199" s="42">
        <f t="shared" ref="I199:I262" si="12">-H199*C199</f>
        <v>0</v>
      </c>
      <c r="J199" s="29"/>
    </row>
    <row r="200" spans="1:10" x14ac:dyDescent="0.25">
      <c r="A200" s="38">
        <f>Données!A200</f>
        <v>5729</v>
      </c>
      <c r="B200" s="167" t="str">
        <f>Données!B200</f>
        <v>Tannay</v>
      </c>
      <c r="C200" s="321">
        <f>VPI!R200</f>
        <v>189085.86771349865</v>
      </c>
      <c r="D200" s="191">
        <f>Effort!I200-IF(PCS!I206&lt;0, Effort!D200, 0)</f>
        <v>41.095743048560223</v>
      </c>
      <c r="E200" s="448">
        <f>IF(PCS!I206&lt;0, 0, PCS!F206/Aide!C200)</f>
        <v>4.8109502100830914</v>
      </c>
      <c r="F200" s="448">
        <f>Effort!G200</f>
        <v>0</v>
      </c>
      <c r="G200" s="341">
        <f t="shared" si="10"/>
        <v>45.906693258643315</v>
      </c>
      <c r="H200" s="208">
        <f t="shared" si="11"/>
        <v>0</v>
      </c>
      <c r="I200" s="42">
        <f t="shared" si="12"/>
        <v>0</v>
      </c>
      <c r="J200" s="29"/>
    </row>
    <row r="201" spans="1:10" x14ac:dyDescent="0.25">
      <c r="A201" s="38">
        <f>Données!A201</f>
        <v>5730</v>
      </c>
      <c r="B201" s="167" t="str">
        <f>Données!B201</f>
        <v>Trélex</v>
      </c>
      <c r="C201" s="321">
        <f>VPI!R201</f>
        <v>121414.34176176177</v>
      </c>
      <c r="D201" s="191">
        <f>Effort!I201-IF(PCS!I207&lt;0, Effort!D201, 0)</f>
        <v>35.782577357546948</v>
      </c>
      <c r="E201" s="448">
        <f>IF(PCS!I207&lt;0, 0, PCS!F207/Aide!C201)</f>
        <v>4.5524382620676302</v>
      </c>
      <c r="F201" s="448">
        <f>Effort!G201</f>
        <v>0</v>
      </c>
      <c r="G201" s="341">
        <f t="shared" si="10"/>
        <v>40.33501561961458</v>
      </c>
      <c r="H201" s="208">
        <f t="shared" si="11"/>
        <v>0</v>
      </c>
      <c r="I201" s="42">
        <f t="shared" si="12"/>
        <v>0</v>
      </c>
      <c r="J201" s="29"/>
    </row>
    <row r="202" spans="1:10" x14ac:dyDescent="0.25">
      <c r="A202" s="38">
        <f>Données!A202</f>
        <v>5731</v>
      </c>
      <c r="B202" s="167" t="str">
        <f>Données!B202</f>
        <v>Le Vaud</v>
      </c>
      <c r="C202" s="321">
        <f>VPI!R202</f>
        <v>69610.558648648643</v>
      </c>
      <c r="D202" s="191">
        <f>Effort!I202-IF(PCS!I208&lt;0, Effort!D202, 0)</f>
        <v>26.687278588744938</v>
      </c>
      <c r="E202" s="448">
        <f>IF(PCS!I208&lt;0, 0, PCS!F208/Aide!C202)</f>
        <v>1.7901626911080559</v>
      </c>
      <c r="F202" s="448">
        <f>Effort!G202</f>
        <v>-0.36120092405832538</v>
      </c>
      <c r="G202" s="341">
        <f t="shared" si="10"/>
        <v>28.83864220391132</v>
      </c>
      <c r="H202" s="208">
        <f t="shared" si="11"/>
        <v>0</v>
      </c>
      <c r="I202" s="42">
        <f t="shared" si="12"/>
        <v>0</v>
      </c>
      <c r="J202" s="29"/>
    </row>
    <row r="203" spans="1:10" x14ac:dyDescent="0.25">
      <c r="A203" s="38">
        <f>Données!A203</f>
        <v>5732</v>
      </c>
      <c r="B203" s="167" t="str">
        <f>Données!B203</f>
        <v>Vich</v>
      </c>
      <c r="C203" s="321">
        <f>VPI!R203</f>
        <v>79861.73920634923</v>
      </c>
      <c r="D203" s="191">
        <f>Effort!I203-IF(PCS!I209&lt;0, Effort!D203, 0)</f>
        <v>33.143106773698563</v>
      </c>
      <c r="E203" s="448">
        <f>IF(PCS!I209&lt;0, 0, PCS!F209/Aide!C203)</f>
        <v>2.3028854220767889</v>
      </c>
      <c r="F203" s="448">
        <f>Effort!G203</f>
        <v>0</v>
      </c>
      <c r="G203" s="341">
        <f t="shared" si="10"/>
        <v>35.445992195775354</v>
      </c>
      <c r="H203" s="208">
        <f t="shared" si="11"/>
        <v>0</v>
      </c>
      <c r="I203" s="42">
        <f t="shared" si="12"/>
        <v>0</v>
      </c>
      <c r="J203" s="29"/>
    </row>
    <row r="204" spans="1:10" x14ac:dyDescent="0.25">
      <c r="A204" s="38">
        <f>Données!A204</f>
        <v>5741</v>
      </c>
      <c r="B204" s="167" t="str">
        <f>Données!B204</f>
        <v>L'Abergement</v>
      </c>
      <c r="C204" s="321">
        <f>VPI!R204</f>
        <v>10833.904395833331</v>
      </c>
      <c r="D204" s="191">
        <f>Effort!I204-IF(PCS!I210&lt;0, Effort!D204, 0)</f>
        <v>13.003966846726909</v>
      </c>
      <c r="E204" s="448">
        <f>IF(PCS!I210&lt;0, 0, PCS!F210/Aide!C204)</f>
        <v>1.5718760640484779</v>
      </c>
      <c r="F204" s="448">
        <f>Effort!G204</f>
        <v>-10.50015222322579</v>
      </c>
      <c r="G204" s="341">
        <f t="shared" si="10"/>
        <v>25.075995134001175</v>
      </c>
      <c r="H204" s="208">
        <f t="shared" si="11"/>
        <v>0</v>
      </c>
      <c r="I204" s="42">
        <f t="shared" si="12"/>
        <v>0</v>
      </c>
      <c r="J204" s="29"/>
    </row>
    <row r="205" spans="1:10" x14ac:dyDescent="0.25">
      <c r="A205" s="38">
        <f>Données!A205</f>
        <v>5742</v>
      </c>
      <c r="B205" s="167" t="str">
        <f>Données!B205</f>
        <v>Agiez</v>
      </c>
      <c r="C205" s="321">
        <f>VPI!R205</f>
        <v>9049.0364473684222</v>
      </c>
      <c r="D205" s="191">
        <f>Effort!I205-IF(PCS!I211&lt;0, Effort!D205, 0)</f>
        <v>-3.272966502468698</v>
      </c>
      <c r="E205" s="448">
        <f>IF(PCS!I211&lt;0, 0, PCS!F211/Aide!C205)</f>
        <v>0.10017420144921796</v>
      </c>
      <c r="F205" s="448">
        <f>Effort!G205</f>
        <v>-4.5893012169644045</v>
      </c>
      <c r="G205" s="341">
        <f t="shared" si="10"/>
        <v>1.4165089159449247</v>
      </c>
      <c r="H205" s="208">
        <f t="shared" si="11"/>
        <v>0</v>
      </c>
      <c r="I205" s="42">
        <f t="shared" si="12"/>
        <v>0</v>
      </c>
      <c r="J205" s="29"/>
    </row>
    <row r="206" spans="1:10" x14ac:dyDescent="0.25">
      <c r="A206" s="38">
        <f>Données!A206</f>
        <v>5743</v>
      </c>
      <c r="B206" s="167" t="str">
        <f>Données!B206</f>
        <v>Arnex-sur-Orbe</v>
      </c>
      <c r="C206" s="321">
        <f>VPI!R206</f>
        <v>19423.544507042254</v>
      </c>
      <c r="D206" s="191">
        <f>Effort!I206-IF(PCS!I212&lt;0, Effort!D206, 0)</f>
        <v>6.8119880003497215</v>
      </c>
      <c r="E206" s="448">
        <f>IF(PCS!I212&lt;0, 0, PCS!F212/Aide!C206)</f>
        <v>4.5816076446672831</v>
      </c>
      <c r="F206" s="448">
        <f>Effort!G206</f>
        <v>-4.7228111699431201</v>
      </c>
      <c r="G206" s="341">
        <f t="shared" si="10"/>
        <v>16.116406814960126</v>
      </c>
      <c r="H206" s="208">
        <f t="shared" si="11"/>
        <v>0</v>
      </c>
      <c r="I206" s="42">
        <f t="shared" si="12"/>
        <v>0</v>
      </c>
      <c r="J206" s="29"/>
    </row>
    <row r="207" spans="1:10" x14ac:dyDescent="0.25">
      <c r="A207" s="38">
        <f>Données!A207</f>
        <v>5744</v>
      </c>
      <c r="B207" s="167" t="str">
        <f>Données!B207</f>
        <v>Ballaigues</v>
      </c>
      <c r="C207" s="321">
        <f>VPI!R207</f>
        <v>54105.101538461538</v>
      </c>
      <c r="D207" s="191">
        <f>Effort!I207-IF(PCS!I213&lt;0, Effort!D207, 0)</f>
        <v>20.953296590609654</v>
      </c>
      <c r="E207" s="448">
        <f>IF(PCS!I213&lt;0, 0, PCS!F213/Aide!C207)</f>
        <v>10.668454703659965</v>
      </c>
      <c r="F207" s="448">
        <f>Effort!G207</f>
        <v>-5.8821359828545674</v>
      </c>
      <c r="G207" s="341">
        <f t="shared" si="10"/>
        <v>37.503887277124186</v>
      </c>
      <c r="H207" s="208">
        <f t="shared" si="11"/>
        <v>0</v>
      </c>
      <c r="I207" s="42">
        <f t="shared" si="12"/>
        <v>0</v>
      </c>
      <c r="J207" s="29"/>
    </row>
    <row r="208" spans="1:10" x14ac:dyDescent="0.25">
      <c r="A208" s="38">
        <f>Données!A208</f>
        <v>5745</v>
      </c>
      <c r="B208" s="167" t="str">
        <f>Données!B208</f>
        <v>Baulmes</v>
      </c>
      <c r="C208" s="321">
        <f>VPI!R208</f>
        <v>27705.104967320265</v>
      </c>
      <c r="D208" s="191">
        <f>Effort!I208-IF(PCS!I214&lt;0, Effort!D208, 0)</f>
        <v>-11.914551699050268</v>
      </c>
      <c r="E208" s="448">
        <f>IF(PCS!I214&lt;0, 0, PCS!F214/Aide!C208)</f>
        <v>4.9337246749735408</v>
      </c>
      <c r="F208" s="448">
        <f>Effort!G208</f>
        <v>-13.379349831297221</v>
      </c>
      <c r="G208" s="341">
        <f t="shared" si="10"/>
        <v>6.3985228072204938</v>
      </c>
      <c r="H208" s="208">
        <f t="shared" si="11"/>
        <v>0</v>
      </c>
      <c r="I208" s="42">
        <f t="shared" si="12"/>
        <v>0</v>
      </c>
      <c r="J208" s="29"/>
    </row>
    <row r="209" spans="1:10" x14ac:dyDescent="0.25">
      <c r="A209" s="38">
        <f>Données!A209</f>
        <v>5746</v>
      </c>
      <c r="B209" s="167" t="str">
        <f>Données!B209</f>
        <v>Bavois</v>
      </c>
      <c r="C209" s="321">
        <f>VPI!R209</f>
        <v>29513.59275462963</v>
      </c>
      <c r="D209" s="191">
        <f>Effort!I209-IF(PCS!I215&lt;0, Effort!D209, 0)</f>
        <v>3.7668708356104936</v>
      </c>
      <c r="E209" s="448">
        <f>IF(PCS!I215&lt;0, 0, PCS!F215/Aide!C209)</f>
        <v>4.3082791057369407</v>
      </c>
      <c r="F209" s="448">
        <f>Effort!G209</f>
        <v>-8.9127491557254501</v>
      </c>
      <c r="G209" s="341">
        <f t="shared" si="10"/>
        <v>16.987899097072884</v>
      </c>
      <c r="H209" s="208">
        <f t="shared" si="11"/>
        <v>0</v>
      </c>
      <c r="I209" s="42">
        <f t="shared" si="12"/>
        <v>0</v>
      </c>
      <c r="J209" s="29"/>
    </row>
    <row r="210" spans="1:10" x14ac:dyDescent="0.25">
      <c r="A210" s="38">
        <f>Données!A210</f>
        <v>5747</v>
      </c>
      <c r="B210" s="167" t="str">
        <f>Données!B210</f>
        <v>Bofflens</v>
      </c>
      <c r="C210" s="321">
        <f>VPI!R210</f>
        <v>5778.0378260869547</v>
      </c>
      <c r="D210" s="191">
        <f>Effort!I210-IF(PCS!I216&lt;0, Effort!D210, 0)</f>
        <v>9.1147716126191138</v>
      </c>
      <c r="E210" s="448">
        <f>IF(PCS!I216&lt;0, 0, PCS!F216/Aide!C210)</f>
        <v>6.8619748076054421</v>
      </c>
      <c r="F210" s="448">
        <f>Effort!G210</f>
        <v>-3.5706798163089393</v>
      </c>
      <c r="G210" s="341">
        <f t="shared" si="10"/>
        <v>19.547426236533497</v>
      </c>
      <c r="H210" s="208">
        <f t="shared" si="11"/>
        <v>0</v>
      </c>
      <c r="I210" s="42">
        <f t="shared" si="12"/>
        <v>0</v>
      </c>
      <c r="J210" s="29"/>
    </row>
    <row r="211" spans="1:10" x14ac:dyDescent="0.25">
      <c r="A211" s="38">
        <f>Données!A211</f>
        <v>5748</v>
      </c>
      <c r="B211" s="167" t="str">
        <f>Données!B211</f>
        <v>Bretonnières</v>
      </c>
      <c r="C211" s="321">
        <f>VPI!R211</f>
        <v>6762.4759338061467</v>
      </c>
      <c r="D211" s="191">
        <f>Effort!I211-IF(PCS!I217&lt;0, Effort!D211, 0)</f>
        <v>-4.1448816293246828</v>
      </c>
      <c r="E211" s="448">
        <f>IF(PCS!I217&lt;0, 0, PCS!F217/Aide!C211)</f>
        <v>2.957517364315891</v>
      </c>
      <c r="F211" s="448">
        <f>Effort!G211</f>
        <v>-12.159605187759576</v>
      </c>
      <c r="G211" s="341">
        <f t="shared" si="10"/>
        <v>10.972240922750784</v>
      </c>
      <c r="H211" s="208">
        <f t="shared" si="11"/>
        <v>0</v>
      </c>
      <c r="I211" s="42">
        <f t="shared" si="12"/>
        <v>0</v>
      </c>
      <c r="J211" s="29"/>
    </row>
    <row r="212" spans="1:10" x14ac:dyDescent="0.25">
      <c r="A212" s="38">
        <f>Données!A212</f>
        <v>5749</v>
      </c>
      <c r="B212" s="167" t="str">
        <f>Données!B212</f>
        <v>Chavornay</v>
      </c>
      <c r="C212" s="321">
        <f>VPI!R212</f>
        <v>144692.07858156026</v>
      </c>
      <c r="D212" s="191">
        <f>Effort!I212-IF(PCS!I218&lt;0, Effort!D212, 0)</f>
        <v>-5.6386956729861453</v>
      </c>
      <c r="E212" s="448">
        <f>IF(PCS!I218&lt;0, 0, PCS!F218/Aide!C212)</f>
        <v>2.9768519757438359</v>
      </c>
      <c r="F212" s="448">
        <f>Effort!G212</f>
        <v>-5.5590808941283418</v>
      </c>
      <c r="G212" s="341">
        <f t="shared" si="10"/>
        <v>2.8972371968860324</v>
      </c>
      <c r="H212" s="208">
        <f t="shared" si="11"/>
        <v>0</v>
      </c>
      <c r="I212" s="42">
        <f t="shared" si="12"/>
        <v>0</v>
      </c>
      <c r="J212" s="29"/>
    </row>
    <row r="213" spans="1:10" x14ac:dyDescent="0.25">
      <c r="A213" s="38">
        <f>Données!A213</f>
        <v>5750</v>
      </c>
      <c r="B213" s="167" t="str">
        <f>Données!B213</f>
        <v>Les Clées</v>
      </c>
      <c r="C213" s="321">
        <f>VPI!R213</f>
        <v>5460.4465833333343</v>
      </c>
      <c r="D213" s="191">
        <f>Effort!I213-IF(PCS!I219&lt;0, Effort!D213, 0)</f>
        <v>-0.16417513101947634</v>
      </c>
      <c r="E213" s="448">
        <f>IF(PCS!I219&lt;0, 0, PCS!F219/Aide!C213)</f>
        <v>5.6574200532041337</v>
      </c>
      <c r="F213" s="448">
        <f>Effort!G213</f>
        <v>-9.8914960046231837</v>
      </c>
      <c r="G213" s="341">
        <f t="shared" si="10"/>
        <v>15.38474092680784</v>
      </c>
      <c r="H213" s="208">
        <f t="shared" si="11"/>
        <v>0</v>
      </c>
      <c r="I213" s="42">
        <f t="shared" si="12"/>
        <v>0</v>
      </c>
      <c r="J213" s="29"/>
    </row>
    <row r="214" spans="1:10" x14ac:dyDescent="0.25">
      <c r="A214" s="38">
        <f>Données!A214</f>
        <v>5752</v>
      </c>
      <c r="B214" s="167" t="str">
        <f>Données!B214</f>
        <v>Croy</v>
      </c>
      <c r="C214" s="321">
        <f>VPI!R214</f>
        <v>10204.254034749034</v>
      </c>
      <c r="D214" s="191">
        <f>Effort!I214-IF(PCS!I220&lt;0, Effort!D214, 0)</f>
        <v>-17.694484666611057</v>
      </c>
      <c r="E214" s="448">
        <f>IF(PCS!I220&lt;0, 0, PCS!F220/Aide!C214)</f>
        <v>2.5107876492247798</v>
      </c>
      <c r="F214" s="448">
        <f>Effort!G214</f>
        <v>-25.347293874761622</v>
      </c>
      <c r="G214" s="341">
        <f t="shared" si="10"/>
        <v>10.163596857375344</v>
      </c>
      <c r="H214" s="208">
        <f t="shared" si="11"/>
        <v>0</v>
      </c>
      <c r="I214" s="42">
        <f t="shared" si="12"/>
        <v>0</v>
      </c>
      <c r="J214" s="29"/>
    </row>
    <row r="215" spans="1:10" x14ac:dyDescent="0.25">
      <c r="A215" s="38">
        <f>Données!A215</f>
        <v>5754</v>
      </c>
      <c r="B215" s="167" t="str">
        <f>Données!B215</f>
        <v>Juriens</v>
      </c>
      <c r="C215" s="321">
        <f>VPI!R215</f>
        <v>8633.2483544303759</v>
      </c>
      <c r="D215" s="191">
        <f>Effort!I215-IF(PCS!I221&lt;0, Effort!D215, 0)</f>
        <v>-1.6496012518395951</v>
      </c>
      <c r="E215" s="448">
        <f>IF(PCS!I221&lt;0, 0, PCS!F221/Aide!C215)</f>
        <v>18.829088811812078</v>
      </c>
      <c r="F215" s="448">
        <f>Effort!G215</f>
        <v>-3.7429433912711545</v>
      </c>
      <c r="G215" s="341">
        <f t="shared" si="10"/>
        <v>20.922430951243637</v>
      </c>
      <c r="H215" s="208">
        <f t="shared" si="11"/>
        <v>0</v>
      </c>
      <c r="I215" s="42">
        <f t="shared" si="12"/>
        <v>0</v>
      </c>
      <c r="J215" s="29"/>
    </row>
    <row r="216" spans="1:10" x14ac:dyDescent="0.25">
      <c r="A216" s="38">
        <f>Données!A216</f>
        <v>5755</v>
      </c>
      <c r="B216" s="167" t="str">
        <f>Données!B216</f>
        <v>Lignerolle</v>
      </c>
      <c r="C216" s="321">
        <f>VPI!R216</f>
        <v>10920.942602365787</v>
      </c>
      <c r="D216" s="191">
        <f>Effort!I216-IF(PCS!I222&lt;0, Effort!D216, 0)</f>
        <v>-9.9686125493170827</v>
      </c>
      <c r="E216" s="448">
        <f>IF(PCS!I222&lt;0, 0, PCS!F222/Aide!C216)</f>
        <v>4.7426803606476087</v>
      </c>
      <c r="F216" s="448">
        <f>Effort!G216</f>
        <v>-11.230384766188795</v>
      </c>
      <c r="G216" s="341">
        <f t="shared" si="10"/>
        <v>6.0044525775193209</v>
      </c>
      <c r="H216" s="208">
        <f t="shared" si="11"/>
        <v>0</v>
      </c>
      <c r="I216" s="42">
        <f t="shared" si="12"/>
        <v>0</v>
      </c>
      <c r="J216" s="29"/>
    </row>
    <row r="217" spans="1:10" x14ac:dyDescent="0.25">
      <c r="A217" s="38">
        <f>Données!A217</f>
        <v>5756</v>
      </c>
      <c r="B217" s="167" t="str">
        <f>Données!B217</f>
        <v>Montcherand</v>
      </c>
      <c r="C217" s="321">
        <f>VPI!R217</f>
        <v>17503.400416666664</v>
      </c>
      <c r="D217" s="191">
        <f>Effort!I217-IF(PCS!I223&lt;0, Effort!D217, 0)</f>
        <v>16.20707088168248</v>
      </c>
      <c r="E217" s="448">
        <f>IF(PCS!I223&lt;0, 0, PCS!F223/Aide!C217)</f>
        <v>0.75471706557209217</v>
      </c>
      <c r="F217" s="448">
        <f>Effort!G217</f>
        <v>-3.1734603664273728</v>
      </c>
      <c r="G217" s="341">
        <f t="shared" si="10"/>
        <v>20.135248313681945</v>
      </c>
      <c r="H217" s="208">
        <f t="shared" si="11"/>
        <v>0</v>
      </c>
      <c r="I217" s="42">
        <f t="shared" si="12"/>
        <v>0</v>
      </c>
      <c r="J217" s="29"/>
    </row>
    <row r="218" spans="1:10" x14ac:dyDescent="0.25">
      <c r="A218" s="38">
        <f>Données!A218</f>
        <v>5757</v>
      </c>
      <c r="B218" s="167" t="str">
        <f>Données!B218</f>
        <v>Orbe</v>
      </c>
      <c r="C218" s="321">
        <f>VPI!R218</f>
        <v>217762.06927152316</v>
      </c>
      <c r="D218" s="191">
        <f>Effort!I218-IF(PCS!I224&lt;0, Effort!D218, 0)</f>
        <v>-10.562454870997055</v>
      </c>
      <c r="E218" s="448">
        <f>IF(PCS!I224&lt;0, 0, PCS!F224/Aide!C218)</f>
        <v>8.098339650699744</v>
      </c>
      <c r="F218" s="448">
        <f>Effort!G218</f>
        <v>-9.4014769937648897</v>
      </c>
      <c r="G218" s="341">
        <f t="shared" si="10"/>
        <v>6.937361773467579</v>
      </c>
      <c r="H218" s="208">
        <f t="shared" si="11"/>
        <v>0</v>
      </c>
      <c r="I218" s="42">
        <f t="shared" si="12"/>
        <v>0</v>
      </c>
      <c r="J218" s="29"/>
    </row>
    <row r="219" spans="1:10" x14ac:dyDescent="0.25">
      <c r="A219" s="38">
        <f>Données!A219</f>
        <v>5758</v>
      </c>
      <c r="B219" s="167" t="str">
        <f>Données!B219</f>
        <v>La Praz</v>
      </c>
      <c r="C219" s="321">
        <f>VPI!R219</f>
        <v>4500.7334939759048</v>
      </c>
      <c r="D219" s="191">
        <f>Effort!I219-IF(PCS!I225&lt;0, Effort!D219, 0)</f>
        <v>-15.894756197970107</v>
      </c>
      <c r="E219" s="448">
        <f>IF(PCS!I225&lt;0, 0, PCS!F225/Aide!C219)</f>
        <v>0.26534897069521829</v>
      </c>
      <c r="F219" s="448">
        <f>Effort!G219</f>
        <v>-14.694460164030016</v>
      </c>
      <c r="G219" s="341">
        <f t="shared" si="10"/>
        <v>-0.93494706324487353</v>
      </c>
      <c r="H219" s="208">
        <f t="shared" si="11"/>
        <v>0</v>
      </c>
      <c r="I219" s="42">
        <f t="shared" si="12"/>
        <v>0</v>
      </c>
      <c r="J219" s="29"/>
    </row>
    <row r="220" spans="1:10" x14ac:dyDescent="0.25">
      <c r="A220" s="38">
        <f>Données!A220</f>
        <v>5759</v>
      </c>
      <c r="B220" s="167" t="str">
        <f>Données!B220</f>
        <v>Premier</v>
      </c>
      <c r="C220" s="321">
        <f>VPI!R220</f>
        <v>5667.0675471698114</v>
      </c>
      <c r="D220" s="191">
        <f>Effort!I220-IF(PCS!I226&lt;0, Effort!D220, 0)</f>
        <v>-6.6016574906164074</v>
      </c>
      <c r="E220" s="448">
        <f>IF(PCS!I226&lt;0, 0, PCS!F226/Aide!C220)</f>
        <v>3.872726029348379</v>
      </c>
      <c r="F220" s="448">
        <f>Effort!G220</f>
        <v>-6.2763227049842225</v>
      </c>
      <c r="G220" s="341">
        <f t="shared" si="10"/>
        <v>3.5473912437161941</v>
      </c>
      <c r="H220" s="208">
        <f t="shared" si="11"/>
        <v>0</v>
      </c>
      <c r="I220" s="42">
        <f t="shared" si="12"/>
        <v>0</v>
      </c>
      <c r="J220" s="29"/>
    </row>
    <row r="221" spans="1:10" x14ac:dyDescent="0.25">
      <c r="A221" s="38">
        <f>Données!A221</f>
        <v>5760</v>
      </c>
      <c r="B221" s="167" t="str">
        <f>Données!B221</f>
        <v>Rances</v>
      </c>
      <c r="C221" s="321">
        <f>VPI!R221</f>
        <v>16308.735686274507</v>
      </c>
      <c r="D221" s="191">
        <f>Effort!I221-IF(PCS!I227&lt;0, Effort!D221, 0)</f>
        <v>4.4071956196321693</v>
      </c>
      <c r="E221" s="448">
        <f>IF(PCS!I227&lt;0, 0, PCS!F227/Aide!C221)</f>
        <v>4.3503847486909217</v>
      </c>
      <c r="F221" s="448">
        <f>Effort!G221</f>
        <v>-9.418788621789032</v>
      </c>
      <c r="G221" s="341">
        <f t="shared" si="10"/>
        <v>18.176368990112124</v>
      </c>
      <c r="H221" s="208">
        <f t="shared" si="11"/>
        <v>0</v>
      </c>
      <c r="I221" s="42">
        <f t="shared" si="12"/>
        <v>0</v>
      </c>
      <c r="J221" s="29"/>
    </row>
    <row r="222" spans="1:10" x14ac:dyDescent="0.25">
      <c r="A222" s="38">
        <f>Données!A222</f>
        <v>5761</v>
      </c>
      <c r="B222" s="167" t="str">
        <f>Données!B222</f>
        <v>Romainmôtier-Envy</v>
      </c>
      <c r="C222" s="321">
        <f>VPI!R222</f>
        <v>14407.779147025813</v>
      </c>
      <c r="D222" s="191">
        <f>Effort!I222-IF(PCS!I228&lt;0, Effort!D222, 0)</f>
        <v>-10.594472678617532</v>
      </c>
      <c r="E222" s="448">
        <f>IF(PCS!I228&lt;0, 0, PCS!F228/Aide!C222)</f>
        <v>3.3306809127419243</v>
      </c>
      <c r="F222" s="448">
        <f>Effort!G222</f>
        <v>-13.27312996446936</v>
      </c>
      <c r="G222" s="341">
        <f t="shared" si="10"/>
        <v>6.0093381985937526</v>
      </c>
      <c r="H222" s="208">
        <f t="shared" si="11"/>
        <v>0</v>
      </c>
      <c r="I222" s="42">
        <f t="shared" si="12"/>
        <v>0</v>
      </c>
      <c r="J222" s="29"/>
    </row>
    <row r="223" spans="1:10" x14ac:dyDescent="0.25">
      <c r="A223" s="38">
        <f>Données!A223</f>
        <v>5762</v>
      </c>
      <c r="B223" s="167" t="str">
        <f>Données!B223</f>
        <v>Sergey</v>
      </c>
      <c r="C223" s="321">
        <f>VPI!R223</f>
        <v>3741.4505128205124</v>
      </c>
      <c r="D223" s="191">
        <f>Effort!I223-IF(PCS!I229&lt;0, Effort!D223, 0)</f>
        <v>-5.0214858162470186</v>
      </c>
      <c r="E223" s="448">
        <f>IF(PCS!I229&lt;0, 0, PCS!F229/Aide!C223)</f>
        <v>1.783638451753629</v>
      </c>
      <c r="F223" s="448">
        <f>Effort!G223</f>
        <v>-11.183285438384415</v>
      </c>
      <c r="G223" s="341">
        <f t="shared" si="10"/>
        <v>7.9454380738910251</v>
      </c>
      <c r="H223" s="208">
        <f t="shared" si="11"/>
        <v>0</v>
      </c>
      <c r="I223" s="42">
        <f t="shared" si="12"/>
        <v>0</v>
      </c>
      <c r="J223" s="29"/>
    </row>
    <row r="224" spans="1:10" x14ac:dyDescent="0.25">
      <c r="A224" s="38">
        <f>Données!A224</f>
        <v>5763</v>
      </c>
      <c r="B224" s="167" t="str">
        <f>Données!B224</f>
        <v>Valeyres-sous-Rances</v>
      </c>
      <c r="C224" s="321">
        <f>VPI!R224</f>
        <v>22297.189859154929</v>
      </c>
      <c r="D224" s="191">
        <f>Effort!I224-IF(PCS!I230&lt;0, Effort!D224, 0)</f>
        <v>17.718540748512261</v>
      </c>
      <c r="E224" s="448">
        <f>IF(PCS!I230&lt;0, 0, PCS!F230/Aide!C224)</f>
        <v>0.89758485829023327</v>
      </c>
      <c r="F224" s="448">
        <f>Effort!G224</f>
        <v>-3.1568986448668124</v>
      </c>
      <c r="G224" s="341">
        <f t="shared" si="10"/>
        <v>21.773024251669305</v>
      </c>
      <c r="H224" s="208">
        <f t="shared" si="11"/>
        <v>0</v>
      </c>
      <c r="I224" s="42">
        <f t="shared" si="12"/>
        <v>0</v>
      </c>
      <c r="J224" s="29"/>
    </row>
    <row r="225" spans="1:10" x14ac:dyDescent="0.25">
      <c r="A225" s="38">
        <f>Données!A225</f>
        <v>5764</v>
      </c>
      <c r="B225" s="167" t="str">
        <f>Données!B225</f>
        <v>Vallorbe</v>
      </c>
      <c r="C225" s="321">
        <f>VPI!R225</f>
        <v>83717.114965034954</v>
      </c>
      <c r="D225" s="191">
        <f>Effort!I225-IF(PCS!I231&lt;0, Effort!D225, 0)</f>
        <v>-38.376533215886198</v>
      </c>
      <c r="E225" s="448">
        <f>IF(PCS!I231&lt;0, 0, PCS!F231/Aide!C225)</f>
        <v>12.632944236572312</v>
      </c>
      <c r="F225" s="448">
        <f>Effort!G225</f>
        <v>-26.162320272273842</v>
      </c>
      <c r="G225" s="341">
        <f t="shared" si="10"/>
        <v>0.41873129295995781</v>
      </c>
      <c r="H225" s="208">
        <f t="shared" si="11"/>
        <v>0</v>
      </c>
      <c r="I225" s="42">
        <f t="shared" si="12"/>
        <v>0</v>
      </c>
      <c r="J225" s="29"/>
    </row>
    <row r="226" spans="1:10" x14ac:dyDescent="0.25">
      <c r="A226" s="38">
        <f>Données!A226</f>
        <v>5765</v>
      </c>
      <c r="B226" s="167" t="str">
        <f>Données!B226</f>
        <v>Vaulion</v>
      </c>
      <c r="C226" s="321">
        <f>VPI!R226</f>
        <v>9628.0504938271606</v>
      </c>
      <c r="D226" s="191">
        <f>Effort!I226-IF(PCS!I232&lt;0, Effort!D226, 0)</f>
        <v>-31.21011891430096</v>
      </c>
      <c r="E226" s="448">
        <f>IF(PCS!I232&lt;0, 0, PCS!F232/Aide!C226)</f>
        <v>1.6088236149084396</v>
      </c>
      <c r="F226" s="448">
        <f>Effort!G226</f>
        <v>-17.973774574366416</v>
      </c>
      <c r="G226" s="341">
        <f t="shared" si="10"/>
        <v>-11.627520725026105</v>
      </c>
      <c r="H226" s="208">
        <f t="shared" si="11"/>
        <v>-3.6275207250261055</v>
      </c>
      <c r="I226" s="42">
        <f t="shared" si="12"/>
        <v>34925.952707955854</v>
      </c>
      <c r="J226" s="29"/>
    </row>
    <row r="227" spans="1:10" x14ac:dyDescent="0.25">
      <c r="A227" s="38">
        <f>Données!A227</f>
        <v>5766</v>
      </c>
      <c r="B227" s="167" t="str">
        <f>Données!B227</f>
        <v>Vuiteboeuf</v>
      </c>
      <c r="C227" s="321">
        <f>VPI!R227</f>
        <v>15422.760361904762</v>
      </c>
      <c r="D227" s="191">
        <f>Effort!I227-IF(PCS!I233&lt;0, Effort!D227, 0)</f>
        <v>2.7643184925974715</v>
      </c>
      <c r="E227" s="448">
        <f>IF(PCS!I233&lt;0, 0, PCS!F233/Aide!C227)</f>
        <v>6.1772058155894145</v>
      </c>
      <c r="F227" s="448">
        <f>Effort!G227</f>
        <v>-3.7127184896537555</v>
      </c>
      <c r="G227" s="341">
        <f t="shared" si="10"/>
        <v>12.654242797840642</v>
      </c>
      <c r="H227" s="208">
        <f t="shared" si="11"/>
        <v>0</v>
      </c>
      <c r="I227" s="42">
        <f t="shared" si="12"/>
        <v>0</v>
      </c>
      <c r="J227" s="29"/>
    </row>
    <row r="228" spans="1:10" x14ac:dyDescent="0.25">
      <c r="A228" s="38">
        <f>Données!A228</f>
        <v>5785</v>
      </c>
      <c r="B228" s="167" t="str">
        <f>Données!B228</f>
        <v>Corcelles-le-Jorat</v>
      </c>
      <c r="C228" s="321">
        <f>VPI!R228</f>
        <v>15461.968933333332</v>
      </c>
      <c r="D228" s="191">
        <f>Effort!I228-IF(PCS!I234&lt;0, Effort!D228, 0)</f>
        <v>9.8663956865675253</v>
      </c>
      <c r="E228" s="448">
        <f>IF(PCS!I234&lt;0, 0, PCS!F234/Aide!C228)</f>
        <v>1.1735973004628208</v>
      </c>
      <c r="F228" s="448">
        <f>Effort!G228</f>
        <v>-5.163101157699046</v>
      </c>
      <c r="G228" s="341">
        <f t="shared" si="10"/>
        <v>16.203094144729391</v>
      </c>
      <c r="H228" s="208">
        <f t="shared" si="11"/>
        <v>0</v>
      </c>
      <c r="I228" s="42">
        <f t="shared" si="12"/>
        <v>0</v>
      </c>
      <c r="J228" s="29"/>
    </row>
    <row r="229" spans="1:10" x14ac:dyDescent="0.25">
      <c r="A229" s="38">
        <f>Données!A229</f>
        <v>5790</v>
      </c>
      <c r="B229" s="167" t="str">
        <f>Données!B229</f>
        <v>Maracon</v>
      </c>
      <c r="C229" s="321">
        <f>VPI!R229</f>
        <v>16326.697583892621</v>
      </c>
      <c r="D229" s="191">
        <f>Effort!I229-IF(PCS!I235&lt;0, Effort!D229, 0)</f>
        <v>9.4375967619106937</v>
      </c>
      <c r="E229" s="448">
        <f>IF(PCS!I235&lt;0, 0, PCS!F235/Aide!C229)</f>
        <v>0.80802072386121093</v>
      </c>
      <c r="F229" s="448">
        <f>Effort!G229</f>
        <v>-3.3962357795705564</v>
      </c>
      <c r="G229" s="341">
        <f t="shared" si="10"/>
        <v>13.641853265342462</v>
      </c>
      <c r="H229" s="208">
        <f t="shared" si="11"/>
        <v>0</v>
      </c>
      <c r="I229" s="42">
        <f t="shared" si="12"/>
        <v>0</v>
      </c>
      <c r="J229" s="29"/>
    </row>
    <row r="230" spans="1:10" x14ac:dyDescent="0.25">
      <c r="A230" s="38">
        <f>Données!A230</f>
        <v>5792</v>
      </c>
      <c r="B230" s="167" t="str">
        <f>Données!B230</f>
        <v>Montpreveyres</v>
      </c>
      <c r="C230" s="321">
        <f>VPI!R230</f>
        <v>19363.161854304632</v>
      </c>
      <c r="D230" s="191">
        <f>Effort!I230-IF(PCS!I236&lt;0, Effort!D230, 0)</f>
        <v>3.153886518087452</v>
      </c>
      <c r="E230" s="448">
        <f>IF(PCS!I236&lt;0, 0, PCS!F236/Aide!C230)</f>
        <v>1.0082392610719153</v>
      </c>
      <c r="F230" s="448">
        <f>Effort!G230</f>
        <v>-8.3032167000365149</v>
      </c>
      <c r="G230" s="341">
        <f t="shared" si="10"/>
        <v>12.465342479195883</v>
      </c>
      <c r="H230" s="208">
        <f t="shared" si="11"/>
        <v>0</v>
      </c>
      <c r="I230" s="42">
        <f t="shared" si="12"/>
        <v>0</v>
      </c>
      <c r="J230" s="29"/>
    </row>
    <row r="231" spans="1:10" x14ac:dyDescent="0.25">
      <c r="A231" s="38">
        <f>Données!A231</f>
        <v>5798</v>
      </c>
      <c r="B231" s="167" t="str">
        <f>Données!B231</f>
        <v>Ropraz</v>
      </c>
      <c r="C231" s="321">
        <f>VPI!R231</f>
        <v>16208.351096774193</v>
      </c>
      <c r="D231" s="191">
        <f>Effort!I231-IF(PCS!I237&lt;0, Effort!D231, 0)</f>
        <v>7.2366236112725275</v>
      </c>
      <c r="E231" s="448">
        <f>IF(PCS!I237&lt;0, 0, PCS!F237/Aide!C231)</f>
        <v>2.3599528891999855</v>
      </c>
      <c r="F231" s="448">
        <f>Effort!G231</f>
        <v>-5.3580638510513428</v>
      </c>
      <c r="G231" s="341">
        <f t="shared" si="10"/>
        <v>14.954640351523855</v>
      </c>
      <c r="H231" s="208">
        <f t="shared" si="11"/>
        <v>0</v>
      </c>
      <c r="I231" s="42">
        <f t="shared" si="12"/>
        <v>0</v>
      </c>
      <c r="J231" s="29"/>
    </row>
    <row r="232" spans="1:10" x14ac:dyDescent="0.25">
      <c r="A232" s="38">
        <f>Données!A232</f>
        <v>5799</v>
      </c>
      <c r="B232" s="167" t="str">
        <f>Données!B232</f>
        <v>Servion</v>
      </c>
      <c r="C232" s="321">
        <f>VPI!R232</f>
        <v>73170.718115942043</v>
      </c>
      <c r="D232" s="191">
        <f>Effort!I232-IF(PCS!I238&lt;0, Effort!D232, 0)</f>
        <v>10.442713182738281</v>
      </c>
      <c r="E232" s="448">
        <f>IF(PCS!I238&lt;0, 0, PCS!F238/Aide!C232)</f>
        <v>5.7705612418747805</v>
      </c>
      <c r="F232" s="448">
        <f>Effort!G232</f>
        <v>-5.0651230553332409</v>
      </c>
      <c r="G232" s="341">
        <f t="shared" si="10"/>
        <v>21.278397479946303</v>
      </c>
      <c r="H232" s="208">
        <f t="shared" si="11"/>
        <v>0</v>
      </c>
      <c r="I232" s="42">
        <f t="shared" si="12"/>
        <v>0</v>
      </c>
      <c r="J232" s="29"/>
    </row>
    <row r="233" spans="1:10" x14ac:dyDescent="0.25">
      <c r="A233" s="38">
        <f>Données!A233</f>
        <v>5803</v>
      </c>
      <c r="B233" s="167" t="str">
        <f>Données!B233</f>
        <v>Vulliens</v>
      </c>
      <c r="C233" s="321">
        <f>VPI!R233</f>
        <v>16577.57405405405</v>
      </c>
      <c r="D233" s="191">
        <f>Effort!I233-IF(PCS!I239&lt;0, Effort!D233, 0)</f>
        <v>1.1661695945984896</v>
      </c>
      <c r="E233" s="448">
        <f>IF(PCS!I239&lt;0, 0, PCS!F239/Aide!C233)</f>
        <v>4.107831446142546</v>
      </c>
      <c r="F233" s="448">
        <f>Effort!G233</f>
        <v>-6.1339267617548616</v>
      </c>
      <c r="G233" s="341">
        <f t="shared" si="10"/>
        <v>11.407927802495898</v>
      </c>
      <c r="H233" s="208">
        <f t="shared" si="11"/>
        <v>0</v>
      </c>
      <c r="I233" s="42">
        <f t="shared" si="12"/>
        <v>0</v>
      </c>
      <c r="J233" s="29"/>
    </row>
    <row r="234" spans="1:10" x14ac:dyDescent="0.25">
      <c r="A234" s="38">
        <f>Données!A234</f>
        <v>5804</v>
      </c>
      <c r="B234" s="167" t="str">
        <f>Données!B234</f>
        <v>Jorat-Menthue</v>
      </c>
      <c r="C234" s="321">
        <f>VPI!R234</f>
        <v>45125.345957446807</v>
      </c>
      <c r="D234" s="191">
        <f>Effort!I234-IF(PCS!I240&lt;0, Effort!D234, 0)</f>
        <v>0.49271356092987517</v>
      </c>
      <c r="E234" s="448">
        <f>IF(PCS!I240&lt;0, 0, PCS!F240/Aide!C234)</f>
        <v>2.3089931564902582</v>
      </c>
      <c r="F234" s="448">
        <f>Effort!G234</f>
        <v>-9.372358390028916</v>
      </c>
      <c r="G234" s="341">
        <f t="shared" si="10"/>
        <v>12.174065107449049</v>
      </c>
      <c r="H234" s="208">
        <f t="shared" si="11"/>
        <v>0</v>
      </c>
      <c r="I234" s="42">
        <f t="shared" si="12"/>
        <v>0</v>
      </c>
      <c r="J234" s="29"/>
    </row>
    <row r="235" spans="1:10" x14ac:dyDescent="0.25">
      <c r="A235" s="38">
        <f>Données!A235</f>
        <v>5805</v>
      </c>
      <c r="B235" s="167" t="str">
        <f>Données!B235</f>
        <v>Oron</v>
      </c>
      <c r="C235" s="321">
        <f>VPI!R235</f>
        <v>174509.83123847167</v>
      </c>
      <c r="D235" s="191">
        <f>Effort!I235-IF(PCS!I241&lt;0, Effort!D235, 0)</f>
        <v>-4.2851545891758533</v>
      </c>
      <c r="E235" s="448">
        <f>IF(PCS!I241&lt;0, 0, PCS!F241/Aide!C235)</f>
        <v>2.8484409243438416</v>
      </c>
      <c r="F235" s="448">
        <f>Effort!G235</f>
        <v>-6.9835693721105407</v>
      </c>
      <c r="G235" s="341">
        <f t="shared" si="10"/>
        <v>5.5468557072785289</v>
      </c>
      <c r="H235" s="208">
        <f t="shared" si="11"/>
        <v>0</v>
      </c>
      <c r="I235" s="42">
        <f t="shared" si="12"/>
        <v>0</v>
      </c>
      <c r="J235" s="29"/>
    </row>
    <row r="236" spans="1:10" x14ac:dyDescent="0.25">
      <c r="A236" s="38">
        <f>Données!A236</f>
        <v>5806</v>
      </c>
      <c r="B236" s="167" t="str">
        <f>Données!B236</f>
        <v>Jorat-Mézières</v>
      </c>
      <c r="C236" s="321">
        <f>VPI!R236</f>
        <v>102977.86342465752</v>
      </c>
      <c r="D236" s="191">
        <f>Effort!I236-IF(PCS!I242&lt;0, Effort!D236, 0)</f>
        <v>7.1432195073685421</v>
      </c>
      <c r="E236" s="448">
        <f>IF(PCS!I242&lt;0, 0, PCS!F242/Aide!C236)</f>
        <v>3.6120330392379865</v>
      </c>
      <c r="F236" s="448">
        <f>Effort!G236</f>
        <v>-4.9327986866197131</v>
      </c>
      <c r="G236" s="341">
        <f t="shared" si="10"/>
        <v>15.68805123322624</v>
      </c>
      <c r="H236" s="208">
        <f t="shared" si="11"/>
        <v>0</v>
      </c>
      <c r="I236" s="42">
        <f t="shared" si="12"/>
        <v>0</v>
      </c>
      <c r="J236" s="29"/>
    </row>
    <row r="237" spans="1:10" x14ac:dyDescent="0.25">
      <c r="A237" s="38">
        <f>Données!A237</f>
        <v>5812</v>
      </c>
      <c r="B237" s="167" t="str">
        <f>Données!B237</f>
        <v>Champtauroz</v>
      </c>
      <c r="C237" s="321">
        <f>VPI!R237</f>
        <v>3659.293116883116</v>
      </c>
      <c r="D237" s="191">
        <f>Effort!I237-IF(PCS!I243&lt;0, Effort!D237, 0)</f>
        <v>-15.297268244832114</v>
      </c>
      <c r="E237" s="448">
        <f>IF(PCS!I243&lt;0, 0, PCS!F243/Aide!C237)</f>
        <v>6.3183924494394414</v>
      </c>
      <c r="F237" s="448">
        <f>Effort!G237</f>
        <v>-10.76465322750399</v>
      </c>
      <c r="G237" s="341">
        <f t="shared" si="10"/>
        <v>1.7857774321113169</v>
      </c>
      <c r="H237" s="208">
        <f t="shared" si="11"/>
        <v>0</v>
      </c>
      <c r="I237" s="42">
        <f t="shared" si="12"/>
        <v>0</v>
      </c>
      <c r="J237" s="29"/>
    </row>
    <row r="238" spans="1:10" x14ac:dyDescent="0.25">
      <c r="A238" s="38">
        <f>Données!A238</f>
        <v>5813</v>
      </c>
      <c r="B238" s="167" t="str">
        <f>Données!B238</f>
        <v>Chevroux</v>
      </c>
      <c r="C238" s="321">
        <f>VPI!R238</f>
        <v>17498.80282238443</v>
      </c>
      <c r="D238" s="191">
        <f>Effort!I238-IF(PCS!I244&lt;0, Effort!D238, 0)</f>
        <v>8.8578190945225419</v>
      </c>
      <c r="E238" s="448">
        <f>IF(PCS!I244&lt;0, 0, PCS!F244/Aide!C238)</f>
        <v>4.6736554397528778</v>
      </c>
      <c r="F238" s="448">
        <f>Effort!G238</f>
        <v>-9.7068030761745696</v>
      </c>
      <c r="G238" s="341">
        <f t="shared" si="10"/>
        <v>23.238277610449991</v>
      </c>
      <c r="H238" s="208">
        <f t="shared" si="11"/>
        <v>0</v>
      </c>
      <c r="I238" s="42">
        <f t="shared" si="12"/>
        <v>0</v>
      </c>
      <c r="J238" s="29"/>
    </row>
    <row r="239" spans="1:10" x14ac:dyDescent="0.25">
      <c r="A239" s="38">
        <f>Données!A239</f>
        <v>5816</v>
      </c>
      <c r="B239" s="167" t="str">
        <f>Données!B239</f>
        <v>Corcelles-près-Payerne</v>
      </c>
      <c r="C239" s="321">
        <f>VPI!R239</f>
        <v>65701.749572471308</v>
      </c>
      <c r="D239" s="191">
        <f>Effort!I239-IF(PCS!I245&lt;0, Effort!D239, 0)</f>
        <v>-7.29247398364015</v>
      </c>
      <c r="E239" s="448">
        <f>IF(PCS!I245&lt;0, 0, PCS!F245/Aide!C239)</f>
        <v>3.2860266492881953</v>
      </c>
      <c r="F239" s="448">
        <f>Effort!G239</f>
        <v>-5.1392695744383881</v>
      </c>
      <c r="G239" s="341">
        <f t="shared" si="10"/>
        <v>1.1328222400864334</v>
      </c>
      <c r="H239" s="208">
        <f t="shared" si="11"/>
        <v>0</v>
      </c>
      <c r="I239" s="42">
        <f t="shared" si="12"/>
        <v>0</v>
      </c>
      <c r="J239" s="29"/>
    </row>
    <row r="240" spans="1:10" x14ac:dyDescent="0.25">
      <c r="A240" s="38">
        <f>Données!A240</f>
        <v>5817</v>
      </c>
      <c r="B240" s="167" t="str">
        <f>Données!B240</f>
        <v>Grandcour</v>
      </c>
      <c r="C240" s="321">
        <f>VPI!R240</f>
        <v>25916.897414965984</v>
      </c>
      <c r="D240" s="191">
        <f>Effort!I240-IF(PCS!I246&lt;0, Effort!D240, 0)</f>
        <v>2.3236083930480298</v>
      </c>
      <c r="E240" s="448">
        <f>IF(PCS!I246&lt;0, 0, PCS!F246/Aide!C240)</f>
        <v>3.8303356073275681</v>
      </c>
      <c r="F240" s="448">
        <f>Effort!G240</f>
        <v>-4.6300658804817472</v>
      </c>
      <c r="G240" s="341">
        <f t="shared" si="10"/>
        <v>10.784009880857344</v>
      </c>
      <c r="H240" s="208">
        <f t="shared" si="11"/>
        <v>0</v>
      </c>
      <c r="I240" s="42">
        <f t="shared" si="12"/>
        <v>0</v>
      </c>
      <c r="J240" s="29"/>
    </row>
    <row r="241" spans="1:10" x14ac:dyDescent="0.25">
      <c r="A241" s="38">
        <f>Données!A241</f>
        <v>5819</v>
      </c>
      <c r="B241" s="167" t="str">
        <f>Données!B241</f>
        <v>Henniez</v>
      </c>
      <c r="C241" s="321">
        <f>VPI!R241</f>
        <v>10275.75579710145</v>
      </c>
      <c r="D241" s="191">
        <f>Effort!I241-IF(PCS!I247&lt;0, Effort!D241, 0)</f>
        <v>-2.5745435062064104</v>
      </c>
      <c r="E241" s="448">
        <f>IF(PCS!I247&lt;0, 0, PCS!F247/Aide!C241)</f>
        <v>8.850786433213452</v>
      </c>
      <c r="F241" s="448">
        <f>Effort!G241</f>
        <v>-10.02123028716178</v>
      </c>
      <c r="G241" s="341">
        <f t="shared" si="10"/>
        <v>16.297473214168821</v>
      </c>
      <c r="H241" s="208">
        <f t="shared" si="11"/>
        <v>0</v>
      </c>
      <c r="I241" s="42">
        <f t="shared" si="12"/>
        <v>0</v>
      </c>
      <c r="J241" s="29"/>
    </row>
    <row r="242" spans="1:10" x14ac:dyDescent="0.25">
      <c r="A242" s="38">
        <f>Données!A242</f>
        <v>5821</v>
      </c>
      <c r="B242" s="167" t="str">
        <f>Données!B242</f>
        <v>Missy</v>
      </c>
      <c r="C242" s="321">
        <f>VPI!R242</f>
        <v>8375.965000000002</v>
      </c>
      <c r="D242" s="191">
        <f>Effort!I242-IF(PCS!I248&lt;0, Effort!D242, 0)</f>
        <v>-6.3803252652648403</v>
      </c>
      <c r="E242" s="448">
        <f>IF(PCS!I248&lt;0, 0, PCS!F248/Aide!C242)</f>
        <v>4.8081415096648552</v>
      </c>
      <c r="F242" s="448">
        <f>Effort!G242</f>
        <v>-5.5131211746944953</v>
      </c>
      <c r="G242" s="341">
        <f t="shared" si="10"/>
        <v>3.9409374190945101</v>
      </c>
      <c r="H242" s="208">
        <f t="shared" si="11"/>
        <v>0</v>
      </c>
      <c r="I242" s="42">
        <f t="shared" si="12"/>
        <v>0</v>
      </c>
      <c r="J242" s="29"/>
    </row>
    <row r="243" spans="1:10" x14ac:dyDescent="0.25">
      <c r="A243" s="38">
        <f>Données!A243</f>
        <v>5822</v>
      </c>
      <c r="B243" s="167" t="str">
        <f>Données!B243</f>
        <v>Payerne</v>
      </c>
      <c r="C243" s="321">
        <f>VPI!R243</f>
        <v>226844.26479452057</v>
      </c>
      <c r="D243" s="191">
        <f>Effort!I243-IF(PCS!I249&lt;0, Effort!D243, 0)</f>
        <v>-27.121557627807722</v>
      </c>
      <c r="E243" s="448">
        <f>IF(PCS!I249&lt;0, 0, PCS!F249/Aide!C243)</f>
        <v>4.5085032717331632</v>
      </c>
      <c r="F243" s="448">
        <f>Effort!G243</f>
        <v>-7.4623956782255236</v>
      </c>
      <c r="G243" s="341">
        <f t="shared" si="10"/>
        <v>-15.150658677849034</v>
      </c>
      <c r="H243" s="208">
        <f t="shared" si="11"/>
        <v>-7.1506586778490338</v>
      </c>
      <c r="I243" s="42">
        <f t="shared" si="12"/>
        <v>1622085.9105732227</v>
      </c>
      <c r="J243" s="29"/>
    </row>
    <row r="244" spans="1:10" x14ac:dyDescent="0.25">
      <c r="A244" s="38">
        <f>Données!A244</f>
        <v>5827</v>
      </c>
      <c r="B244" s="167" t="str">
        <f>Données!B244</f>
        <v>Trey</v>
      </c>
      <c r="C244" s="321">
        <f>VPI!R244</f>
        <v>7715.2558974358981</v>
      </c>
      <c r="D244" s="191">
        <f>Effort!I244-IF(PCS!I250&lt;0, Effort!D244, 0)</f>
        <v>-0.13970464395967142</v>
      </c>
      <c r="E244" s="448">
        <f>IF(PCS!I250&lt;0, 0, PCS!F250/Aide!C244)</f>
        <v>3.193241459196162</v>
      </c>
      <c r="F244" s="448">
        <f>Effort!G244</f>
        <v>-4.046361524542549</v>
      </c>
      <c r="G244" s="341">
        <f t="shared" si="10"/>
        <v>7.0998983397790401</v>
      </c>
      <c r="H244" s="208">
        <f t="shared" si="11"/>
        <v>0</v>
      </c>
      <c r="I244" s="42">
        <f t="shared" si="12"/>
        <v>0</v>
      </c>
      <c r="J244" s="29"/>
    </row>
    <row r="245" spans="1:10" x14ac:dyDescent="0.25">
      <c r="A245" s="38">
        <f>Données!A245</f>
        <v>5828</v>
      </c>
      <c r="B245" s="167" t="str">
        <f>Données!B245</f>
        <v>Treytorrens (Payerne)</v>
      </c>
      <c r="C245" s="321">
        <f>VPI!R245</f>
        <v>2864.8065848670758</v>
      </c>
      <c r="D245" s="191">
        <f>Effort!I245-IF(PCS!I251&lt;0, Effort!D245, 0)</f>
        <v>-8.5543628306177624</v>
      </c>
      <c r="E245" s="448">
        <f>IF(PCS!I251&lt;0, 0, PCS!F251/Aide!C245)</f>
        <v>3.82135745492499</v>
      </c>
      <c r="F245" s="448">
        <f>Effort!G245</f>
        <v>-13.986478446329869</v>
      </c>
      <c r="G245" s="341">
        <f t="shared" si="10"/>
        <v>9.2534730706370958</v>
      </c>
      <c r="H245" s="208">
        <f t="shared" si="11"/>
        <v>0</v>
      </c>
      <c r="I245" s="42">
        <f t="shared" si="12"/>
        <v>0</v>
      </c>
      <c r="J245" s="29"/>
    </row>
    <row r="246" spans="1:10" x14ac:dyDescent="0.25">
      <c r="A246" s="38">
        <f>Données!A246</f>
        <v>5830</v>
      </c>
      <c r="B246" s="167" t="str">
        <f>Données!B246</f>
        <v>Villarzel</v>
      </c>
      <c r="C246" s="321">
        <f>VPI!R246</f>
        <v>12474.180666666667</v>
      </c>
      <c r="D246" s="191">
        <f>Effort!I246-IF(PCS!I252&lt;0, Effort!D246, 0)</f>
        <v>-2.6629712769145222</v>
      </c>
      <c r="E246" s="448">
        <f>IF(PCS!I252&lt;0, 0, PCS!F252/Aide!C246)</f>
        <v>2.5494231524945574</v>
      </c>
      <c r="F246" s="448">
        <f>Effort!G246</f>
        <v>-8.4384524573450932</v>
      </c>
      <c r="G246" s="341">
        <f t="shared" si="10"/>
        <v>8.3249043329251293</v>
      </c>
      <c r="H246" s="208">
        <f t="shared" si="11"/>
        <v>0</v>
      </c>
      <c r="I246" s="42">
        <f t="shared" si="12"/>
        <v>0</v>
      </c>
      <c r="J246" s="29"/>
    </row>
    <row r="247" spans="1:10" x14ac:dyDescent="0.25">
      <c r="A247" s="38">
        <f>Données!A247</f>
        <v>5831</v>
      </c>
      <c r="B247" s="167" t="str">
        <f>Données!B247</f>
        <v>Valbroye</v>
      </c>
      <c r="C247" s="321">
        <f>VPI!R247</f>
        <v>87470.557399527184</v>
      </c>
      <c r="D247" s="191">
        <f>Effort!I247-IF(PCS!I253&lt;0, Effort!D247, 0)</f>
        <v>-9.2830036917703573</v>
      </c>
      <c r="E247" s="448">
        <f>IF(PCS!I253&lt;0, 0, PCS!F253/Aide!C247)</f>
        <v>8.1920284528091205</v>
      </c>
      <c r="F247" s="448">
        <f>Effort!G247</f>
        <v>-11.061100836291994</v>
      </c>
      <c r="G247" s="341">
        <f t="shared" si="10"/>
        <v>9.9701255973307568</v>
      </c>
      <c r="H247" s="208">
        <f t="shared" si="11"/>
        <v>0</v>
      </c>
      <c r="I247" s="42">
        <f t="shared" si="12"/>
        <v>0</v>
      </c>
      <c r="J247" s="29"/>
    </row>
    <row r="248" spans="1:10" x14ac:dyDescent="0.25">
      <c r="A248" s="38">
        <f>Données!A248</f>
        <v>5841</v>
      </c>
      <c r="B248" s="167" t="str">
        <f>Données!B248</f>
        <v>Château-d'Oex</v>
      </c>
      <c r="C248" s="321">
        <f>VPI!R248</f>
        <v>123828.98781186093</v>
      </c>
      <c r="D248" s="191">
        <f>Effort!I248-IF(PCS!I254&lt;0, Effort!D248, 0)</f>
        <v>-6.2080853532568732</v>
      </c>
      <c r="E248" s="448">
        <f>IF(PCS!I254&lt;0, 0, PCS!F254/Aide!C248)</f>
        <v>9.0212692499534359</v>
      </c>
      <c r="F248" s="448">
        <f>Effort!G248</f>
        <v>-17.210312470346334</v>
      </c>
      <c r="G248" s="341">
        <f t="shared" si="10"/>
        <v>20.023496367042895</v>
      </c>
      <c r="H248" s="208">
        <f t="shared" si="11"/>
        <v>0</v>
      </c>
      <c r="I248" s="42">
        <f t="shared" si="12"/>
        <v>0</v>
      </c>
      <c r="J248" s="29"/>
    </row>
    <row r="249" spans="1:10" x14ac:dyDescent="0.25">
      <c r="A249" s="38">
        <f>Données!A249</f>
        <v>5842</v>
      </c>
      <c r="B249" s="167" t="str">
        <f>Données!B249</f>
        <v>Rossinière</v>
      </c>
      <c r="C249" s="321">
        <f>VPI!R249</f>
        <v>16474.219053497945</v>
      </c>
      <c r="D249" s="191">
        <f>Effort!I249-IF(PCS!I255&lt;0, Effort!D249, 0)</f>
        <v>-7.7687359258213569</v>
      </c>
      <c r="E249" s="448">
        <f>IF(PCS!I255&lt;0, 0, PCS!F255/Aide!C249)</f>
        <v>3.0574654152911216</v>
      </c>
      <c r="F249" s="448">
        <f>Effort!G249</f>
        <v>-19.38560913581388</v>
      </c>
      <c r="G249" s="341">
        <f t="shared" si="10"/>
        <v>14.674338625283644</v>
      </c>
      <c r="H249" s="208">
        <f t="shared" si="11"/>
        <v>0</v>
      </c>
      <c r="I249" s="42">
        <f t="shared" si="12"/>
        <v>0</v>
      </c>
      <c r="J249" s="29"/>
    </row>
    <row r="250" spans="1:10" x14ac:dyDescent="0.25">
      <c r="A250" s="38">
        <f>Données!A250</f>
        <v>5843</v>
      </c>
      <c r="B250" s="167" t="str">
        <f>Données!B250</f>
        <v>Rougemont</v>
      </c>
      <c r="C250" s="321">
        <f>VPI!R250</f>
        <v>89736.824345991568</v>
      </c>
      <c r="D250" s="191">
        <f>Effort!I250-IF(PCS!I256&lt;0, Effort!D250, 0)</f>
        <v>44.343785367847332</v>
      </c>
      <c r="E250" s="448">
        <f>IF(PCS!I256&lt;0, 0, PCS!F256/Aide!C250)</f>
        <v>10.563822175665662</v>
      </c>
      <c r="F250" s="448">
        <f>Effort!G250</f>
        <v>-1.1294059563918337</v>
      </c>
      <c r="G250" s="341">
        <f t="shared" si="10"/>
        <v>56.03701349990483</v>
      </c>
      <c r="H250" s="208">
        <f t="shared" si="11"/>
        <v>0</v>
      </c>
      <c r="I250" s="42">
        <f t="shared" si="12"/>
        <v>0</v>
      </c>
      <c r="J250" s="29"/>
    </row>
    <row r="251" spans="1:10" x14ac:dyDescent="0.25">
      <c r="A251" s="38">
        <f>Données!A251</f>
        <v>5851</v>
      </c>
      <c r="B251" s="167" t="str">
        <f>Données!B251</f>
        <v>Allaman</v>
      </c>
      <c r="C251" s="321">
        <f>VPI!R251</f>
        <v>24651.765025641023</v>
      </c>
      <c r="D251" s="191">
        <f>Effort!I251-IF(PCS!I257&lt;0, Effort!D251, 0)</f>
        <v>30.598468881741489</v>
      </c>
      <c r="E251" s="448">
        <f>IF(PCS!I257&lt;0, 0, PCS!F257/Aide!C251)</f>
        <v>12.458673230113417</v>
      </c>
      <c r="F251" s="448">
        <f>Effort!G251</f>
        <v>-0.30240876620395291</v>
      </c>
      <c r="G251" s="341">
        <f t="shared" si="10"/>
        <v>43.359550878058862</v>
      </c>
      <c r="H251" s="208">
        <f t="shared" si="11"/>
        <v>0</v>
      </c>
      <c r="I251" s="42">
        <f t="shared" si="12"/>
        <v>0</v>
      </c>
      <c r="J251" s="29"/>
    </row>
    <row r="252" spans="1:10" x14ac:dyDescent="0.25">
      <c r="A252" s="38">
        <f>Données!A252</f>
        <v>5852</v>
      </c>
      <c r="B252" s="167" t="str">
        <f>Données!B252</f>
        <v>Bursinel</v>
      </c>
      <c r="C252" s="321">
        <f>VPI!R252</f>
        <v>35649.594677419358</v>
      </c>
      <c r="D252" s="191">
        <f>Effort!I252-IF(PCS!I258&lt;0, Effort!D252, 0)</f>
        <v>33.986920752741163</v>
      </c>
      <c r="E252" s="448">
        <f>IF(PCS!I258&lt;0, 0, PCS!F258/Aide!C252)</f>
        <v>3.2202565285466056</v>
      </c>
      <c r="F252" s="448">
        <f>Effort!G252</f>
        <v>0</v>
      </c>
      <c r="G252" s="341">
        <f t="shared" si="10"/>
        <v>37.20717728128777</v>
      </c>
      <c r="H252" s="208">
        <f t="shared" si="11"/>
        <v>0</v>
      </c>
      <c r="I252" s="42">
        <f t="shared" si="12"/>
        <v>0</v>
      </c>
      <c r="J252" s="29"/>
    </row>
    <row r="253" spans="1:10" x14ac:dyDescent="0.25">
      <c r="A253" s="38">
        <f>Données!A253</f>
        <v>5853</v>
      </c>
      <c r="B253" s="167" t="str">
        <f>Données!B253</f>
        <v>Bursins</v>
      </c>
      <c r="C253" s="321">
        <f>VPI!R253</f>
        <v>47536.23239436619</v>
      </c>
      <c r="D253" s="191">
        <f>Effort!I253-IF(PCS!I259&lt;0, Effort!D253, 0)</f>
        <v>32.251230600408562</v>
      </c>
      <c r="E253" s="448">
        <f>IF(PCS!I259&lt;0, 0, PCS!F259/Aide!C253)</f>
        <v>8.2475245776201849</v>
      </c>
      <c r="F253" s="448">
        <f>Effort!G253</f>
        <v>0</v>
      </c>
      <c r="G253" s="341">
        <f t="shared" si="10"/>
        <v>40.498755178028745</v>
      </c>
      <c r="H253" s="208">
        <f t="shared" si="11"/>
        <v>0</v>
      </c>
      <c r="I253" s="42">
        <f t="shared" si="12"/>
        <v>0</v>
      </c>
      <c r="J253" s="29"/>
    </row>
    <row r="254" spans="1:10" x14ac:dyDescent="0.25">
      <c r="A254" s="38">
        <f>Données!A254</f>
        <v>5854</v>
      </c>
      <c r="B254" s="167" t="str">
        <f>Données!B254</f>
        <v>Burtigny</v>
      </c>
      <c r="C254" s="321">
        <f>VPI!R254</f>
        <v>15260.883397027597</v>
      </c>
      <c r="D254" s="191">
        <f>Effort!I254-IF(PCS!I260&lt;0, Effort!D254, 0)</f>
        <v>17.371247887874311</v>
      </c>
      <c r="E254" s="448">
        <f>IF(PCS!I260&lt;0, 0, PCS!F260/Aide!C254)</f>
        <v>3.7111318215714157</v>
      </c>
      <c r="F254" s="448">
        <f>Effort!G254</f>
        <v>-2.1483380887668297</v>
      </c>
      <c r="G254" s="341">
        <f t="shared" si="10"/>
        <v>23.230717798212559</v>
      </c>
      <c r="H254" s="208">
        <f t="shared" si="11"/>
        <v>0</v>
      </c>
      <c r="I254" s="42">
        <f t="shared" si="12"/>
        <v>0</v>
      </c>
      <c r="J254" s="29"/>
    </row>
    <row r="255" spans="1:10" x14ac:dyDescent="0.25">
      <c r="A255" s="38">
        <f>Données!A255</f>
        <v>5855</v>
      </c>
      <c r="B255" s="167" t="str">
        <f>Données!B255</f>
        <v>Dully</v>
      </c>
      <c r="C255" s="321">
        <f>VPI!R255</f>
        <v>82571.89</v>
      </c>
      <c r="D255" s="191">
        <f>Effort!I255-IF(PCS!I261&lt;0, Effort!D255, 0)</f>
        <v>43.136924225992772</v>
      </c>
      <c r="E255" s="448">
        <f>IF(PCS!I261&lt;0, 0, PCS!F261/Aide!C255)</f>
        <v>8.2717802026815672</v>
      </c>
      <c r="F255" s="448">
        <f>Effort!G255</f>
        <v>0</v>
      </c>
      <c r="G255" s="341">
        <f t="shared" si="10"/>
        <v>51.408704428674341</v>
      </c>
      <c r="H255" s="208">
        <f t="shared" si="11"/>
        <v>0</v>
      </c>
      <c r="I255" s="42">
        <f t="shared" si="12"/>
        <v>0</v>
      </c>
      <c r="J255" s="29"/>
    </row>
    <row r="256" spans="1:10" x14ac:dyDescent="0.25">
      <c r="A256" s="38">
        <f>Données!A256</f>
        <v>5856</v>
      </c>
      <c r="B256" s="167" t="str">
        <f>Données!B256</f>
        <v>Essertines-sur-Rolle</v>
      </c>
      <c r="C256" s="321">
        <f>VPI!R256</f>
        <v>36460.812481203015</v>
      </c>
      <c r="D256" s="191">
        <f>Effort!I256-IF(PCS!I262&lt;0, Effort!D256, 0)</f>
        <v>28.18248044429712</v>
      </c>
      <c r="E256" s="448">
        <f>IF(PCS!I262&lt;0, 0, PCS!F262/Aide!C256)</f>
        <v>2.8983964648204457</v>
      </c>
      <c r="F256" s="448">
        <f>Effort!G256</f>
        <v>0</v>
      </c>
      <c r="G256" s="341">
        <f t="shared" si="10"/>
        <v>31.080876909117567</v>
      </c>
      <c r="H256" s="208">
        <f t="shared" si="11"/>
        <v>0</v>
      </c>
      <c r="I256" s="42">
        <f t="shared" si="12"/>
        <v>0</v>
      </c>
      <c r="J256" s="29"/>
    </row>
    <row r="257" spans="1:10" x14ac:dyDescent="0.25">
      <c r="A257" s="38">
        <f>Données!A257</f>
        <v>5857</v>
      </c>
      <c r="B257" s="167" t="str">
        <f>Données!B257</f>
        <v>Gilly</v>
      </c>
      <c r="C257" s="321">
        <f>VPI!R257</f>
        <v>86828.689767441872</v>
      </c>
      <c r="D257" s="191">
        <f>Effort!I257-IF(PCS!I263&lt;0, Effort!D257, 0)</f>
        <v>30.123606941159196</v>
      </c>
      <c r="E257" s="448">
        <f>IF(PCS!I263&lt;0, 0, PCS!F263/Aide!C257)</f>
        <v>2.8938250211189702</v>
      </c>
      <c r="F257" s="448">
        <f>Effort!G257</f>
        <v>0</v>
      </c>
      <c r="G257" s="341">
        <f t="shared" si="10"/>
        <v>33.017431962278167</v>
      </c>
      <c r="H257" s="208">
        <f t="shared" si="11"/>
        <v>0</v>
      </c>
      <c r="I257" s="42">
        <f t="shared" si="12"/>
        <v>0</v>
      </c>
      <c r="J257" s="29"/>
    </row>
    <row r="258" spans="1:10" x14ac:dyDescent="0.25">
      <c r="A258" s="38">
        <f>Données!A258</f>
        <v>5858</v>
      </c>
      <c r="B258" s="167" t="str">
        <f>Données!B258</f>
        <v>Luins</v>
      </c>
      <c r="C258" s="321">
        <f>VPI!R258</f>
        <v>41161.285925925928</v>
      </c>
      <c r="D258" s="191">
        <f>Effort!I258-IF(PCS!I264&lt;0, Effort!D258, 0)</f>
        <v>32.76541624800798</v>
      </c>
      <c r="E258" s="448">
        <f>IF(PCS!I264&lt;0, 0, PCS!F264/Aide!C258)</f>
        <v>4.6261677864651531</v>
      </c>
      <c r="F258" s="448">
        <f>Effort!G258</f>
        <v>0</v>
      </c>
      <c r="G258" s="341">
        <f t="shared" si="10"/>
        <v>37.391584034473134</v>
      </c>
      <c r="H258" s="208">
        <f t="shared" si="11"/>
        <v>0</v>
      </c>
      <c r="I258" s="42">
        <f t="shared" si="12"/>
        <v>0</v>
      </c>
      <c r="J258" s="29"/>
    </row>
    <row r="259" spans="1:10" x14ac:dyDescent="0.25">
      <c r="A259" s="38">
        <f>Données!A259</f>
        <v>5859</v>
      </c>
      <c r="B259" s="167" t="str">
        <f>Données!B259</f>
        <v>Mont-sur-Rolle</v>
      </c>
      <c r="C259" s="321">
        <f>VPI!R259</f>
        <v>158436.40771653541</v>
      </c>
      <c r="D259" s="191">
        <f>Effort!I259-IF(PCS!I265&lt;0, Effort!D259, 0)</f>
        <v>26.480977555222246</v>
      </c>
      <c r="E259" s="448">
        <f>IF(PCS!I265&lt;0, 0, PCS!F265/Aide!C259)</f>
        <v>4.4482171121988081</v>
      </c>
      <c r="F259" s="448">
        <f>Effort!G259</f>
        <v>-1.450129468422737</v>
      </c>
      <c r="G259" s="341">
        <f t="shared" si="10"/>
        <v>32.379324135843788</v>
      </c>
      <c r="H259" s="208">
        <f t="shared" si="11"/>
        <v>0</v>
      </c>
      <c r="I259" s="42">
        <f t="shared" si="12"/>
        <v>0</v>
      </c>
      <c r="J259" s="29"/>
    </row>
    <row r="260" spans="1:10" x14ac:dyDescent="0.25">
      <c r="A260" s="38">
        <f>Données!A260</f>
        <v>5860</v>
      </c>
      <c r="B260" s="167" t="str">
        <f>Données!B260</f>
        <v>Perroy</v>
      </c>
      <c r="C260" s="321">
        <f>VPI!R260</f>
        <v>132374.98733727811</v>
      </c>
      <c r="D260" s="191">
        <f>Effort!I260-IF(PCS!I266&lt;0, Effort!D260, 0)</f>
        <v>36.197819184760021</v>
      </c>
      <c r="E260" s="448">
        <f>IF(PCS!I266&lt;0, 0, PCS!F266/Aide!C260)</f>
        <v>2.9780684624019087</v>
      </c>
      <c r="F260" s="448">
        <f>Effort!G260</f>
        <v>0</v>
      </c>
      <c r="G260" s="341">
        <f t="shared" si="10"/>
        <v>39.175887647161929</v>
      </c>
      <c r="H260" s="208">
        <f t="shared" si="11"/>
        <v>0</v>
      </c>
      <c r="I260" s="42">
        <f t="shared" si="12"/>
        <v>0</v>
      </c>
      <c r="J260" s="29"/>
    </row>
    <row r="261" spans="1:10" x14ac:dyDescent="0.25">
      <c r="A261" s="38">
        <f>Données!A261</f>
        <v>5861</v>
      </c>
      <c r="B261" s="167" t="str">
        <f>Données!B261</f>
        <v>Rolle</v>
      </c>
      <c r="C261" s="321">
        <f>VPI!R261</f>
        <v>897513.79815126071</v>
      </c>
      <c r="D261" s="191">
        <f>Effort!I261-IF(PCS!I267&lt;0, Effort!D261, 0)</f>
        <v>43.906909104975782</v>
      </c>
      <c r="E261" s="448">
        <f>IF(PCS!I267&lt;0, 0, PCS!F267/Aide!C261)</f>
        <v>1.1417262131353902</v>
      </c>
      <c r="F261" s="448">
        <f>Effort!G261</f>
        <v>0</v>
      </c>
      <c r="G261" s="341">
        <f t="shared" si="10"/>
        <v>45.048635318111174</v>
      </c>
      <c r="H261" s="208">
        <f t="shared" si="11"/>
        <v>0</v>
      </c>
      <c r="I261" s="42">
        <f t="shared" si="12"/>
        <v>0</v>
      </c>
      <c r="J261" s="29"/>
    </row>
    <row r="262" spans="1:10" x14ac:dyDescent="0.25">
      <c r="A262" s="38">
        <f>Données!A262</f>
        <v>5862</v>
      </c>
      <c r="B262" s="167" t="str">
        <f>Données!B262</f>
        <v>Tartegnin</v>
      </c>
      <c r="C262" s="321">
        <f>VPI!R262</f>
        <v>10371.497468354431</v>
      </c>
      <c r="D262" s="191">
        <f>Effort!I262-IF(PCS!I268&lt;0, Effort!D262, 0)</f>
        <v>23.595315356740535</v>
      </c>
      <c r="E262" s="448">
        <f>IF(PCS!I268&lt;0, 0, PCS!F268/Aide!C262)</f>
        <v>7.9775519641646895</v>
      </c>
      <c r="F262" s="448">
        <f>Effort!G262</f>
        <v>0</v>
      </c>
      <c r="G262" s="341">
        <f t="shared" si="10"/>
        <v>31.572867320905225</v>
      </c>
      <c r="H262" s="208">
        <f t="shared" si="11"/>
        <v>0</v>
      </c>
      <c r="I262" s="42">
        <f t="shared" si="12"/>
        <v>0</v>
      </c>
      <c r="J262" s="29"/>
    </row>
    <row r="263" spans="1:10" x14ac:dyDescent="0.25">
      <c r="A263" s="38">
        <f>Données!A263</f>
        <v>5863</v>
      </c>
      <c r="B263" s="167" t="str">
        <f>Données!B263</f>
        <v>Vinzel</v>
      </c>
      <c r="C263" s="321">
        <f>VPI!R263</f>
        <v>23661.929552238806</v>
      </c>
      <c r="D263" s="191">
        <f>Effort!I263-IF(PCS!I269&lt;0, Effort!D263, 0)</f>
        <v>32.213366104440581</v>
      </c>
      <c r="E263" s="448">
        <f>IF(PCS!I269&lt;0, 0, PCS!F269/Aide!C263)</f>
        <v>3.5989448710002883</v>
      </c>
      <c r="F263" s="448">
        <f>Effort!G263</f>
        <v>0</v>
      </c>
      <c r="G263" s="341">
        <f t="shared" ref="G263:G305" si="13">D263+E263-F263</f>
        <v>35.812310975440866</v>
      </c>
      <c r="H263" s="208">
        <f t="shared" ref="H263:H305" si="14">IF(G263&lt;H$5,G263-H$5,0)</f>
        <v>0</v>
      </c>
      <c r="I263" s="42">
        <f t="shared" ref="I263:I305" si="15">-H263*C263</f>
        <v>0</v>
      </c>
      <c r="J263" s="29"/>
    </row>
    <row r="264" spans="1:10" x14ac:dyDescent="0.25">
      <c r="A264" s="38">
        <f>Données!A264</f>
        <v>5871</v>
      </c>
      <c r="B264" s="167" t="str">
        <f>Données!B264</f>
        <v>L'Abbaye</v>
      </c>
      <c r="C264" s="321">
        <f>VPI!R264</f>
        <v>50236.516429495467</v>
      </c>
      <c r="D264" s="191">
        <f>Effort!I264-IF(PCS!I270&lt;0, Effort!D264, 0)</f>
        <v>4.3637692802255295</v>
      </c>
      <c r="E264" s="448">
        <f>IF(PCS!I270&lt;0, 0, PCS!F270/Aide!C264)</f>
        <v>7.8830070862056631</v>
      </c>
      <c r="F264" s="448">
        <f>Effort!G264</f>
        <v>-8.5385727735527848</v>
      </c>
      <c r="G264" s="341">
        <f t="shared" si="13"/>
        <v>20.785349139983978</v>
      </c>
      <c r="H264" s="208">
        <f t="shared" si="14"/>
        <v>0</v>
      </c>
      <c r="I264" s="42">
        <f t="shared" si="15"/>
        <v>0</v>
      </c>
      <c r="J264" s="29"/>
    </row>
    <row r="265" spans="1:10" x14ac:dyDescent="0.25">
      <c r="A265" s="38">
        <f>Données!A265</f>
        <v>5872</v>
      </c>
      <c r="B265" s="167" t="str">
        <f>Données!B265</f>
        <v>Le Chenit</v>
      </c>
      <c r="C265" s="321">
        <f>VPI!R265</f>
        <v>317064.3538829867</v>
      </c>
      <c r="D265" s="191">
        <f>Effort!I265-IF(PCS!I271&lt;0, Effort!D265, 0)</f>
        <v>26.664176934501409</v>
      </c>
      <c r="E265" s="448">
        <f>IF(PCS!I271&lt;0, 0, PCS!F271/Aide!C265)</f>
        <v>8.6831752648424381</v>
      </c>
      <c r="F265" s="448">
        <f>Effort!G265</f>
        <v>-3.7682661158774629</v>
      </c>
      <c r="G265" s="341">
        <f t="shared" si="13"/>
        <v>39.115618315221312</v>
      </c>
      <c r="H265" s="208">
        <f t="shared" si="14"/>
        <v>0</v>
      </c>
      <c r="I265" s="42">
        <f t="shared" si="15"/>
        <v>0</v>
      </c>
      <c r="J265" s="29"/>
    </row>
    <row r="266" spans="1:10" x14ac:dyDescent="0.25">
      <c r="A266" s="38">
        <f>Données!A266</f>
        <v>5873</v>
      </c>
      <c r="B266" s="167" t="str">
        <f>Données!B266</f>
        <v>Le Lieu</v>
      </c>
      <c r="C266" s="321">
        <f>VPI!R266</f>
        <v>35207.025785714286</v>
      </c>
      <c r="D266" s="191">
        <f>Effort!I266-IF(PCS!I272&lt;0, Effort!D266, 0)</f>
        <v>4.4159871511657247</v>
      </c>
      <c r="E266" s="448">
        <f>IF(PCS!I272&lt;0, 0, PCS!F272/Aide!C266)</f>
        <v>11.009968645442504</v>
      </c>
      <c r="F266" s="448">
        <f>Effort!G266</f>
        <v>-18.808733801510854</v>
      </c>
      <c r="G266" s="341">
        <f t="shared" si="13"/>
        <v>34.234689598119083</v>
      </c>
      <c r="H266" s="208">
        <f t="shared" si="14"/>
        <v>0</v>
      </c>
      <c r="I266" s="42">
        <f t="shared" si="15"/>
        <v>0</v>
      </c>
      <c r="J266" s="29"/>
    </row>
    <row r="267" spans="1:10" x14ac:dyDescent="0.25">
      <c r="A267" s="38">
        <f>Données!A267</f>
        <v>5882</v>
      </c>
      <c r="B267" s="167" t="str">
        <f>Données!B267</f>
        <v>Chardonne</v>
      </c>
      <c r="C267" s="321">
        <f>VPI!R267</f>
        <v>201756.91955882352</v>
      </c>
      <c r="D267" s="191">
        <f>Effort!I267-IF(PCS!I273&lt;0, Effort!D267, 0)</f>
        <v>28.434047889588655</v>
      </c>
      <c r="E267" s="448">
        <f>IF(PCS!I273&lt;0, 0, PCS!F273/Aide!C267)</f>
        <v>7.769771507355685</v>
      </c>
      <c r="F267" s="448">
        <f>Effort!G267</f>
        <v>-1.3432797409857482</v>
      </c>
      <c r="G267" s="341">
        <f t="shared" si="13"/>
        <v>37.54709913793009</v>
      </c>
      <c r="H267" s="208">
        <f t="shared" si="14"/>
        <v>0</v>
      </c>
      <c r="I267" s="42">
        <f t="shared" si="15"/>
        <v>0</v>
      </c>
      <c r="J267" s="29"/>
    </row>
    <row r="268" spans="1:10" x14ac:dyDescent="0.25">
      <c r="A268" s="38">
        <f>Données!A268</f>
        <v>5883</v>
      </c>
      <c r="B268" s="167" t="str">
        <f>Données!B268</f>
        <v>Corseaux</v>
      </c>
      <c r="C268" s="321">
        <f>VPI!R268</f>
        <v>180896.25407407407</v>
      </c>
      <c r="D268" s="191">
        <f>Effort!I268-IF(PCS!I274&lt;0, Effort!D268, 0)</f>
        <v>34.841543964465373</v>
      </c>
      <c r="E268" s="448">
        <f>IF(PCS!I274&lt;0, 0, PCS!F274/Aide!C268)</f>
        <v>4.1422008644422803</v>
      </c>
      <c r="F268" s="448">
        <f>Effort!G268</f>
        <v>0</v>
      </c>
      <c r="G268" s="341">
        <f t="shared" si="13"/>
        <v>38.983744828907653</v>
      </c>
      <c r="H268" s="208">
        <f t="shared" si="14"/>
        <v>0</v>
      </c>
      <c r="I268" s="42">
        <f t="shared" si="15"/>
        <v>0</v>
      </c>
      <c r="J268" s="29"/>
    </row>
    <row r="269" spans="1:10" x14ac:dyDescent="0.25">
      <c r="A269" s="38">
        <f>Données!A269</f>
        <v>5884</v>
      </c>
      <c r="B269" s="167" t="str">
        <f>Données!B269</f>
        <v>Corsier-sur-Vevey</v>
      </c>
      <c r="C269" s="321">
        <f>VPI!R269</f>
        <v>128051.27881136951</v>
      </c>
      <c r="D269" s="191">
        <f>Effort!I269-IF(PCS!I275&lt;0, Effort!D269, 0)</f>
        <v>7.0536930800303459</v>
      </c>
      <c r="E269" s="448">
        <f>IF(PCS!I275&lt;0, 0, PCS!F275/Aide!C269)</f>
        <v>5.3632203940084562</v>
      </c>
      <c r="F269" s="448">
        <f>Effort!G269</f>
        <v>-11.039138697037936</v>
      </c>
      <c r="G269" s="341">
        <f t="shared" si="13"/>
        <v>23.456052171076738</v>
      </c>
      <c r="H269" s="208">
        <f t="shared" si="14"/>
        <v>0</v>
      </c>
      <c r="I269" s="42">
        <f t="shared" si="15"/>
        <v>0</v>
      </c>
      <c r="J269" s="29"/>
    </row>
    <row r="270" spans="1:10" x14ac:dyDescent="0.25">
      <c r="A270" s="38">
        <f>Données!A270</f>
        <v>5885</v>
      </c>
      <c r="B270" s="167" t="str">
        <f>Données!B270</f>
        <v>Jongny</v>
      </c>
      <c r="C270" s="321">
        <f>VPI!R270</f>
        <v>104091.36242206233</v>
      </c>
      <c r="D270" s="191">
        <f>Effort!I270-IF(PCS!I276&lt;0, Effort!D270, 0)</f>
        <v>27.998095788510337</v>
      </c>
      <c r="E270" s="448">
        <f>IF(PCS!I276&lt;0, 0, PCS!F276/Aide!C270)</f>
        <v>2.8467154056309556</v>
      </c>
      <c r="F270" s="448">
        <f>Effort!G270</f>
        <v>-0.59349377345196663</v>
      </c>
      <c r="G270" s="341">
        <f t="shared" si="13"/>
        <v>31.438304967593261</v>
      </c>
      <c r="H270" s="208">
        <f t="shared" si="14"/>
        <v>0</v>
      </c>
      <c r="I270" s="42">
        <f t="shared" si="15"/>
        <v>0</v>
      </c>
      <c r="J270" s="29"/>
    </row>
    <row r="271" spans="1:10" x14ac:dyDescent="0.25">
      <c r="A271" s="38">
        <f>Données!A271</f>
        <v>5886</v>
      </c>
      <c r="B271" s="167" t="str">
        <f>Données!B271</f>
        <v>Montreux</v>
      </c>
      <c r="C271" s="321">
        <f>VPI!R271</f>
        <v>1153112.7161538461</v>
      </c>
      <c r="D271" s="191">
        <f>Effort!I271-IF(PCS!I277&lt;0, Effort!D271, 0)</f>
        <v>4.2704278531271029</v>
      </c>
      <c r="E271" s="448">
        <f>IF(PCS!I277&lt;0, 0, PCS!F277/Aide!C271)</f>
        <v>10.105268012190878</v>
      </c>
      <c r="F271" s="448">
        <f>Effort!G271</f>
        <v>-5.7143818844873469</v>
      </c>
      <c r="G271" s="341">
        <f t="shared" si="13"/>
        <v>20.090077749805328</v>
      </c>
      <c r="H271" s="208">
        <f t="shared" si="14"/>
        <v>0</v>
      </c>
      <c r="I271" s="42">
        <f t="shared" si="15"/>
        <v>0</v>
      </c>
      <c r="J271" s="29"/>
    </row>
    <row r="272" spans="1:10" x14ac:dyDescent="0.25">
      <c r="A272" s="38">
        <f>Données!A272</f>
        <v>5889</v>
      </c>
      <c r="B272" s="167" t="str">
        <f>Données!B272</f>
        <v>La Tour-de-Peilz</v>
      </c>
      <c r="C272" s="321">
        <f>VPI!R272</f>
        <v>709179.36611979152</v>
      </c>
      <c r="D272" s="191">
        <f>Effort!I272-IF(PCS!I278&lt;0, Effort!D272, 0)</f>
        <v>21.20796859892144</v>
      </c>
      <c r="E272" s="448">
        <f>IF(PCS!I278&lt;0, 0, PCS!F278/Aide!C272)</f>
        <v>3.2180528566231645</v>
      </c>
      <c r="F272" s="448">
        <f>Effort!G272</f>
        <v>-1.0768418960912836</v>
      </c>
      <c r="G272" s="341">
        <f t="shared" si="13"/>
        <v>25.502863351635888</v>
      </c>
      <c r="H272" s="208">
        <f t="shared" si="14"/>
        <v>0</v>
      </c>
      <c r="I272" s="42">
        <f t="shared" si="15"/>
        <v>0</v>
      </c>
      <c r="J272" s="29"/>
    </row>
    <row r="273" spans="1:10" x14ac:dyDescent="0.25">
      <c r="A273" s="38">
        <f>Données!A273</f>
        <v>5890</v>
      </c>
      <c r="B273" s="167" t="str">
        <f>Données!B273</f>
        <v>Vevey</v>
      </c>
      <c r="C273" s="321">
        <f>VPI!R273</f>
        <v>945087.70393736032</v>
      </c>
      <c r="D273" s="191">
        <f>Effort!I273-IF(PCS!I279&lt;0, Effort!D273, 0)</f>
        <v>10.487482338940891</v>
      </c>
      <c r="E273" s="448">
        <f>IF(PCS!I279&lt;0, 0, PCS!F279/Aide!C273)</f>
        <v>3.7120627169142835</v>
      </c>
      <c r="F273" s="448">
        <f>Effort!G273</f>
        <v>-3.8948039013105258</v>
      </c>
      <c r="G273" s="341">
        <f t="shared" si="13"/>
        <v>18.0943489571657</v>
      </c>
      <c r="H273" s="208">
        <f t="shared" si="14"/>
        <v>0</v>
      </c>
      <c r="I273" s="42">
        <f t="shared" si="15"/>
        <v>0</v>
      </c>
      <c r="J273" s="29"/>
    </row>
    <row r="274" spans="1:10" x14ac:dyDescent="0.25">
      <c r="A274" s="38">
        <f>Données!A274</f>
        <v>5891</v>
      </c>
      <c r="B274" s="167" t="str">
        <f>Données!B274</f>
        <v>Veytaux</v>
      </c>
      <c r="C274" s="321">
        <f>VPI!R274</f>
        <v>41113.316211031175</v>
      </c>
      <c r="D274" s="191">
        <f>Effort!I274-IF(PCS!I280&lt;0, Effort!D274, 0)</f>
        <v>7.9260814436990081</v>
      </c>
      <c r="E274" s="448">
        <f>IF(PCS!I280&lt;0, 0, PCS!F280/Aide!C274)</f>
        <v>7.2491944816660849</v>
      </c>
      <c r="F274" s="448">
        <f>Effort!G274</f>
        <v>-17.03382699612143</v>
      </c>
      <c r="G274" s="341">
        <f t="shared" si="13"/>
        <v>32.209102921486519</v>
      </c>
      <c r="H274" s="208">
        <f t="shared" si="14"/>
        <v>0</v>
      </c>
      <c r="I274" s="42">
        <f t="shared" si="15"/>
        <v>0</v>
      </c>
      <c r="J274" s="29"/>
    </row>
    <row r="275" spans="1:10" x14ac:dyDescent="0.25">
      <c r="A275" s="38">
        <f>Données!A275</f>
        <v>5892</v>
      </c>
      <c r="B275" s="167" t="str">
        <f>Données!B275</f>
        <v>Blonay-Saint-Légier</v>
      </c>
      <c r="C275" s="321">
        <f>VPI!R275</f>
        <v>749734.6567883211</v>
      </c>
      <c r="D275" s="191">
        <f>Effort!I275-IF(PCS!I281&lt;0, Effort!D275, 0)</f>
        <v>21.910953394019835</v>
      </c>
      <c r="E275" s="448">
        <f>IF(PCS!I281&lt;0, 0, PCS!F281/Aide!C275)</f>
        <v>4.5620919668459434</v>
      </c>
      <c r="F275" s="448">
        <f>Effort!G275</f>
        <v>-2.7382618611673237</v>
      </c>
      <c r="G275" s="341">
        <f t="shared" si="13"/>
        <v>29.211307222033103</v>
      </c>
      <c r="H275" s="208">
        <f t="shared" si="14"/>
        <v>0</v>
      </c>
      <c r="I275" s="42">
        <f t="shared" si="15"/>
        <v>0</v>
      </c>
      <c r="J275" s="29"/>
    </row>
    <row r="276" spans="1:10" x14ac:dyDescent="0.25">
      <c r="A276" s="38">
        <f>Données!A276</f>
        <v>5902</v>
      </c>
      <c r="B276" s="167" t="str">
        <f>Données!B276</f>
        <v>Belmont-sur-Yverdon</v>
      </c>
      <c r="C276" s="321">
        <f>VPI!R276</f>
        <v>11918.01</v>
      </c>
      <c r="D276" s="191">
        <f>Effort!I276-IF(PCS!I282&lt;0, Effort!D276, 0)</f>
        <v>10.561751159043816</v>
      </c>
      <c r="E276" s="448">
        <f>IF(PCS!I282&lt;0, 0, PCS!F282/Aide!C276)</f>
        <v>3.4465191756006246</v>
      </c>
      <c r="F276" s="448">
        <f>Effort!G276</f>
        <v>-0.53232397858367297</v>
      </c>
      <c r="G276" s="341">
        <f t="shared" si="13"/>
        <v>14.540594313228112</v>
      </c>
      <c r="H276" s="208">
        <f t="shared" si="14"/>
        <v>0</v>
      </c>
      <c r="I276" s="42">
        <f t="shared" si="15"/>
        <v>0</v>
      </c>
      <c r="J276" s="29"/>
    </row>
    <row r="277" spans="1:10" x14ac:dyDescent="0.25">
      <c r="A277" s="38">
        <f>Données!A277</f>
        <v>5903</v>
      </c>
      <c r="B277" s="167" t="str">
        <f>Données!B277</f>
        <v>Bioley-Magnoux</v>
      </c>
      <c r="C277" s="321">
        <f>VPI!R277</f>
        <v>6275.4313293650803</v>
      </c>
      <c r="D277" s="191">
        <f>Effort!I277-IF(PCS!I283&lt;0, Effort!D277, 0)</f>
        <v>-15.952419107581253</v>
      </c>
      <c r="E277" s="448">
        <f>IF(PCS!I283&lt;0, 0, PCS!F283/Aide!C277)</f>
        <v>3.1495309186977751</v>
      </c>
      <c r="F277" s="448">
        <f>Effort!G277</f>
        <v>-22.84123289757806</v>
      </c>
      <c r="G277" s="341">
        <f t="shared" si="13"/>
        <v>10.038344708694581</v>
      </c>
      <c r="H277" s="208">
        <f t="shared" si="14"/>
        <v>0</v>
      </c>
      <c r="I277" s="42">
        <f t="shared" si="15"/>
        <v>0</v>
      </c>
      <c r="J277" s="29"/>
    </row>
    <row r="278" spans="1:10" x14ac:dyDescent="0.25">
      <c r="A278" s="38">
        <f>Données!A278</f>
        <v>5904</v>
      </c>
      <c r="B278" s="167" t="str">
        <f>Données!B278</f>
        <v>Chamblon</v>
      </c>
      <c r="C278" s="321">
        <f>VPI!R278</f>
        <v>18890.250303030305</v>
      </c>
      <c r="D278" s="191">
        <f>Effort!I278-IF(PCS!I284&lt;0, Effort!D278, 0)</f>
        <v>18.984025305530889</v>
      </c>
      <c r="E278" s="448">
        <f>IF(PCS!I284&lt;0, 0, PCS!F284/Aide!C278)</f>
        <v>3.7373808640679891</v>
      </c>
      <c r="F278" s="448">
        <f>Effort!G278</f>
        <v>0</v>
      </c>
      <c r="G278" s="341">
        <f t="shared" si="13"/>
        <v>22.721406169598879</v>
      </c>
      <c r="H278" s="208">
        <f t="shared" si="14"/>
        <v>0</v>
      </c>
      <c r="I278" s="42">
        <f t="shared" si="15"/>
        <v>0</v>
      </c>
      <c r="J278" s="29"/>
    </row>
    <row r="279" spans="1:10" s="202" customFormat="1" x14ac:dyDescent="0.25">
      <c r="A279" s="38">
        <f>Données!A279</f>
        <v>5905</v>
      </c>
      <c r="B279" s="167" t="str">
        <f>Données!B279</f>
        <v>Champvent</v>
      </c>
      <c r="C279" s="321">
        <f>VPI!R279</f>
        <v>21534.177714285714</v>
      </c>
      <c r="D279" s="191">
        <f>Effort!I279-IF(PCS!I285&lt;0, Effort!D279, 0)</f>
        <v>9.7739196188258095</v>
      </c>
      <c r="E279" s="448">
        <f>IF(PCS!I285&lt;0, 0, PCS!F285/Aide!C279)</f>
        <v>4.794196294363795</v>
      </c>
      <c r="F279" s="448">
        <f>Effort!G279</f>
        <v>-3.8326717095648966</v>
      </c>
      <c r="G279" s="341">
        <f t="shared" si="13"/>
        <v>18.4007876227545</v>
      </c>
      <c r="H279" s="208">
        <f t="shared" si="14"/>
        <v>0</v>
      </c>
      <c r="I279" s="42">
        <f t="shared" si="15"/>
        <v>0</v>
      </c>
      <c r="J279" s="211"/>
    </row>
    <row r="280" spans="1:10" s="202" customFormat="1" x14ac:dyDescent="0.25">
      <c r="A280" s="38">
        <f>Données!A280</f>
        <v>5907</v>
      </c>
      <c r="B280" s="167" t="str">
        <f>Données!B280</f>
        <v>Chavannes-le-Chêne</v>
      </c>
      <c r="C280" s="321">
        <f>VPI!R280</f>
        <v>8453.4726666666666</v>
      </c>
      <c r="D280" s="191">
        <f>Effort!I280-IF(PCS!I286&lt;0, Effort!D280, 0)</f>
        <v>2.2601536469743202</v>
      </c>
      <c r="E280" s="448">
        <f>IF(PCS!I286&lt;0, 0, PCS!F286/Aide!C280)</f>
        <v>4.0570078537349028</v>
      </c>
      <c r="F280" s="448">
        <f>Effort!G280</f>
        <v>-5.4401677645849533</v>
      </c>
      <c r="G280" s="341">
        <f t="shared" si="13"/>
        <v>11.757329265294176</v>
      </c>
      <c r="H280" s="208">
        <f t="shared" si="14"/>
        <v>0</v>
      </c>
      <c r="I280" s="42">
        <f t="shared" si="15"/>
        <v>0</v>
      </c>
      <c r="J280" s="211"/>
    </row>
    <row r="281" spans="1:10" s="202" customFormat="1" x14ac:dyDescent="0.25">
      <c r="A281" s="38">
        <f>Données!A281</f>
        <v>5908</v>
      </c>
      <c r="B281" s="167" t="str">
        <f>Données!B281</f>
        <v>Chêne-Pâquier</v>
      </c>
      <c r="C281" s="321">
        <f>VPI!R281</f>
        <v>4917.9366666666683</v>
      </c>
      <c r="D281" s="191">
        <f>Effort!I281-IF(PCS!I287&lt;0, Effort!D281, 0)</f>
        <v>4.8217082914983607</v>
      </c>
      <c r="E281" s="448">
        <f>IF(PCS!I287&lt;0, 0, PCS!F287/Aide!C281)</f>
        <v>2.4753470459494862</v>
      </c>
      <c r="F281" s="448">
        <f>Effort!G281</f>
        <v>-8.0424841108838958</v>
      </c>
      <c r="G281" s="341">
        <f t="shared" si="13"/>
        <v>15.339539448331742</v>
      </c>
      <c r="H281" s="208">
        <f t="shared" si="14"/>
        <v>0</v>
      </c>
      <c r="I281" s="42">
        <f t="shared" si="15"/>
        <v>0</v>
      </c>
      <c r="J281" s="211"/>
    </row>
    <row r="282" spans="1:10" s="202" customFormat="1" x14ac:dyDescent="0.25">
      <c r="A282" s="38">
        <f>Données!A282</f>
        <v>5909</v>
      </c>
      <c r="B282" s="167" t="str">
        <f>Données!B282</f>
        <v>Cheseaux-Noréaz</v>
      </c>
      <c r="C282" s="321">
        <f>VPI!R282</f>
        <v>34179.649850746275</v>
      </c>
      <c r="D282" s="191">
        <f>Effort!I282-IF(PCS!I288&lt;0, Effort!D282, 0)</f>
        <v>25.764445608664104</v>
      </c>
      <c r="E282" s="448">
        <f>IF(PCS!I288&lt;0, 0, PCS!F288/Aide!C282)</f>
        <v>3.1367613614584502</v>
      </c>
      <c r="F282" s="448">
        <f>Effort!G282</f>
        <v>-1.5070107833301196</v>
      </c>
      <c r="G282" s="341">
        <f t="shared" si="13"/>
        <v>30.408217753452675</v>
      </c>
      <c r="H282" s="208">
        <f t="shared" si="14"/>
        <v>0</v>
      </c>
      <c r="I282" s="42">
        <f t="shared" si="15"/>
        <v>0</v>
      </c>
      <c r="J282" s="211"/>
    </row>
    <row r="283" spans="1:10" s="202" customFormat="1" x14ac:dyDescent="0.25">
      <c r="A283" s="38">
        <f>Données!A283</f>
        <v>5910</v>
      </c>
      <c r="B283" s="167" t="str">
        <f>Données!B283</f>
        <v>Cronay</v>
      </c>
      <c r="C283" s="321">
        <f>VPI!R283</f>
        <v>10620.023506493504</v>
      </c>
      <c r="D283" s="191">
        <f>Effort!I283-IF(PCS!I289&lt;0, Effort!D283, 0)</f>
        <v>-6.8500269912693312E-2</v>
      </c>
      <c r="E283" s="448">
        <f>IF(PCS!I289&lt;0, 0, PCS!F289/Aide!C283)</f>
        <v>6.7759788814026773</v>
      </c>
      <c r="F283" s="448">
        <f>Effort!G283</f>
        <v>-5.2169932860593278</v>
      </c>
      <c r="G283" s="341">
        <f t="shared" si="13"/>
        <v>11.924471897549312</v>
      </c>
      <c r="H283" s="208">
        <f t="shared" si="14"/>
        <v>0</v>
      </c>
      <c r="I283" s="42">
        <f t="shared" si="15"/>
        <v>0</v>
      </c>
      <c r="J283" s="211"/>
    </row>
    <row r="284" spans="1:10" s="202" customFormat="1" x14ac:dyDescent="0.25">
      <c r="A284" s="38">
        <f>Données!A284</f>
        <v>5911</v>
      </c>
      <c r="B284" s="167" t="str">
        <f>Données!B284</f>
        <v>Cuarny</v>
      </c>
      <c r="C284" s="321">
        <f>VPI!R284</f>
        <v>7630.7251948051926</v>
      </c>
      <c r="D284" s="191">
        <f>Effort!I284-IF(PCS!I290&lt;0, Effort!D284, 0)</f>
        <v>13.880338124561662</v>
      </c>
      <c r="E284" s="448">
        <f>IF(PCS!I290&lt;0, 0, PCS!F290/Aide!C284)</f>
        <v>2.0089178431475871</v>
      </c>
      <c r="F284" s="448">
        <f>Effort!G284</f>
        <v>-1.0786269841691278</v>
      </c>
      <c r="G284" s="341">
        <f t="shared" si="13"/>
        <v>16.967882951878376</v>
      </c>
      <c r="H284" s="208">
        <f t="shared" si="14"/>
        <v>0</v>
      </c>
      <c r="I284" s="42">
        <f t="shared" si="15"/>
        <v>0</v>
      </c>
      <c r="J284" s="211"/>
    </row>
    <row r="285" spans="1:10" s="202" customFormat="1" x14ac:dyDescent="0.25">
      <c r="A285" s="38">
        <f>Données!A285</f>
        <v>5912</v>
      </c>
      <c r="B285" s="167" t="str">
        <f>Données!B285</f>
        <v>Démoret</v>
      </c>
      <c r="C285" s="321">
        <f>VPI!R285</f>
        <v>3035.5994871794869</v>
      </c>
      <c r="D285" s="191">
        <f>Effort!I285-IF(PCS!I291&lt;0, Effort!D285, 0)</f>
        <v>-21.84334426386803</v>
      </c>
      <c r="E285" s="448">
        <f>IF(PCS!I291&lt;0, 0, PCS!F291/Aide!C285)</f>
        <v>6.8331642852111001</v>
      </c>
      <c r="F285" s="448">
        <f>Effort!G285</f>
        <v>-4.9968559836700193</v>
      </c>
      <c r="G285" s="341">
        <f t="shared" si="13"/>
        <v>-10.013323994986909</v>
      </c>
      <c r="H285" s="208">
        <f t="shared" si="14"/>
        <v>-2.0133239949869086</v>
      </c>
      <c r="I285" s="42">
        <f t="shared" si="15"/>
        <v>6111.6452867084154</v>
      </c>
      <c r="J285" s="211"/>
    </row>
    <row r="286" spans="1:10" s="202" customFormat="1" x14ac:dyDescent="0.25">
      <c r="A286" s="38">
        <f>Données!A286</f>
        <v>5913</v>
      </c>
      <c r="B286" s="167" t="str">
        <f>Données!B286</f>
        <v>Donneloye</v>
      </c>
      <c r="C286" s="321">
        <f>VPI!R286</f>
        <v>21868.165342465756</v>
      </c>
      <c r="D286" s="191">
        <f>Effort!I286-IF(PCS!I292&lt;0, Effort!D286, 0)</f>
        <v>-0.27960266560048197</v>
      </c>
      <c r="E286" s="448">
        <f>IF(PCS!I292&lt;0, 0, PCS!F292/Aide!C286)</f>
        <v>4.2158077075159355</v>
      </c>
      <c r="F286" s="448">
        <f>Effort!G286</f>
        <v>-4.2910839784136812</v>
      </c>
      <c r="G286" s="341">
        <f t="shared" si="13"/>
        <v>8.2272890203291347</v>
      </c>
      <c r="H286" s="208">
        <f t="shared" si="14"/>
        <v>0</v>
      </c>
      <c r="I286" s="42">
        <f t="shared" si="15"/>
        <v>0</v>
      </c>
      <c r="J286" s="211"/>
    </row>
    <row r="287" spans="1:10" x14ac:dyDescent="0.25">
      <c r="A287" s="38">
        <f>Données!A287</f>
        <v>5914</v>
      </c>
      <c r="B287" s="167" t="str">
        <f>Données!B287</f>
        <v>Ependes</v>
      </c>
      <c r="C287" s="321">
        <f>VPI!R287</f>
        <v>9826.1438095238063</v>
      </c>
      <c r="D287" s="191">
        <f>Effort!I287-IF(PCS!I293&lt;0, Effort!D287, 0)</f>
        <v>0.38299808972083582</v>
      </c>
      <c r="E287" s="448">
        <f>IF(PCS!I293&lt;0, 0, PCS!F293/Aide!C287)</f>
        <v>2.001021497460953</v>
      </c>
      <c r="F287" s="448">
        <f>Effort!G287</f>
        <v>-7.4792594847312621</v>
      </c>
      <c r="G287" s="341">
        <f t="shared" si="13"/>
        <v>9.8632790719130519</v>
      </c>
      <c r="H287" s="208">
        <f t="shared" si="14"/>
        <v>0</v>
      </c>
      <c r="I287" s="42">
        <f t="shared" si="15"/>
        <v>0</v>
      </c>
      <c r="J287" s="29"/>
    </row>
    <row r="288" spans="1:10" x14ac:dyDescent="0.25">
      <c r="A288" s="38">
        <f>Données!A288</f>
        <v>5919</v>
      </c>
      <c r="B288" s="167" t="str">
        <f>Données!B288</f>
        <v>Mathod</v>
      </c>
      <c r="C288" s="321">
        <f>VPI!R288</f>
        <v>20854.383912037036</v>
      </c>
      <c r="D288" s="191">
        <f>Effort!I288-IF(PCS!I294&lt;0, Effort!D288, 0)</f>
        <v>9.5870233508446425</v>
      </c>
      <c r="E288" s="448">
        <f>IF(PCS!I294&lt;0, 0, PCS!F294/Aide!C288)</f>
        <v>7.0861062414173865</v>
      </c>
      <c r="F288" s="448">
        <f>Effort!G288</f>
        <v>-4.7373107229868641</v>
      </c>
      <c r="G288" s="341">
        <f t="shared" si="13"/>
        <v>21.410440315248891</v>
      </c>
      <c r="H288" s="208">
        <f t="shared" si="14"/>
        <v>0</v>
      </c>
      <c r="I288" s="42">
        <f t="shared" si="15"/>
        <v>0</v>
      </c>
      <c r="J288" s="29"/>
    </row>
    <row r="289" spans="1:10" x14ac:dyDescent="0.25">
      <c r="A289" s="38">
        <f>Données!A289</f>
        <v>5921</v>
      </c>
      <c r="B289" s="167" t="str">
        <f>Données!B289</f>
        <v>Molondin</v>
      </c>
      <c r="C289" s="321">
        <f>VPI!R289</f>
        <v>5090.9675308641981</v>
      </c>
      <c r="D289" s="191">
        <f>Effort!I289-IF(PCS!I295&lt;0, Effort!D289, 0)</f>
        <v>-15.537481253717392</v>
      </c>
      <c r="E289" s="448">
        <f>IF(PCS!I295&lt;0, 0, PCS!F295/Aide!C289)</f>
        <v>3.1137715775824413</v>
      </c>
      <c r="F289" s="448">
        <f>Effort!G289</f>
        <v>-1.8592181366868645</v>
      </c>
      <c r="G289" s="341">
        <f t="shared" si="13"/>
        <v>-10.564491539448086</v>
      </c>
      <c r="H289" s="208">
        <f t="shared" si="14"/>
        <v>-2.5644915394480865</v>
      </c>
      <c r="I289" s="42">
        <f t="shared" si="15"/>
        <v>13055.743160506152</v>
      </c>
      <c r="J289" s="29"/>
    </row>
    <row r="290" spans="1:10" x14ac:dyDescent="0.25">
      <c r="A290" s="38">
        <f>Données!A290</f>
        <v>5922</v>
      </c>
      <c r="B290" s="167" t="str">
        <f>Données!B290</f>
        <v>Montagny-près-Yverdon</v>
      </c>
      <c r="C290" s="321">
        <f>VPI!R290</f>
        <v>39799.996472868217</v>
      </c>
      <c r="D290" s="191">
        <f>Effort!I290-IF(PCS!I296&lt;0, Effort!D290, 0)</f>
        <v>25.044168296402447</v>
      </c>
      <c r="E290" s="448">
        <f>IF(PCS!I296&lt;0, 0, PCS!F296/Aide!C290)</f>
        <v>3.9441449475256025</v>
      </c>
      <c r="F290" s="448">
        <f>Effort!G290</f>
        <v>-4.0386378243115209</v>
      </c>
      <c r="G290" s="341">
        <f t="shared" si="13"/>
        <v>33.026951068239569</v>
      </c>
      <c r="H290" s="208">
        <f t="shared" si="14"/>
        <v>0</v>
      </c>
      <c r="I290" s="42">
        <f t="shared" si="15"/>
        <v>0</v>
      </c>
      <c r="J290" s="29"/>
    </row>
    <row r="291" spans="1:10" x14ac:dyDescent="0.25">
      <c r="A291" s="38">
        <f>Données!A291</f>
        <v>5923</v>
      </c>
      <c r="B291" s="167" t="str">
        <f>Données!B291</f>
        <v>Oppens</v>
      </c>
      <c r="C291" s="321">
        <f>VPI!R291</f>
        <v>4459.4095061728403</v>
      </c>
      <c r="D291" s="191">
        <f>Effort!I291-IF(PCS!I297&lt;0, Effort!D291, 0)</f>
        <v>-15.490471444534418</v>
      </c>
      <c r="E291" s="448">
        <f>IF(PCS!I297&lt;0, 0, PCS!F297/Aide!C291)</f>
        <v>2.8629709790785833</v>
      </c>
      <c r="F291" s="448">
        <f>Effort!G291</f>
        <v>-9.0701999395535289</v>
      </c>
      <c r="G291" s="341">
        <f t="shared" si="13"/>
        <v>-3.5573005259023063</v>
      </c>
      <c r="H291" s="208">
        <f t="shared" si="14"/>
        <v>0</v>
      </c>
      <c r="I291" s="42">
        <f t="shared" si="15"/>
        <v>0</v>
      </c>
      <c r="J291" s="29"/>
    </row>
    <row r="292" spans="1:10" x14ac:dyDescent="0.25">
      <c r="A292" s="38">
        <f>Données!A292</f>
        <v>5924</v>
      </c>
      <c r="B292" s="167" t="str">
        <f>Données!B292</f>
        <v>Orges</v>
      </c>
      <c r="C292" s="321">
        <f>VPI!R292</f>
        <v>11637.592027027025</v>
      </c>
      <c r="D292" s="191">
        <f>Effort!I292-IF(PCS!I298&lt;0, Effort!D292, 0)</f>
        <v>8.1661679210475402</v>
      </c>
      <c r="E292" s="448">
        <f>IF(PCS!I298&lt;0, 0, PCS!F298/Aide!C292)</f>
        <v>2.6196514647702562</v>
      </c>
      <c r="F292" s="448">
        <f>Effort!G292</f>
        <v>-2.8830876490528765</v>
      </c>
      <c r="G292" s="341">
        <f t="shared" si="13"/>
        <v>13.668907034870672</v>
      </c>
      <c r="H292" s="208">
        <f t="shared" si="14"/>
        <v>0</v>
      </c>
      <c r="I292" s="42">
        <f t="shared" si="15"/>
        <v>0</v>
      </c>
      <c r="J292" s="29"/>
    </row>
    <row r="293" spans="1:10" x14ac:dyDescent="0.25">
      <c r="A293" s="38">
        <f>Données!A293</f>
        <v>5925</v>
      </c>
      <c r="B293" s="167" t="str">
        <f>Données!B293</f>
        <v>Orzens</v>
      </c>
      <c r="C293" s="321">
        <f>VPI!R293</f>
        <v>5255.7360759493668</v>
      </c>
      <c r="D293" s="191">
        <f>Effort!I293-IF(PCS!I299&lt;0, Effort!D293, 0)</f>
        <v>-8.1285504608446857</v>
      </c>
      <c r="E293" s="448">
        <f>IF(PCS!I299&lt;0, 0, PCS!F299/Aide!C293)</f>
        <v>3.6968960616026156</v>
      </c>
      <c r="F293" s="448">
        <f>Effort!G293</f>
        <v>-9.8749786399741915</v>
      </c>
      <c r="G293" s="341">
        <f t="shared" si="13"/>
        <v>5.443324240732121</v>
      </c>
      <c r="H293" s="208">
        <f t="shared" si="14"/>
        <v>0</v>
      </c>
      <c r="I293" s="42">
        <f t="shared" si="15"/>
        <v>0</v>
      </c>
      <c r="J293" s="29"/>
    </row>
    <row r="294" spans="1:10" x14ac:dyDescent="0.25">
      <c r="A294" s="38">
        <f>Données!A294</f>
        <v>5926</v>
      </c>
      <c r="B294" s="167" t="str">
        <f>Données!B294</f>
        <v>Pomy</v>
      </c>
      <c r="C294" s="321">
        <f>VPI!R294</f>
        <v>26782.680140845066</v>
      </c>
      <c r="D294" s="191">
        <f>Effort!I294-IF(PCS!I300&lt;0, Effort!D294, 0)</f>
        <v>13.081643350085233</v>
      </c>
      <c r="E294" s="448">
        <f>IF(PCS!I300&lt;0, 0, PCS!F300/Aide!C294)</f>
        <v>2.1415713326063801</v>
      </c>
      <c r="F294" s="448">
        <f>Effort!G294</f>
        <v>-2.0107923764942726</v>
      </c>
      <c r="G294" s="341">
        <f t="shared" si="13"/>
        <v>17.234007059185885</v>
      </c>
      <c r="H294" s="208">
        <f t="shared" si="14"/>
        <v>0</v>
      </c>
      <c r="I294" s="42">
        <f t="shared" si="15"/>
        <v>0</v>
      </c>
      <c r="J294" s="29"/>
    </row>
    <row r="295" spans="1:10" x14ac:dyDescent="0.25">
      <c r="A295" s="38">
        <f>Données!A295</f>
        <v>5928</v>
      </c>
      <c r="B295" s="167" t="str">
        <f>Données!B295</f>
        <v>Rovray</v>
      </c>
      <c r="C295" s="321">
        <f>VPI!R295</f>
        <v>5095.519580419581</v>
      </c>
      <c r="D295" s="191">
        <f>Effort!I295-IF(PCS!I301&lt;0, Effort!D295, 0)</f>
        <v>6.8186790947295766</v>
      </c>
      <c r="E295" s="448">
        <f>IF(PCS!I301&lt;0, 0, PCS!F301/Aide!C295)</f>
        <v>2.340291271929144E-2</v>
      </c>
      <c r="F295" s="448">
        <f>Effort!G295</f>
        <v>-1.1122776447099481</v>
      </c>
      <c r="G295" s="341">
        <f t="shared" si="13"/>
        <v>7.954359652158816</v>
      </c>
      <c r="H295" s="208">
        <f t="shared" si="14"/>
        <v>0</v>
      </c>
      <c r="I295" s="42">
        <f t="shared" si="15"/>
        <v>0</v>
      </c>
      <c r="J295" s="29"/>
    </row>
    <row r="296" spans="1:10" x14ac:dyDescent="0.25">
      <c r="A296" s="38">
        <f>Données!A296</f>
        <v>5929</v>
      </c>
      <c r="B296" s="167" t="str">
        <f>Données!B296</f>
        <v>Suchy</v>
      </c>
      <c r="C296" s="321">
        <f>VPI!R296</f>
        <v>21603.071857142855</v>
      </c>
      <c r="D296" s="191">
        <f>Effort!I296-IF(PCS!I302&lt;0, Effort!D296, 0)</f>
        <v>16.30965597639479</v>
      </c>
      <c r="E296" s="448">
        <f>IF(PCS!I302&lt;0, 0, PCS!F302/Aide!C296)</f>
        <v>2.342602493509141</v>
      </c>
      <c r="F296" s="448">
        <f>Effort!G296</f>
        <v>-0.55866805364313843</v>
      </c>
      <c r="G296" s="341">
        <f t="shared" si="13"/>
        <v>19.210926523547069</v>
      </c>
      <c r="H296" s="208">
        <f t="shared" si="14"/>
        <v>0</v>
      </c>
      <c r="I296" s="42">
        <f t="shared" si="15"/>
        <v>0</v>
      </c>
      <c r="J296" s="29"/>
    </row>
    <row r="297" spans="1:10" x14ac:dyDescent="0.25">
      <c r="A297" s="38">
        <f>Données!A297</f>
        <v>5930</v>
      </c>
      <c r="B297" s="167" t="str">
        <f>Données!B297</f>
        <v>Suscévaz</v>
      </c>
      <c r="C297" s="321">
        <f>VPI!R297</f>
        <v>5749.1651388888886</v>
      </c>
      <c r="D297" s="191">
        <f>Effort!I297-IF(PCS!I303&lt;0, Effort!D297, 0)</f>
        <v>1.6237275221046552</v>
      </c>
      <c r="E297" s="448">
        <f>IF(PCS!I303&lt;0, 0, PCS!F303/Aide!C297)</f>
        <v>4.221304209169114</v>
      </c>
      <c r="F297" s="448">
        <f>Effort!G297</f>
        <v>-6.5042503151846525</v>
      </c>
      <c r="G297" s="341">
        <f t="shared" si="13"/>
        <v>12.349282046458422</v>
      </c>
      <c r="H297" s="208">
        <f t="shared" si="14"/>
        <v>0</v>
      </c>
      <c r="I297" s="42">
        <f t="shared" si="15"/>
        <v>0</v>
      </c>
      <c r="J297" s="29"/>
    </row>
    <row r="298" spans="1:10" x14ac:dyDescent="0.25">
      <c r="A298" s="38">
        <f>Données!A298</f>
        <v>5931</v>
      </c>
      <c r="B298" s="167" t="str">
        <f>Données!B298</f>
        <v>Treycovagnes</v>
      </c>
      <c r="C298" s="321">
        <f>VPI!R298</f>
        <v>16306.743466666663</v>
      </c>
      <c r="D298" s="191">
        <f>Effort!I298-IF(PCS!I304&lt;0, Effort!D298, 0)</f>
        <v>11.204235825755399</v>
      </c>
      <c r="E298" s="448">
        <f>IF(PCS!I304&lt;0, 0, PCS!F304/Aide!C298)</f>
        <v>6.3424230111557298</v>
      </c>
      <c r="F298" s="448">
        <f>Effort!G298</f>
        <v>-3.1898637092273403</v>
      </c>
      <c r="G298" s="341">
        <f t="shared" si="13"/>
        <v>20.736522546138467</v>
      </c>
      <c r="H298" s="208">
        <f t="shared" si="14"/>
        <v>0</v>
      </c>
      <c r="I298" s="42">
        <f t="shared" si="15"/>
        <v>0</v>
      </c>
      <c r="J298" s="29"/>
    </row>
    <row r="299" spans="1:10" x14ac:dyDescent="0.25">
      <c r="A299" s="38">
        <f>Données!A299</f>
        <v>5932</v>
      </c>
      <c r="B299" s="167" t="str">
        <f>Données!B299</f>
        <v>Ursins</v>
      </c>
      <c r="C299" s="321">
        <f>VPI!R299</f>
        <v>7945.6340000000009</v>
      </c>
      <c r="D299" s="191">
        <f>Effort!I299-IF(PCS!I305&lt;0, Effort!D299, 0)</f>
        <v>16.94475593262009</v>
      </c>
      <c r="E299" s="448">
        <f>IF(PCS!I305&lt;0, 0, PCS!F305/Aide!C299)</f>
        <v>1.2251791361142483</v>
      </c>
      <c r="F299" s="448">
        <f>Effort!G299</f>
        <v>-1.034753740230169</v>
      </c>
      <c r="G299" s="341">
        <f t="shared" si="13"/>
        <v>19.204688808964509</v>
      </c>
      <c r="H299" s="208">
        <f t="shared" si="14"/>
        <v>0</v>
      </c>
      <c r="I299" s="42">
        <f t="shared" si="15"/>
        <v>0</v>
      </c>
      <c r="J299" s="29"/>
    </row>
    <row r="300" spans="1:10" x14ac:dyDescent="0.25">
      <c r="A300" s="38">
        <f>Données!A300</f>
        <v>5933</v>
      </c>
      <c r="B300" s="167" t="str">
        <f>Données!B300</f>
        <v>Valeyres-sous-Montagny</v>
      </c>
      <c r="C300" s="321">
        <f>VPI!R300</f>
        <v>23478.314609929079</v>
      </c>
      <c r="D300" s="191">
        <f>Effort!I300-IF(PCS!I306&lt;0, Effort!D300, 0)</f>
        <v>3.4875339561609859</v>
      </c>
      <c r="E300" s="448">
        <f>IF(PCS!I306&lt;0, 0, PCS!F306/Aide!C300)</f>
        <v>2.3369530952956992</v>
      </c>
      <c r="F300" s="448">
        <f>Effort!G300</f>
        <v>-14.459443447310166</v>
      </c>
      <c r="G300" s="341">
        <f t="shared" si="13"/>
        <v>20.28393049876685</v>
      </c>
      <c r="H300" s="208">
        <f t="shared" si="14"/>
        <v>0</v>
      </c>
      <c r="I300" s="42">
        <f t="shared" si="15"/>
        <v>0</v>
      </c>
      <c r="J300" s="29"/>
    </row>
    <row r="301" spans="1:10" x14ac:dyDescent="0.25">
      <c r="A301" s="38">
        <f>Données!A301</f>
        <v>5934</v>
      </c>
      <c r="B301" s="167" t="str">
        <f>Données!B301</f>
        <v>Valeyres-sous-Ursins</v>
      </c>
      <c r="C301" s="321">
        <f>VPI!R301</f>
        <v>16787.585844155841</v>
      </c>
      <c r="D301" s="191">
        <f>Effort!I301-IF(PCS!I307&lt;0, Effort!D301, 0)</f>
        <v>34.878271139280486</v>
      </c>
      <c r="E301" s="448">
        <f>IF(PCS!I307&lt;0, 0, PCS!F307/Aide!C301)</f>
        <v>1.7969016081309499</v>
      </c>
      <c r="F301" s="448">
        <f>Effort!G301</f>
        <v>0</v>
      </c>
      <c r="G301" s="341">
        <f t="shared" si="13"/>
        <v>36.675172747411438</v>
      </c>
      <c r="H301" s="208">
        <f t="shared" si="14"/>
        <v>0</v>
      </c>
      <c r="I301" s="42">
        <f t="shared" si="15"/>
        <v>0</v>
      </c>
      <c r="J301" s="29"/>
    </row>
    <row r="302" spans="1:10" x14ac:dyDescent="0.25">
      <c r="A302" s="38">
        <f>Données!A302</f>
        <v>5935</v>
      </c>
      <c r="B302" s="167" t="str">
        <f>Données!B302</f>
        <v>Villars-Epeney</v>
      </c>
      <c r="C302" s="321">
        <f>VPI!R302</f>
        <v>6724.4138235294122</v>
      </c>
      <c r="D302" s="191">
        <f>Effort!I302-IF(PCS!I308&lt;0, Effort!D302, 0)</f>
        <v>34.526591109276453</v>
      </c>
      <c r="E302" s="448">
        <f>IF(PCS!I308&lt;0, 0, PCS!F308/Aide!C302)</f>
        <v>4.3024344960398251</v>
      </c>
      <c r="F302" s="448">
        <f>Effort!G302</f>
        <v>-0.48981066882409641</v>
      </c>
      <c r="G302" s="341">
        <f t="shared" si="13"/>
        <v>39.318836274140374</v>
      </c>
      <c r="H302" s="208">
        <f t="shared" si="14"/>
        <v>0</v>
      </c>
      <c r="I302" s="42">
        <f t="shared" si="15"/>
        <v>0</v>
      </c>
      <c r="J302" s="29"/>
    </row>
    <row r="303" spans="1:10" x14ac:dyDescent="0.25">
      <c r="A303" s="38">
        <f>Données!A303</f>
        <v>5937</v>
      </c>
      <c r="B303" s="167" t="str">
        <f>Données!B303</f>
        <v>Vugelles-La Mothe</v>
      </c>
      <c r="C303" s="321">
        <f>VPI!R303</f>
        <v>3343.8941428571434</v>
      </c>
      <c r="D303" s="191">
        <f>Effort!I303-IF(PCS!I309&lt;0, Effort!D303, 0)</f>
        <v>-0.76609216905066191</v>
      </c>
      <c r="E303" s="448">
        <f>IF(PCS!I309&lt;0, 0, PCS!F309/Aide!C303)</f>
        <v>2.68459604774741</v>
      </c>
      <c r="F303" s="448">
        <f>Effort!G303</f>
        <v>-6.9489234835227798</v>
      </c>
      <c r="G303" s="341">
        <f t="shared" si="13"/>
        <v>8.8674273622195283</v>
      </c>
      <c r="H303" s="208">
        <f t="shared" si="14"/>
        <v>0</v>
      </c>
      <c r="I303" s="42">
        <f t="shared" si="15"/>
        <v>0</v>
      </c>
      <c r="J303" s="29"/>
    </row>
    <row r="304" spans="1:10" x14ac:dyDescent="0.25">
      <c r="A304" s="38">
        <f>Données!A304</f>
        <v>5938</v>
      </c>
      <c r="B304" s="167" t="str">
        <f>Données!B304</f>
        <v>Yverdon-les-Bains</v>
      </c>
      <c r="C304" s="321">
        <f>VPI!R304</f>
        <v>780594.69946666679</v>
      </c>
      <c r="D304" s="191">
        <f>Effort!I304-IF(PCS!I310&lt;0, Effort!D304, 0)</f>
        <v>-35.020443831072967</v>
      </c>
      <c r="E304" s="448">
        <f>IF(PCS!I310&lt;0, 0, PCS!F310/Aide!C304)</f>
        <v>5.4630508994150571</v>
      </c>
      <c r="F304" s="448">
        <f>Effort!G304</f>
        <v>-12.988747310386977</v>
      </c>
      <c r="G304" s="341">
        <f t="shared" si="13"/>
        <v>-16.568645621270932</v>
      </c>
      <c r="H304" s="208">
        <f t="shared" si="14"/>
        <v>-8.5686456212709317</v>
      </c>
      <c r="I304" s="42">
        <f t="shared" si="15"/>
        <v>6688639.3535723528</v>
      </c>
      <c r="J304" s="29"/>
    </row>
    <row r="305" spans="1:12" x14ac:dyDescent="0.25">
      <c r="A305" s="38">
        <f>Données!A305</f>
        <v>5939</v>
      </c>
      <c r="B305" s="167" t="str">
        <f>Données!B305</f>
        <v>Yvonand</v>
      </c>
      <c r="C305" s="321">
        <f>VPI!R305</f>
        <v>97394.348251748248</v>
      </c>
      <c r="D305" s="191">
        <f>Effort!I305-IF(PCS!I311&lt;0, Effort!D305, 0)</f>
        <v>-1.9396485722047565</v>
      </c>
      <c r="E305" s="448">
        <f>IF(PCS!I311&lt;0, 0, PCS!F311/Aide!C305)</f>
        <v>7.6372230868812068</v>
      </c>
      <c r="F305" s="448">
        <f>Effort!G305</f>
        <v>-5.6852210548137236</v>
      </c>
      <c r="G305" s="341">
        <f t="shared" si="13"/>
        <v>11.382795569490174</v>
      </c>
      <c r="H305" s="208">
        <f t="shared" si="14"/>
        <v>0</v>
      </c>
      <c r="I305" s="42">
        <f t="shared" si="15"/>
        <v>0</v>
      </c>
      <c r="J305" s="29"/>
    </row>
    <row r="306" spans="1:12" x14ac:dyDescent="0.25">
      <c r="A306" s="25"/>
      <c r="B306" s="171">
        <f>COUNTA(B6:B305)</f>
        <v>300</v>
      </c>
      <c r="C306" s="384">
        <f>VPI!R306</f>
        <v>40269073.341943532</v>
      </c>
      <c r="D306" s="778"/>
      <c r="E306" s="779"/>
      <c r="F306" s="779"/>
      <c r="G306" s="779"/>
      <c r="H306" s="780"/>
      <c r="I306" s="475">
        <f>SUM(I6:I305)</f>
        <v>11325883.190971758</v>
      </c>
      <c r="K306" s="10"/>
      <c r="L306" s="10"/>
    </row>
    <row r="307" spans="1:12" x14ac:dyDescent="0.25">
      <c r="I307" s="23"/>
      <c r="J307" s="5"/>
    </row>
    <row r="308" spans="1:12" x14ac:dyDescent="0.25">
      <c r="I308" s="23"/>
    </row>
  </sheetData>
  <sheetProtection sheet="1" objects="1" scenarios="1"/>
  <mergeCells count="7">
    <mergeCell ref="D306:H306"/>
    <mergeCell ref="C4:C5"/>
    <mergeCell ref="B4:B5"/>
    <mergeCell ref="A4:A5"/>
    <mergeCell ref="I4:I5"/>
    <mergeCell ref="G4:G5"/>
    <mergeCell ref="D4:D5"/>
  </mergeCells>
  <phoneticPr fontId="20" type="noConversion"/>
  <conditionalFormatting sqref="D6:G305 D306">
    <cfRule type="cellIs" dxfId="6" priority="3" operator="lessThan">
      <formula>0</formula>
    </cfRule>
    <cfRule type="cellIs" dxfId="5" priority="4" operator="greaterThan">
      <formula>0</formula>
    </cfRule>
  </conditionalFormatting>
  <conditionalFormatting sqref="H5">
    <cfRule type="cellIs" dxfId="4" priority="1" operator="lessThan">
      <formula>0</formula>
    </cfRule>
    <cfRule type="cellIs" dxfId="3" priority="2" operator="greaterThan">
      <formula>0</formula>
    </cfRule>
  </conditionalFormatting>
  <hyperlinks>
    <hyperlink ref="C1" location="Effort!A1" display="← Précédent" xr:uid="{AB4DD465-687C-427D-8055-D2BD3588A1AC}"/>
    <hyperlink ref="E1" location="Taux!A1" display="Suivant →" xr:uid="{595CC61F-6155-4574-887D-9823ED57B9F9}"/>
    <hyperlink ref="D1" location="'Table des matières'!A1" display="Table des             matières" xr:uid="{FC746932-0F9A-4D6A-946B-B9E5F79E5828}"/>
  </hyperlinks>
  <pageMargins left="0.78740157499999996" right="0.78740157499999996" top="0.984251969" bottom="0.984251969" header="0.4921259845" footer="0.4921259845"/>
  <pageSetup paperSize="9" orientation="portrait" horizontalDpi="4294967292" verticalDpi="4294967292"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5">
    <tabColor theme="6" tint="0.39997558519241921"/>
  </sheetPr>
  <dimension ref="A1:R311"/>
  <sheetViews>
    <sheetView workbookViewId="0">
      <pane ySplit="5" topLeftCell="A6" activePane="bottomLeft" state="frozen"/>
      <selection activeCell="A6" sqref="A6"/>
      <selection pane="bottomLeft" activeCell="A6" sqref="A6"/>
    </sheetView>
  </sheetViews>
  <sheetFormatPr baseColWidth="10" defaultColWidth="10.75" defaultRowHeight="15" x14ac:dyDescent="0.25"/>
  <cols>
    <col min="1" max="1" width="7.25" style="11" customWidth="1"/>
    <col min="2" max="2" width="20.25" style="11" bestFit="1" customWidth="1"/>
    <col min="3" max="3" width="16.125" style="5" customWidth="1"/>
    <col min="4" max="4" width="22.375" style="5" customWidth="1"/>
    <col min="5" max="6" width="12.125" style="5" customWidth="1"/>
    <col min="7" max="7" width="16.5" style="5" customWidth="1"/>
    <col min="8" max="8" width="12.125" style="11" customWidth="1"/>
    <col min="9" max="9" width="12" style="11" customWidth="1"/>
    <col min="10" max="10" width="9.25" style="11" bestFit="1" customWidth="1"/>
    <col min="11" max="11" width="8.875" style="13" bestFit="1" customWidth="1"/>
    <col min="12" max="12" width="11.75" style="13" bestFit="1" customWidth="1"/>
    <col min="13" max="13" width="12.5" style="13" bestFit="1" customWidth="1"/>
    <col min="14" max="14" width="6.75" style="11" customWidth="1"/>
    <col min="15" max="15" width="12.25" style="11" customWidth="1"/>
    <col min="16" max="16" width="12.625" style="11" customWidth="1"/>
    <col min="17" max="17" width="9.625" style="11" customWidth="1"/>
    <col min="18" max="18" width="11.25" style="5" bestFit="1" customWidth="1"/>
    <col min="19" max="16384" width="10.75" style="11"/>
  </cols>
  <sheetData>
    <row r="1" spans="1:18" s="267" customFormat="1" ht="26.25" x14ac:dyDescent="0.4">
      <c r="A1" s="254" t="s">
        <v>403</v>
      </c>
      <c r="B1" s="259"/>
      <c r="C1" s="374" t="s">
        <v>405</v>
      </c>
      <c r="D1" s="278" t="s">
        <v>397</v>
      </c>
      <c r="E1" s="373" t="s">
        <v>406</v>
      </c>
      <c r="F1" s="264"/>
      <c r="G1" s="264"/>
      <c r="H1" s="263"/>
      <c r="I1" s="263"/>
      <c r="J1" s="263"/>
      <c r="K1" s="266"/>
      <c r="L1" s="266"/>
      <c r="M1" s="266"/>
      <c r="N1" s="263"/>
      <c r="O1" s="263"/>
      <c r="P1" s="263"/>
      <c r="Q1" s="263"/>
      <c r="R1" s="262"/>
    </row>
    <row r="2" spans="1:18" s="33" customFormat="1" ht="15.75" x14ac:dyDescent="0.25">
      <c r="A2" s="327" t="str">
        <f>Paramètres!B4</f>
        <v>Décompte 2022</v>
      </c>
      <c r="B2" s="32"/>
      <c r="C2" s="34"/>
      <c r="D2" s="34"/>
      <c r="E2" s="34"/>
      <c r="F2" s="34"/>
      <c r="G2" s="34"/>
      <c r="H2" s="489"/>
      <c r="I2" s="204"/>
      <c r="J2" s="204"/>
      <c r="K2" s="80"/>
      <c r="L2" s="80"/>
      <c r="M2" s="80"/>
      <c r="N2" s="204"/>
      <c r="O2" s="204"/>
      <c r="P2" s="204"/>
      <c r="Q2" s="204"/>
      <c r="R2" s="5"/>
    </row>
    <row r="3" spans="1:18" ht="26.1" customHeight="1" x14ac:dyDescent="0.25">
      <c r="D3" s="4"/>
      <c r="H3" s="81"/>
      <c r="I3" s="81"/>
    </row>
    <row r="4" spans="1:18" ht="36.75" customHeight="1" x14ac:dyDescent="0.25">
      <c r="A4" s="762" t="s">
        <v>44</v>
      </c>
      <c r="B4" s="762" t="s">
        <v>84</v>
      </c>
      <c r="C4" s="762" t="s">
        <v>413</v>
      </c>
      <c r="D4" s="323" t="s">
        <v>494</v>
      </c>
      <c r="E4" s="770" t="s">
        <v>300</v>
      </c>
      <c r="F4" s="770" t="s">
        <v>436</v>
      </c>
      <c r="G4" s="438" t="s">
        <v>493</v>
      </c>
      <c r="H4" s="776" t="s">
        <v>514</v>
      </c>
      <c r="I4" s="436" t="s">
        <v>113</v>
      </c>
      <c r="J4" s="774" t="s">
        <v>437</v>
      </c>
      <c r="K4" s="5"/>
      <c r="L4" s="11"/>
      <c r="M4" s="11"/>
      <c r="R4" s="11"/>
    </row>
    <row r="5" spans="1:18" x14ac:dyDescent="0.25">
      <c r="A5" s="764"/>
      <c r="B5" s="764"/>
      <c r="C5" s="764"/>
      <c r="D5" s="476" t="str">
        <f>CONCATENATE(LEFT(Paramètres!B4,LENB(Paramètres!B4)-4), "T-1")</f>
        <v>Décompte T-1</v>
      </c>
      <c r="E5" s="771"/>
      <c r="F5" s="771"/>
      <c r="G5" s="454" t="str">
        <f>Paramètres!B4</f>
        <v>Décompte 2022</v>
      </c>
      <c r="H5" s="777"/>
      <c r="I5" s="460">
        <f>Paramètres!B47</f>
        <v>93.882000000000005</v>
      </c>
      <c r="J5" s="781"/>
      <c r="K5" s="5"/>
      <c r="L5" s="11"/>
      <c r="M5" s="11"/>
      <c r="R5" s="11"/>
    </row>
    <row r="6" spans="1:18" x14ac:dyDescent="0.25">
      <c r="A6" s="36">
        <f>Données!A6</f>
        <v>5401</v>
      </c>
      <c r="B6" s="185" t="str">
        <f>Données!B6</f>
        <v>Aigle</v>
      </c>
      <c r="C6" s="320">
        <f>VPI!R6</f>
        <v>294634.51575757569</v>
      </c>
      <c r="D6" s="464">
        <f>Données!AP6</f>
        <v>-4.7163916696975434</v>
      </c>
      <c r="E6" s="378">
        <f>VPI!Q6</f>
        <v>66</v>
      </c>
      <c r="F6" s="226">
        <f>E6-D6</f>
        <v>70.716391669697543</v>
      </c>
      <c r="G6" s="59">
        <f>Effort!I6+Aide!I6/Taux!C6+Effort!K6/Taux!C6</f>
        <v>-16.590052977380534</v>
      </c>
      <c r="H6" s="82">
        <f>F6+G6</f>
        <v>54.126338692317006</v>
      </c>
      <c r="I6" s="208">
        <f>IF(H6&gt;$I$5,H6-$I$5,0)</f>
        <v>0</v>
      </c>
      <c r="J6" s="64">
        <f>-I6*C6</f>
        <v>0</v>
      </c>
      <c r="K6" s="5"/>
      <c r="L6" s="10"/>
      <c r="M6" s="11"/>
      <c r="R6" s="11"/>
    </row>
    <row r="7" spans="1:18" x14ac:dyDescent="0.25">
      <c r="A7" s="38">
        <f>Données!A7</f>
        <v>5402</v>
      </c>
      <c r="B7" s="184" t="str">
        <f>Données!B7</f>
        <v>Bex</v>
      </c>
      <c r="C7" s="321">
        <f>VPI!R7</f>
        <v>191961.18746478873</v>
      </c>
      <c r="D7" s="465">
        <f>Données!AP7</f>
        <v>-8.7469694401254685</v>
      </c>
      <c r="E7" s="379">
        <f>VPI!Q7</f>
        <v>71</v>
      </c>
      <c r="F7" s="225">
        <f t="shared" ref="F7:F70" si="0">E7-D7</f>
        <v>79.746969440125469</v>
      </c>
      <c r="G7" s="223">
        <f>Effort!I7+Aide!I7/Taux!C7+Effort!K7/Taux!C7</f>
        <v>-25.635079256686648</v>
      </c>
      <c r="H7" s="83">
        <f t="shared" ref="H7:H70" si="1">F7+G7</f>
        <v>54.111890183438817</v>
      </c>
      <c r="I7" s="208">
        <f t="shared" ref="I7:I70" si="2">IF(H7&gt;$I$5,H7-$I$5,0)</f>
        <v>0</v>
      </c>
      <c r="J7" s="42">
        <f t="shared" ref="J7:J70" si="3">-I7*C7</f>
        <v>0</v>
      </c>
      <c r="K7" s="5"/>
      <c r="L7" s="10"/>
      <c r="M7" s="11"/>
      <c r="R7" s="11"/>
    </row>
    <row r="8" spans="1:18" x14ac:dyDescent="0.25">
      <c r="A8" s="38">
        <f>Données!A8</f>
        <v>5403</v>
      </c>
      <c r="B8" s="184" t="str">
        <f>Données!B8</f>
        <v>Chessel</v>
      </c>
      <c r="C8" s="321">
        <f>VPI!R8</f>
        <v>13521.430615384616</v>
      </c>
      <c r="D8" s="465">
        <f>Données!AP8</f>
        <v>4.0899769806375206</v>
      </c>
      <c r="E8" s="379">
        <f>VPI!Q8</f>
        <v>65</v>
      </c>
      <c r="F8" s="225">
        <f t="shared" si="0"/>
        <v>60.910023019362477</v>
      </c>
      <c r="G8" s="223">
        <f>Effort!I8+Aide!I8/Taux!C8+Effort!K8/Taux!C8</f>
        <v>8.9608247030472192</v>
      </c>
      <c r="H8" s="83">
        <f t="shared" si="1"/>
        <v>69.870847722409692</v>
      </c>
      <c r="I8" s="208">
        <f t="shared" si="2"/>
        <v>0</v>
      </c>
      <c r="J8" s="42">
        <f t="shared" si="3"/>
        <v>0</v>
      </c>
      <c r="K8" s="5"/>
      <c r="L8" s="10"/>
      <c r="M8" s="11"/>
      <c r="R8" s="11"/>
    </row>
    <row r="9" spans="1:18" x14ac:dyDescent="0.25">
      <c r="A9" s="38">
        <f>Données!A9</f>
        <v>5404</v>
      </c>
      <c r="B9" s="184" t="str">
        <f>Données!B9</f>
        <v>Corbeyrier</v>
      </c>
      <c r="C9" s="321">
        <f>VPI!R9</f>
        <v>11663.247882882884</v>
      </c>
      <c r="D9" s="465">
        <f>Données!AP9</f>
        <v>7.87655651655108</v>
      </c>
      <c r="E9" s="379">
        <f>VPI!Q9</f>
        <v>74</v>
      </c>
      <c r="F9" s="225">
        <f t="shared" si="0"/>
        <v>66.123443483448924</v>
      </c>
      <c r="G9" s="223">
        <f>Effort!I9+Aide!I9/Taux!C9+Effort!K9/Taux!C9</f>
        <v>-8.7544367758656314</v>
      </c>
      <c r="H9" s="83">
        <f t="shared" si="1"/>
        <v>57.369006707583296</v>
      </c>
      <c r="I9" s="208">
        <f t="shared" si="2"/>
        <v>0</v>
      </c>
      <c r="J9" s="42">
        <f t="shared" si="3"/>
        <v>0</v>
      </c>
      <c r="K9" s="5"/>
      <c r="L9" s="10"/>
      <c r="M9" s="11"/>
      <c r="R9" s="11"/>
    </row>
    <row r="10" spans="1:18" x14ac:dyDescent="0.25">
      <c r="A10" s="38">
        <f>Données!A10</f>
        <v>5405</v>
      </c>
      <c r="B10" s="184" t="str">
        <f>Données!B10</f>
        <v>Gryon</v>
      </c>
      <c r="C10" s="321">
        <f>VPI!R10</f>
        <v>73286.214467120197</v>
      </c>
      <c r="D10" s="465">
        <f>Données!AP10</f>
        <v>29.660499569515913</v>
      </c>
      <c r="E10" s="379">
        <f>VPI!Q10</f>
        <v>73.5</v>
      </c>
      <c r="F10" s="225">
        <f t="shared" si="0"/>
        <v>43.839500430484087</v>
      </c>
      <c r="G10" s="223">
        <f>Effort!I10+Aide!I10/Taux!C10+Effort!K10/Taux!C10</f>
        <v>20.064481510016432</v>
      </c>
      <c r="H10" s="83">
        <f t="shared" si="1"/>
        <v>63.903981940500515</v>
      </c>
      <c r="I10" s="208">
        <f t="shared" si="2"/>
        <v>0</v>
      </c>
      <c r="J10" s="42">
        <f t="shared" si="3"/>
        <v>0</v>
      </c>
      <c r="K10" s="5"/>
      <c r="L10" s="10"/>
      <c r="M10" s="11"/>
      <c r="R10" s="11"/>
    </row>
    <row r="11" spans="1:18" x14ac:dyDescent="0.25">
      <c r="A11" s="38">
        <f>Données!A11</f>
        <v>5406</v>
      </c>
      <c r="B11" s="184" t="str">
        <f>Données!B11</f>
        <v>Lavey-Morcles</v>
      </c>
      <c r="C11" s="321">
        <f>VPI!R11</f>
        <v>22111.529381387842</v>
      </c>
      <c r="D11" s="465">
        <f>Données!AP11</f>
        <v>1.3050180150908257</v>
      </c>
      <c r="E11" s="379">
        <f>VPI!Q11</f>
        <v>71.5</v>
      </c>
      <c r="F11" s="225">
        <f t="shared" si="0"/>
        <v>70.194981984909177</v>
      </c>
      <c r="G11" s="223">
        <f>Effort!I11+Aide!I11/Taux!C11+Effort!K11/Taux!C11</f>
        <v>-6.0858393991107533</v>
      </c>
      <c r="H11" s="83">
        <f t="shared" si="1"/>
        <v>64.109142585798423</v>
      </c>
      <c r="I11" s="208">
        <f t="shared" si="2"/>
        <v>0</v>
      </c>
      <c r="J11" s="42">
        <f t="shared" si="3"/>
        <v>0</v>
      </c>
      <c r="K11" s="5"/>
      <c r="L11" s="10"/>
      <c r="M11" s="11"/>
      <c r="R11" s="11"/>
    </row>
    <row r="12" spans="1:18" x14ac:dyDescent="0.25">
      <c r="A12" s="38">
        <f>Données!A12</f>
        <v>5407</v>
      </c>
      <c r="B12" s="184" t="str">
        <f>Données!B12</f>
        <v>Leysin</v>
      </c>
      <c r="C12" s="321">
        <f>VPI!R12</f>
        <v>89841.412521367529</v>
      </c>
      <c r="D12" s="465">
        <f>Données!AP12</f>
        <v>-4.5890261915199062</v>
      </c>
      <c r="E12" s="379">
        <f>VPI!Q12</f>
        <v>78</v>
      </c>
      <c r="F12" s="225">
        <f t="shared" si="0"/>
        <v>82.589026191519906</v>
      </c>
      <c r="G12" s="223">
        <f>Effort!I12+Aide!I12/Taux!C12+Effort!K12/Taux!C12</f>
        <v>-25.497145438404058</v>
      </c>
      <c r="H12" s="83">
        <f t="shared" si="1"/>
        <v>57.091880753115845</v>
      </c>
      <c r="I12" s="208">
        <f t="shared" si="2"/>
        <v>0</v>
      </c>
      <c r="J12" s="42">
        <f t="shared" si="3"/>
        <v>0</v>
      </c>
      <c r="K12" s="5"/>
      <c r="L12" s="10"/>
      <c r="M12" s="11"/>
      <c r="R12" s="11"/>
    </row>
    <row r="13" spans="1:18" x14ac:dyDescent="0.25">
      <c r="A13" s="38">
        <f>Données!A13</f>
        <v>5408</v>
      </c>
      <c r="B13" s="184" t="str">
        <f>Données!B13</f>
        <v>Noville</v>
      </c>
      <c r="C13" s="321">
        <f>VPI!R13</f>
        <v>41973.380088888902</v>
      </c>
      <c r="D13" s="465">
        <f>Données!AP13</f>
        <v>17.386048038640972</v>
      </c>
      <c r="E13" s="379">
        <f>VPI!Q13</f>
        <v>75</v>
      </c>
      <c r="F13" s="225">
        <f t="shared" si="0"/>
        <v>57.613951961359028</v>
      </c>
      <c r="G13" s="223">
        <f>Effort!I13+Aide!I13/Taux!C13+Effort!K13/Taux!C13</f>
        <v>15.309707960706323</v>
      </c>
      <c r="H13" s="83">
        <f t="shared" si="1"/>
        <v>72.923659922065355</v>
      </c>
      <c r="I13" s="208">
        <f t="shared" si="2"/>
        <v>0</v>
      </c>
      <c r="J13" s="42">
        <f t="shared" si="3"/>
        <v>0</v>
      </c>
      <c r="K13" s="5"/>
      <c r="L13" s="10"/>
      <c r="M13" s="11"/>
      <c r="R13" s="11"/>
    </row>
    <row r="14" spans="1:18" x14ac:dyDescent="0.25">
      <c r="A14" s="38">
        <f>Données!A14</f>
        <v>5409</v>
      </c>
      <c r="B14" s="184" t="str">
        <f>Données!B14</f>
        <v>Ollon</v>
      </c>
      <c r="C14" s="321">
        <f>VPI!R14</f>
        <v>405938.29721719451</v>
      </c>
      <c r="D14" s="465">
        <f>Données!AP14</f>
        <v>23.992091330052517</v>
      </c>
      <c r="E14" s="379">
        <f>VPI!Q14</f>
        <v>68</v>
      </c>
      <c r="F14" s="225">
        <f t="shared" si="0"/>
        <v>44.007908669947483</v>
      </c>
      <c r="G14" s="223">
        <f>Effort!I14+Aide!I14/Taux!C14+Effort!K14/Taux!C14</f>
        <v>13.590014146984345</v>
      </c>
      <c r="H14" s="83">
        <f t="shared" si="1"/>
        <v>57.597922816931828</v>
      </c>
      <c r="I14" s="208">
        <f t="shared" si="2"/>
        <v>0</v>
      </c>
      <c r="J14" s="42">
        <f t="shared" si="3"/>
        <v>0</v>
      </c>
      <c r="K14" s="5"/>
      <c r="L14" s="10"/>
      <c r="M14" s="11"/>
      <c r="R14" s="11"/>
    </row>
    <row r="15" spans="1:18" x14ac:dyDescent="0.25">
      <c r="A15" s="38">
        <f>Données!A15</f>
        <v>5410</v>
      </c>
      <c r="B15" s="184" t="str">
        <f>Données!B15</f>
        <v>Ormont-Dessous</v>
      </c>
      <c r="C15" s="321">
        <f>VPI!R15</f>
        <v>38413.35632034632</v>
      </c>
      <c r="D15" s="465">
        <f>Données!AP15</f>
        <v>15.353719343699154</v>
      </c>
      <c r="E15" s="379">
        <f>VPI!Q15</f>
        <v>77</v>
      </c>
      <c r="F15" s="225">
        <f t="shared" si="0"/>
        <v>61.646280656300846</v>
      </c>
      <c r="G15" s="223">
        <f>Effort!I15+Aide!I15/Taux!C15+Effort!K15/Taux!C15</f>
        <v>-9.3835653786599416</v>
      </c>
      <c r="H15" s="83">
        <f t="shared" si="1"/>
        <v>52.262715277640908</v>
      </c>
      <c r="I15" s="208">
        <f t="shared" si="2"/>
        <v>0</v>
      </c>
      <c r="J15" s="42">
        <f t="shared" si="3"/>
        <v>0</v>
      </c>
      <c r="K15" s="5"/>
      <c r="L15" s="10"/>
      <c r="M15" s="11"/>
      <c r="R15" s="11"/>
    </row>
    <row r="16" spans="1:18" x14ac:dyDescent="0.25">
      <c r="A16" s="38">
        <f>Données!A16</f>
        <v>5411</v>
      </c>
      <c r="B16" s="184" t="str">
        <f>Données!B16</f>
        <v>Ormont-Dessus</v>
      </c>
      <c r="C16" s="321">
        <f>VPI!R16</f>
        <v>76161.465657894747</v>
      </c>
      <c r="D16" s="465">
        <f>Données!AP16</f>
        <v>28.618020251586799</v>
      </c>
      <c r="E16" s="379">
        <f>VPI!Q16</f>
        <v>76</v>
      </c>
      <c r="F16" s="225">
        <f t="shared" si="0"/>
        <v>47.381979748413201</v>
      </c>
      <c r="G16" s="223">
        <f>Effort!I16+Aide!I16/Taux!C16+Effort!K16/Taux!C16</f>
        <v>19.409534558190952</v>
      </c>
      <c r="H16" s="83">
        <f t="shared" si="1"/>
        <v>66.791514306604157</v>
      </c>
      <c r="I16" s="208">
        <f t="shared" si="2"/>
        <v>0</v>
      </c>
      <c r="J16" s="42">
        <f t="shared" si="3"/>
        <v>0</v>
      </c>
      <c r="K16" s="5"/>
      <c r="L16" s="10"/>
      <c r="M16" s="11"/>
      <c r="R16" s="11"/>
    </row>
    <row r="17" spans="1:18" x14ac:dyDescent="0.25">
      <c r="A17" s="38">
        <f>Données!A17</f>
        <v>5412</v>
      </c>
      <c r="B17" s="184" t="str">
        <f>Données!B17</f>
        <v>Rennaz</v>
      </c>
      <c r="C17" s="321">
        <f>VPI!R17</f>
        <v>32240.440579710143</v>
      </c>
      <c r="D17" s="465">
        <f>Données!AP17</f>
        <v>17.915109276333499</v>
      </c>
      <c r="E17" s="379">
        <f>VPI!Q17</f>
        <v>69</v>
      </c>
      <c r="F17" s="225">
        <f t="shared" si="0"/>
        <v>51.084890723666504</v>
      </c>
      <c r="G17" s="223">
        <f>Effort!I17+Aide!I17/Taux!C17+Effort!K17/Taux!C17</f>
        <v>17.647342810835227</v>
      </c>
      <c r="H17" s="83">
        <f t="shared" si="1"/>
        <v>68.732233534501731</v>
      </c>
      <c r="I17" s="208">
        <f t="shared" si="2"/>
        <v>0</v>
      </c>
      <c r="J17" s="42">
        <f t="shared" si="3"/>
        <v>0</v>
      </c>
      <c r="K17" s="5"/>
      <c r="L17" s="10"/>
      <c r="M17" s="11"/>
      <c r="R17" s="11"/>
    </row>
    <row r="18" spans="1:18" x14ac:dyDescent="0.25">
      <c r="A18" s="38">
        <f>Données!A18</f>
        <v>5413</v>
      </c>
      <c r="B18" s="184" t="str">
        <f>Données!B18</f>
        <v>Roche</v>
      </c>
      <c r="C18" s="321">
        <f>VPI!R18</f>
        <v>42596.643504901964</v>
      </c>
      <c r="D18" s="465">
        <f>Données!AP18</f>
        <v>0.54053168194483903</v>
      </c>
      <c r="E18" s="379">
        <f>VPI!Q18</f>
        <v>68</v>
      </c>
      <c r="F18" s="225">
        <f t="shared" si="0"/>
        <v>67.459468318055158</v>
      </c>
      <c r="G18" s="223">
        <f>Effort!I18+Aide!I18/Taux!C18+Effort!K18/Taux!C18</f>
        <v>-4.8143337509640958</v>
      </c>
      <c r="H18" s="83">
        <f t="shared" si="1"/>
        <v>62.645134567091063</v>
      </c>
      <c r="I18" s="208">
        <f t="shared" si="2"/>
        <v>0</v>
      </c>
      <c r="J18" s="42">
        <f t="shared" si="3"/>
        <v>0</v>
      </c>
      <c r="K18" s="5"/>
      <c r="L18" s="10"/>
      <c r="M18" s="11"/>
      <c r="R18" s="11"/>
    </row>
    <row r="19" spans="1:18" x14ac:dyDescent="0.25">
      <c r="A19" s="38">
        <f>Données!A19</f>
        <v>5414</v>
      </c>
      <c r="B19" s="184" t="str">
        <f>Données!B19</f>
        <v>Villeneuve</v>
      </c>
      <c r="C19" s="321">
        <f>VPI!R19</f>
        <v>165881.46711111109</v>
      </c>
      <c r="D19" s="465">
        <f>Données!AP19</f>
        <v>8.1972867951792097</v>
      </c>
      <c r="E19" s="379">
        <f>VPI!Q19</f>
        <v>67.5</v>
      </c>
      <c r="F19" s="225">
        <f t="shared" si="0"/>
        <v>59.30271320482079</v>
      </c>
      <c r="G19" s="223">
        <f>Effort!I19+Aide!I19/Taux!C19+Effort!K19/Taux!C19</f>
        <v>-9.3863181968820832</v>
      </c>
      <c r="H19" s="83">
        <f t="shared" si="1"/>
        <v>49.916395007938704</v>
      </c>
      <c r="I19" s="208">
        <f t="shared" si="2"/>
        <v>0</v>
      </c>
      <c r="J19" s="42">
        <f t="shared" si="3"/>
        <v>0</v>
      </c>
      <c r="K19" s="5"/>
      <c r="L19" s="10"/>
      <c r="M19" s="11"/>
      <c r="R19" s="11"/>
    </row>
    <row r="20" spans="1:18" x14ac:dyDescent="0.25">
      <c r="A20" s="38">
        <f>Données!A20</f>
        <v>5415</v>
      </c>
      <c r="B20" s="184" t="str">
        <f>Données!B20</f>
        <v>Yvorne</v>
      </c>
      <c r="C20" s="321">
        <f>VPI!R20</f>
        <v>33675.515990675995</v>
      </c>
      <c r="D20" s="465">
        <f>Données!AP20</f>
        <v>18.866944474219338</v>
      </c>
      <c r="E20" s="379">
        <f>VPI!Q20</f>
        <v>71.5</v>
      </c>
      <c r="F20" s="225">
        <f t="shared" si="0"/>
        <v>52.633055525780662</v>
      </c>
      <c r="G20" s="223">
        <f>Effort!I20+Aide!I20/Taux!C20+Effort!K20/Taux!C20</f>
        <v>3.628642446702969</v>
      </c>
      <c r="H20" s="83">
        <f t="shared" si="1"/>
        <v>56.261697972483631</v>
      </c>
      <c r="I20" s="208">
        <f t="shared" si="2"/>
        <v>0</v>
      </c>
      <c r="J20" s="42">
        <f t="shared" si="3"/>
        <v>0</v>
      </c>
      <c r="K20" s="5"/>
      <c r="L20" s="10"/>
      <c r="M20" s="11"/>
      <c r="R20" s="11"/>
    </row>
    <row r="21" spans="1:18" x14ac:dyDescent="0.25">
      <c r="A21" s="38">
        <f>Données!A21</f>
        <v>5422</v>
      </c>
      <c r="B21" s="184" t="str">
        <f>Données!B21</f>
        <v>Aubonne</v>
      </c>
      <c r="C21" s="321">
        <f>VPI!R21</f>
        <v>297608.37742857152</v>
      </c>
      <c r="D21" s="465">
        <f>Données!AP21</f>
        <v>39.020299212291064</v>
      </c>
      <c r="E21" s="379">
        <f>VPI!Q21</f>
        <v>70</v>
      </c>
      <c r="F21" s="225">
        <f t="shared" si="0"/>
        <v>30.979700787708936</v>
      </c>
      <c r="G21" s="223">
        <f>Effort!I21+Aide!I21/Taux!C21+Effort!K21/Taux!C21</f>
        <v>34.222363266994549</v>
      </c>
      <c r="H21" s="83">
        <f t="shared" si="1"/>
        <v>65.202064054703484</v>
      </c>
      <c r="I21" s="208">
        <f t="shared" si="2"/>
        <v>0</v>
      </c>
      <c r="J21" s="42">
        <f t="shared" si="3"/>
        <v>0</v>
      </c>
      <c r="K21" s="5"/>
      <c r="L21" s="10"/>
      <c r="M21" s="11"/>
      <c r="R21" s="11"/>
    </row>
    <row r="22" spans="1:18" x14ac:dyDescent="0.25">
      <c r="A22" s="38">
        <f>Données!A22</f>
        <v>5423</v>
      </c>
      <c r="B22" s="184" t="str">
        <f>Données!B22</f>
        <v>Ballens</v>
      </c>
      <c r="C22" s="321">
        <f>VPI!R22</f>
        <v>17345.890547945211</v>
      </c>
      <c r="D22" s="465">
        <f>Données!AP22</f>
        <v>11.708460153746396</v>
      </c>
      <c r="E22" s="379">
        <f>VPI!Q22</f>
        <v>73</v>
      </c>
      <c r="F22" s="225">
        <f t="shared" si="0"/>
        <v>61.291539846253606</v>
      </c>
      <c r="G22" s="223">
        <f>Effort!I22+Aide!I22/Taux!C22+Effort!K22/Taux!C22</f>
        <v>8.2871451677776502</v>
      </c>
      <c r="H22" s="83">
        <f t="shared" si="1"/>
        <v>69.578685014031251</v>
      </c>
      <c r="I22" s="208">
        <f t="shared" si="2"/>
        <v>0</v>
      </c>
      <c r="J22" s="42">
        <f t="shared" si="3"/>
        <v>0</v>
      </c>
      <c r="K22" s="5"/>
      <c r="L22" s="10"/>
      <c r="M22" s="11"/>
      <c r="R22" s="11"/>
    </row>
    <row r="23" spans="1:18" x14ac:dyDescent="0.25">
      <c r="A23" s="38">
        <f>Données!A23</f>
        <v>5424</v>
      </c>
      <c r="B23" s="184" t="str">
        <f>Données!B23</f>
        <v>Berolle</v>
      </c>
      <c r="C23" s="321">
        <f>VPI!R23</f>
        <v>10263.254304635762</v>
      </c>
      <c r="D23" s="465">
        <f>Données!AP23</f>
        <v>8.1183993602049487</v>
      </c>
      <c r="E23" s="379">
        <f>VPI!Q23</f>
        <v>75.5</v>
      </c>
      <c r="F23" s="225">
        <f t="shared" si="0"/>
        <v>67.381600639795053</v>
      </c>
      <c r="G23" s="223">
        <f>Effort!I23+Aide!I23/Taux!C23+Effort!K23/Taux!C23</f>
        <v>8.9257916618438795</v>
      </c>
      <c r="H23" s="83">
        <f t="shared" si="1"/>
        <v>76.307392301638927</v>
      </c>
      <c r="I23" s="208">
        <f t="shared" si="2"/>
        <v>0</v>
      </c>
      <c r="J23" s="42">
        <f t="shared" si="3"/>
        <v>0</v>
      </c>
      <c r="K23" s="5"/>
      <c r="L23" s="10"/>
      <c r="M23" s="11"/>
      <c r="R23" s="11"/>
    </row>
    <row r="24" spans="1:18" x14ac:dyDescent="0.25">
      <c r="A24" s="38">
        <f>Données!A24</f>
        <v>5425</v>
      </c>
      <c r="B24" s="184" t="str">
        <f>Données!B24</f>
        <v>Bière</v>
      </c>
      <c r="C24" s="321">
        <f>VPI!R24</f>
        <v>42247.955252373817</v>
      </c>
      <c r="D24" s="465">
        <f>Données!AP24</f>
        <v>8.0471159904390568</v>
      </c>
      <c r="E24" s="379">
        <f>VPI!Q24</f>
        <v>69</v>
      </c>
      <c r="F24" s="225">
        <f t="shared" si="0"/>
        <v>60.952884009560947</v>
      </c>
      <c r="G24" s="223">
        <f>Effort!I24+Aide!I24/Taux!C24+Effort!K24/Taux!C24</f>
        <v>-8.6257472045229413</v>
      </c>
      <c r="H24" s="83">
        <f t="shared" si="1"/>
        <v>52.327136805038009</v>
      </c>
      <c r="I24" s="208">
        <f t="shared" si="2"/>
        <v>0</v>
      </c>
      <c r="J24" s="42">
        <f t="shared" si="3"/>
        <v>0</v>
      </c>
      <c r="K24" s="5"/>
      <c r="L24" s="10"/>
      <c r="M24" s="11"/>
      <c r="R24" s="11"/>
    </row>
    <row r="25" spans="1:18" x14ac:dyDescent="0.25">
      <c r="A25" s="38">
        <f>Données!A25</f>
        <v>5426</v>
      </c>
      <c r="B25" s="184" t="str">
        <f>Données!B25</f>
        <v>Bougy-Villars</v>
      </c>
      <c r="C25" s="321">
        <f>VPI!R25</f>
        <v>61945.082222222212</v>
      </c>
      <c r="D25" s="465">
        <f>Données!AP25</f>
        <v>42.339138470643057</v>
      </c>
      <c r="E25" s="379">
        <f>VPI!Q25</f>
        <v>64.5</v>
      </c>
      <c r="F25" s="225">
        <f t="shared" si="0"/>
        <v>22.160861529356943</v>
      </c>
      <c r="G25" s="223">
        <f>Effort!I25+Aide!I25/Taux!C25+Effort!K25/Taux!C25</f>
        <v>44.861736291706578</v>
      </c>
      <c r="H25" s="83">
        <f t="shared" si="1"/>
        <v>67.022597821063528</v>
      </c>
      <c r="I25" s="208">
        <f t="shared" si="2"/>
        <v>0</v>
      </c>
      <c r="J25" s="42">
        <f t="shared" si="3"/>
        <v>0</v>
      </c>
      <c r="K25" s="5"/>
      <c r="L25" s="10"/>
      <c r="M25" s="11"/>
      <c r="R25" s="11"/>
    </row>
    <row r="26" spans="1:18" x14ac:dyDescent="0.25">
      <c r="A26" s="38">
        <f>Données!A26</f>
        <v>5427</v>
      </c>
      <c r="B26" s="184" t="str">
        <f>Données!B26</f>
        <v>Féchy</v>
      </c>
      <c r="C26" s="321">
        <f>VPI!R26</f>
        <v>86922.106418269221</v>
      </c>
      <c r="D26" s="465">
        <f>Données!AP26</f>
        <v>40.583981406407261</v>
      </c>
      <c r="E26" s="379">
        <f>VPI!Q26</f>
        <v>64</v>
      </c>
      <c r="F26" s="225">
        <f t="shared" si="0"/>
        <v>23.416018593592739</v>
      </c>
      <c r="G26" s="223">
        <f>Effort!I26+Aide!I26/Taux!C26+Effort!K26/Taux!C26</f>
        <v>40.249976711426875</v>
      </c>
      <c r="H26" s="83">
        <f t="shared" si="1"/>
        <v>63.665995305019614</v>
      </c>
      <c r="I26" s="208">
        <f t="shared" si="2"/>
        <v>0</v>
      </c>
      <c r="J26" s="42">
        <f t="shared" si="3"/>
        <v>0</v>
      </c>
      <c r="K26" s="5"/>
      <c r="L26" s="10"/>
      <c r="M26" s="11"/>
      <c r="R26" s="11"/>
    </row>
    <row r="27" spans="1:18" x14ac:dyDescent="0.25">
      <c r="A27" s="38">
        <f>Données!A27</f>
        <v>5428</v>
      </c>
      <c r="B27" s="184" t="str">
        <f>Données!B27</f>
        <v>Gimel</v>
      </c>
      <c r="C27" s="321">
        <f>VPI!R27</f>
        <v>71357.587986577171</v>
      </c>
      <c r="D27" s="465">
        <f>Données!AP27</f>
        <v>7.7941035715866231</v>
      </c>
      <c r="E27" s="379">
        <f>VPI!Q27</f>
        <v>74.5</v>
      </c>
      <c r="F27" s="225">
        <f t="shared" si="0"/>
        <v>66.705896428413382</v>
      </c>
      <c r="G27" s="223">
        <f>Effort!I27+Aide!I27/Taux!C27+Effort!K27/Taux!C27</f>
        <v>8.4160728632276971E-2</v>
      </c>
      <c r="H27" s="83">
        <f t="shared" si="1"/>
        <v>66.790057157045652</v>
      </c>
      <c r="I27" s="208">
        <f t="shared" si="2"/>
        <v>0</v>
      </c>
      <c r="J27" s="42">
        <f t="shared" si="3"/>
        <v>0</v>
      </c>
      <c r="K27" s="5"/>
      <c r="L27" s="10"/>
      <c r="M27" s="11"/>
      <c r="R27" s="11"/>
    </row>
    <row r="28" spans="1:18" x14ac:dyDescent="0.25">
      <c r="A28" s="38">
        <f>Données!A28</f>
        <v>5429</v>
      </c>
      <c r="B28" s="184" t="str">
        <f>Données!B28</f>
        <v>Longirod</v>
      </c>
      <c r="C28" s="321">
        <f>VPI!R28</f>
        <v>17142.381290322584</v>
      </c>
      <c r="D28" s="465">
        <f>Données!AP28</f>
        <v>18.850790109901546</v>
      </c>
      <c r="E28" s="379">
        <f>VPI!Q28</f>
        <v>77.5</v>
      </c>
      <c r="F28" s="225">
        <f t="shared" si="0"/>
        <v>58.649209890098454</v>
      </c>
      <c r="G28" s="223">
        <f>Effort!I28+Aide!I28/Taux!C28+Effort!K28/Taux!C28</f>
        <v>10.06736718361666</v>
      </c>
      <c r="H28" s="83">
        <f t="shared" si="1"/>
        <v>68.716577073715115</v>
      </c>
      <c r="I28" s="208">
        <f t="shared" si="2"/>
        <v>0</v>
      </c>
      <c r="J28" s="42">
        <f t="shared" si="3"/>
        <v>0</v>
      </c>
      <c r="K28" s="5"/>
      <c r="L28" s="10"/>
      <c r="M28" s="11"/>
      <c r="R28" s="11"/>
    </row>
    <row r="29" spans="1:18" x14ac:dyDescent="0.25">
      <c r="A29" s="38">
        <f>Données!A29</f>
        <v>5430</v>
      </c>
      <c r="B29" s="184" t="str">
        <f>Données!B29</f>
        <v>Marchissy</v>
      </c>
      <c r="C29" s="321">
        <f>VPI!R29</f>
        <v>17121.715483870968</v>
      </c>
      <c r="D29" s="465">
        <f>Données!AP29</f>
        <v>14.824200221946516</v>
      </c>
      <c r="E29" s="379">
        <f>VPI!Q29</f>
        <v>77.5</v>
      </c>
      <c r="F29" s="225">
        <f t="shared" si="0"/>
        <v>62.675799778053488</v>
      </c>
      <c r="G29" s="223">
        <f>Effort!I29+Aide!I29/Taux!C29+Effort!K29/Taux!C29</f>
        <v>13.627271719295477</v>
      </c>
      <c r="H29" s="83">
        <f t="shared" si="1"/>
        <v>76.303071497348967</v>
      </c>
      <c r="I29" s="208">
        <f t="shared" si="2"/>
        <v>0</v>
      </c>
      <c r="J29" s="42">
        <f t="shared" si="3"/>
        <v>0</v>
      </c>
      <c r="K29" s="5"/>
      <c r="L29" s="10"/>
      <c r="M29" s="11"/>
      <c r="R29" s="11"/>
    </row>
    <row r="30" spans="1:18" x14ac:dyDescent="0.25">
      <c r="A30" s="38">
        <f>Données!A30</f>
        <v>5431</v>
      </c>
      <c r="B30" s="184" t="str">
        <f>Données!B30</f>
        <v>Mollens</v>
      </c>
      <c r="C30" s="321">
        <f>VPI!R30</f>
        <v>9475.049594594595</v>
      </c>
      <c r="D30" s="465">
        <f>Données!AP30</f>
        <v>16.659379426441415</v>
      </c>
      <c r="E30" s="379">
        <f>VPI!Q30</f>
        <v>74</v>
      </c>
      <c r="F30" s="225">
        <f t="shared" si="0"/>
        <v>57.340620573558581</v>
      </c>
      <c r="G30" s="223">
        <f>Effort!I30+Aide!I30/Taux!C30+Effort!K30/Taux!C30</f>
        <v>5.9361670564717812</v>
      </c>
      <c r="H30" s="83">
        <f t="shared" si="1"/>
        <v>63.276787630030363</v>
      </c>
      <c r="I30" s="208">
        <f t="shared" si="2"/>
        <v>0</v>
      </c>
      <c r="J30" s="42">
        <f t="shared" si="3"/>
        <v>0</v>
      </c>
      <c r="K30" s="5"/>
      <c r="L30" s="10"/>
      <c r="M30" s="11"/>
      <c r="R30" s="11"/>
    </row>
    <row r="31" spans="1:18" x14ac:dyDescent="0.25">
      <c r="A31" s="38">
        <f>Données!A31</f>
        <v>5434</v>
      </c>
      <c r="B31" s="184" t="str">
        <f>Données!B31</f>
        <v>Saint-George</v>
      </c>
      <c r="C31" s="321">
        <f>VPI!R31</f>
        <v>40910.448657074339</v>
      </c>
      <c r="D31" s="465">
        <f>Données!AP31</f>
        <v>23.719047977736892</v>
      </c>
      <c r="E31" s="379">
        <f>VPI!Q31</f>
        <v>69.5</v>
      </c>
      <c r="F31" s="225">
        <f t="shared" si="0"/>
        <v>45.780952022263108</v>
      </c>
      <c r="G31" s="223">
        <f>Effort!I31+Aide!I31/Taux!C31+Effort!K31/Taux!C31</f>
        <v>18.031905591091828</v>
      </c>
      <c r="H31" s="83">
        <f t="shared" si="1"/>
        <v>63.812857613354936</v>
      </c>
      <c r="I31" s="208">
        <f t="shared" si="2"/>
        <v>0</v>
      </c>
      <c r="J31" s="42">
        <f t="shared" si="3"/>
        <v>0</v>
      </c>
      <c r="K31" s="5"/>
      <c r="L31" s="10"/>
      <c r="M31" s="11"/>
      <c r="R31" s="11"/>
    </row>
    <row r="32" spans="1:18" x14ac:dyDescent="0.25">
      <c r="A32" s="38">
        <f>Données!A32</f>
        <v>5435</v>
      </c>
      <c r="B32" s="184" t="str">
        <f>Données!B32</f>
        <v>Saint-Livres</v>
      </c>
      <c r="C32" s="321">
        <f>VPI!R32</f>
        <v>25462.29188405797</v>
      </c>
      <c r="D32" s="465">
        <f>Données!AP32</f>
        <v>22.627327698818849</v>
      </c>
      <c r="E32" s="379">
        <f>VPI!Q32</f>
        <v>69</v>
      </c>
      <c r="F32" s="225">
        <f t="shared" si="0"/>
        <v>46.372672301181154</v>
      </c>
      <c r="G32" s="223">
        <f>Effort!I32+Aide!I32/Taux!C32+Effort!K32/Taux!C32</f>
        <v>19.696327446248663</v>
      </c>
      <c r="H32" s="83">
        <f t="shared" si="1"/>
        <v>66.068999747429814</v>
      </c>
      <c r="I32" s="208">
        <f t="shared" si="2"/>
        <v>0</v>
      </c>
      <c r="J32" s="42">
        <f t="shared" si="3"/>
        <v>0</v>
      </c>
      <c r="K32" s="5"/>
      <c r="L32" s="10"/>
      <c r="M32" s="11"/>
      <c r="R32" s="11"/>
    </row>
    <row r="33" spans="1:18" x14ac:dyDescent="0.25">
      <c r="A33" s="38">
        <f>Données!A33</f>
        <v>5436</v>
      </c>
      <c r="B33" s="184" t="str">
        <f>Données!B33</f>
        <v>Saint-Oyens</v>
      </c>
      <c r="C33" s="321">
        <f>VPI!R33</f>
        <v>16425.371772151899</v>
      </c>
      <c r="D33" s="465">
        <f>Données!AP33</f>
        <v>19.240468772638589</v>
      </c>
      <c r="E33" s="379">
        <f>VPI!Q33</f>
        <v>79</v>
      </c>
      <c r="F33" s="225">
        <f t="shared" si="0"/>
        <v>59.759531227361407</v>
      </c>
      <c r="G33" s="223">
        <f>Effort!I33+Aide!I33/Taux!C33+Effort!K33/Taux!C33</f>
        <v>18.572472769151616</v>
      </c>
      <c r="H33" s="83">
        <f t="shared" si="1"/>
        <v>78.332003996513023</v>
      </c>
      <c r="I33" s="208">
        <f t="shared" si="2"/>
        <v>0</v>
      </c>
      <c r="J33" s="42">
        <f t="shared" si="3"/>
        <v>0</v>
      </c>
      <c r="K33" s="5"/>
      <c r="L33" s="10"/>
      <c r="M33" s="11"/>
      <c r="R33" s="11"/>
    </row>
    <row r="34" spans="1:18" x14ac:dyDescent="0.25">
      <c r="A34" s="38">
        <f>Données!A34</f>
        <v>5437</v>
      </c>
      <c r="B34" s="184" t="str">
        <f>Données!B34</f>
        <v>Saubraz</v>
      </c>
      <c r="C34" s="321">
        <f>VPI!R34</f>
        <v>12127.91725</v>
      </c>
      <c r="D34" s="465">
        <f>Données!AP34</f>
        <v>11.80107091244011</v>
      </c>
      <c r="E34" s="379">
        <f>VPI!Q34</f>
        <v>80</v>
      </c>
      <c r="F34" s="225">
        <f t="shared" si="0"/>
        <v>68.19892908755989</v>
      </c>
      <c r="G34" s="223">
        <f>Effort!I34+Aide!I34/Taux!C34+Effort!K34/Taux!C34</f>
        <v>5.3777426496647305</v>
      </c>
      <c r="H34" s="83">
        <f t="shared" si="1"/>
        <v>73.576671737224615</v>
      </c>
      <c r="I34" s="208">
        <f t="shared" si="2"/>
        <v>0</v>
      </c>
      <c r="J34" s="42">
        <f t="shared" si="3"/>
        <v>0</v>
      </c>
      <c r="K34" s="5"/>
      <c r="L34" s="10"/>
      <c r="M34" s="11"/>
      <c r="R34" s="11"/>
    </row>
    <row r="35" spans="1:18" x14ac:dyDescent="0.25">
      <c r="A35" s="38">
        <f>Données!A35</f>
        <v>5451</v>
      </c>
      <c r="B35" s="184" t="str">
        <f>Données!B35</f>
        <v>Avenches</v>
      </c>
      <c r="C35" s="321">
        <f>VPI!R35</f>
        <v>142633.11649122802</v>
      </c>
      <c r="D35" s="465">
        <f>Données!AP35</f>
        <v>8.0841964090713176</v>
      </c>
      <c r="E35" s="379">
        <f>VPI!Q35</f>
        <v>66.5</v>
      </c>
      <c r="F35" s="225">
        <f t="shared" si="0"/>
        <v>58.415803590928682</v>
      </c>
      <c r="G35" s="223">
        <f>Effort!I35+Aide!I35/Taux!C35+Effort!K35/Taux!C35</f>
        <v>-0.63669062714487268</v>
      </c>
      <c r="H35" s="83">
        <f t="shared" si="1"/>
        <v>57.77911296378381</v>
      </c>
      <c r="I35" s="208">
        <f t="shared" si="2"/>
        <v>0</v>
      </c>
      <c r="J35" s="42">
        <f t="shared" si="3"/>
        <v>0</v>
      </c>
      <c r="K35" s="5"/>
      <c r="L35" s="10"/>
      <c r="M35" s="11"/>
      <c r="R35" s="11"/>
    </row>
    <row r="36" spans="1:18" x14ac:dyDescent="0.25">
      <c r="A36" s="38">
        <f>Données!A36</f>
        <v>5456</v>
      </c>
      <c r="B36" s="184" t="str">
        <f>Données!B36</f>
        <v>Cudrefin</v>
      </c>
      <c r="C36" s="321">
        <f>VPI!R36</f>
        <v>64060.385932203382</v>
      </c>
      <c r="D36" s="465">
        <f>Données!AP36</f>
        <v>19.000925518519384</v>
      </c>
      <c r="E36" s="379">
        <f>VPI!Q36</f>
        <v>59</v>
      </c>
      <c r="F36" s="225">
        <f t="shared" si="0"/>
        <v>39.999074481480619</v>
      </c>
      <c r="G36" s="223">
        <f>Effort!I36+Aide!I36/Taux!C36+Effort!K36/Taux!C36</f>
        <v>15.593240593049792</v>
      </c>
      <c r="H36" s="83">
        <f t="shared" si="1"/>
        <v>55.592315074530411</v>
      </c>
      <c r="I36" s="208">
        <f t="shared" si="2"/>
        <v>0</v>
      </c>
      <c r="J36" s="42">
        <f t="shared" si="3"/>
        <v>0</v>
      </c>
      <c r="K36" s="5"/>
      <c r="L36" s="10"/>
      <c r="M36" s="11"/>
      <c r="R36" s="11"/>
    </row>
    <row r="37" spans="1:18" x14ac:dyDescent="0.25">
      <c r="A37" s="38">
        <f>Données!A37</f>
        <v>5458</v>
      </c>
      <c r="B37" s="184" t="str">
        <f>Données!B37</f>
        <v>Faoug</v>
      </c>
      <c r="C37" s="321">
        <f>VPI!R37</f>
        <v>32630.920512820507</v>
      </c>
      <c r="D37" s="465">
        <f>Données!AP37</f>
        <v>24.248507982393967</v>
      </c>
      <c r="E37" s="379">
        <f>VPI!Q37</f>
        <v>65</v>
      </c>
      <c r="F37" s="225">
        <f t="shared" si="0"/>
        <v>40.751492017606033</v>
      </c>
      <c r="G37" s="223">
        <f>Effort!I37+Aide!I37/Taux!C37+Effort!K37/Taux!C37</f>
        <v>18.031335885492425</v>
      </c>
      <c r="H37" s="83">
        <f t="shared" si="1"/>
        <v>58.782827903098458</v>
      </c>
      <c r="I37" s="208">
        <f t="shared" si="2"/>
        <v>0</v>
      </c>
      <c r="J37" s="42">
        <f t="shared" si="3"/>
        <v>0</v>
      </c>
      <c r="K37" s="5"/>
      <c r="L37" s="10"/>
      <c r="M37" s="11"/>
      <c r="R37" s="11"/>
    </row>
    <row r="38" spans="1:18" x14ac:dyDescent="0.25">
      <c r="A38" s="38">
        <f>Données!A38</f>
        <v>5464</v>
      </c>
      <c r="B38" s="184" t="str">
        <f>Données!B38</f>
        <v>Vully-les-Lacs</v>
      </c>
      <c r="C38" s="321">
        <f>VPI!R38</f>
        <v>117933.44731343284</v>
      </c>
      <c r="D38" s="465">
        <f>Données!AP38</f>
        <v>14.698518660763845</v>
      </c>
      <c r="E38" s="379">
        <f>VPI!Q38</f>
        <v>67</v>
      </c>
      <c r="F38" s="225">
        <f t="shared" si="0"/>
        <v>52.301481339236155</v>
      </c>
      <c r="G38" s="223">
        <f>Effort!I38+Aide!I38/Taux!C38+Effort!K38/Taux!C38</f>
        <v>9.7218150677449273</v>
      </c>
      <c r="H38" s="83">
        <f t="shared" si="1"/>
        <v>62.023296406981082</v>
      </c>
      <c r="I38" s="208">
        <f t="shared" si="2"/>
        <v>0</v>
      </c>
      <c r="J38" s="42">
        <f t="shared" si="3"/>
        <v>0</v>
      </c>
      <c r="K38" s="5"/>
      <c r="L38" s="10"/>
      <c r="M38" s="11"/>
      <c r="R38" s="11"/>
    </row>
    <row r="39" spans="1:18" x14ac:dyDescent="0.25">
      <c r="A39" s="38">
        <f>Données!A39</f>
        <v>5471</v>
      </c>
      <c r="B39" s="184" t="str">
        <f>Données!B39</f>
        <v>Bettens</v>
      </c>
      <c r="C39" s="321">
        <f>VPI!R39</f>
        <v>22692.287412698413</v>
      </c>
      <c r="D39" s="465">
        <f>Données!AP39</f>
        <v>21.115282187555799</v>
      </c>
      <c r="E39" s="379">
        <f>VPI!Q39</f>
        <v>70</v>
      </c>
      <c r="F39" s="225">
        <f t="shared" si="0"/>
        <v>48.884717812444201</v>
      </c>
      <c r="G39" s="223">
        <f>Effort!I39+Aide!I39/Taux!C39+Effort!K39/Taux!C39</f>
        <v>19.473765426573799</v>
      </c>
      <c r="H39" s="83">
        <f t="shared" si="1"/>
        <v>68.358483239018</v>
      </c>
      <c r="I39" s="208">
        <f t="shared" si="2"/>
        <v>0</v>
      </c>
      <c r="J39" s="42">
        <f t="shared" si="3"/>
        <v>0</v>
      </c>
      <c r="K39" s="5"/>
      <c r="L39" s="10"/>
      <c r="M39" s="11"/>
      <c r="R39" s="11"/>
    </row>
    <row r="40" spans="1:18" x14ac:dyDescent="0.25">
      <c r="A40" s="38">
        <f>Données!A40</f>
        <v>5472</v>
      </c>
      <c r="B40" s="184" t="str">
        <f>Données!B40</f>
        <v>Bournens</v>
      </c>
      <c r="C40" s="321">
        <f>VPI!R40</f>
        <v>19974.836617647059</v>
      </c>
      <c r="D40" s="465">
        <f>Données!AP40</f>
        <v>25.801092099888585</v>
      </c>
      <c r="E40" s="379">
        <f>VPI!Q40</f>
        <v>68</v>
      </c>
      <c r="F40" s="225">
        <f t="shared" si="0"/>
        <v>42.198907900111415</v>
      </c>
      <c r="G40" s="223">
        <f>Effort!I40+Aide!I40/Taux!C40+Effort!K40/Taux!C40</f>
        <v>22.501670073638298</v>
      </c>
      <c r="H40" s="83">
        <f t="shared" si="1"/>
        <v>64.700577973749716</v>
      </c>
      <c r="I40" s="208">
        <f t="shared" si="2"/>
        <v>0</v>
      </c>
      <c r="J40" s="42">
        <f t="shared" si="3"/>
        <v>0</v>
      </c>
      <c r="K40" s="5"/>
      <c r="L40" s="10"/>
      <c r="M40" s="11"/>
      <c r="R40" s="11"/>
    </row>
    <row r="41" spans="1:18" x14ac:dyDescent="0.25">
      <c r="A41" s="38">
        <f>Données!A41</f>
        <v>5473</v>
      </c>
      <c r="B41" s="184" t="str">
        <f>Données!B41</f>
        <v>Boussens</v>
      </c>
      <c r="C41" s="321">
        <f>VPI!R41</f>
        <v>40043.184999999998</v>
      </c>
      <c r="D41" s="465">
        <f>Données!AP41</f>
        <v>21.888253981031689</v>
      </c>
      <c r="E41" s="379">
        <f>VPI!Q41</f>
        <v>66</v>
      </c>
      <c r="F41" s="225">
        <f t="shared" si="0"/>
        <v>44.111746018968311</v>
      </c>
      <c r="G41" s="223">
        <f>Effort!I41+Aide!I41/Taux!C41+Effort!K41/Taux!C41</f>
        <v>23.618903214736825</v>
      </c>
      <c r="H41" s="83">
        <f t="shared" si="1"/>
        <v>67.730649233705137</v>
      </c>
      <c r="I41" s="208">
        <f t="shared" si="2"/>
        <v>0</v>
      </c>
      <c r="J41" s="42">
        <f t="shared" si="3"/>
        <v>0</v>
      </c>
      <c r="K41" s="5"/>
      <c r="L41" s="10"/>
      <c r="M41" s="11"/>
      <c r="R41" s="11"/>
    </row>
    <row r="42" spans="1:18" x14ac:dyDescent="0.25">
      <c r="A42" s="38">
        <f>Données!A42</f>
        <v>5474</v>
      </c>
      <c r="B42" s="184" t="str">
        <f>Données!B42</f>
        <v>La Chaux (Cossonay)</v>
      </c>
      <c r="C42" s="321">
        <f>VPI!R42</f>
        <v>13862.516425438596</v>
      </c>
      <c r="D42" s="465">
        <f>Données!AP42</f>
        <v>15.645858169142969</v>
      </c>
      <c r="E42" s="379">
        <f>VPI!Q42</f>
        <v>76</v>
      </c>
      <c r="F42" s="225">
        <f t="shared" si="0"/>
        <v>60.354141830857031</v>
      </c>
      <c r="G42" s="223">
        <f>Effort!I42+Aide!I42/Taux!C42+Effort!K42/Taux!C42</f>
        <v>4.1724774117081989</v>
      </c>
      <c r="H42" s="83">
        <f t="shared" si="1"/>
        <v>64.526619242565232</v>
      </c>
      <c r="I42" s="208">
        <f t="shared" si="2"/>
        <v>0</v>
      </c>
      <c r="J42" s="42">
        <f t="shared" si="3"/>
        <v>0</v>
      </c>
      <c r="K42" s="5"/>
      <c r="L42" s="10"/>
      <c r="M42" s="11"/>
      <c r="R42" s="11"/>
    </row>
    <row r="43" spans="1:18" x14ac:dyDescent="0.25">
      <c r="A43" s="38">
        <f>Données!A43</f>
        <v>5475</v>
      </c>
      <c r="B43" s="184" t="str">
        <f>Données!B43</f>
        <v>Chavannes-le-Veyron</v>
      </c>
      <c r="C43" s="321">
        <f>VPI!R43</f>
        <v>4297.2048000000004</v>
      </c>
      <c r="D43" s="465">
        <f>Données!AP43</f>
        <v>9.4020456338882763</v>
      </c>
      <c r="E43" s="379">
        <f>VPI!Q43</f>
        <v>75</v>
      </c>
      <c r="F43" s="225">
        <f t="shared" si="0"/>
        <v>65.597954366111722</v>
      </c>
      <c r="G43" s="223">
        <f>Effort!I43+Aide!I43/Taux!C43+Effort!K43/Taux!C43</f>
        <v>-4.5721665133841149</v>
      </c>
      <c r="H43" s="83">
        <f t="shared" si="1"/>
        <v>61.025787852727603</v>
      </c>
      <c r="I43" s="208">
        <f t="shared" si="2"/>
        <v>0</v>
      </c>
      <c r="J43" s="42">
        <f t="shared" si="3"/>
        <v>0</v>
      </c>
      <c r="K43" s="5"/>
      <c r="L43" s="10"/>
      <c r="M43" s="11"/>
      <c r="R43" s="11"/>
    </row>
    <row r="44" spans="1:18" x14ac:dyDescent="0.25">
      <c r="A44" s="38">
        <f>Données!A44</f>
        <v>5476</v>
      </c>
      <c r="B44" s="184" t="str">
        <f>Données!B44</f>
        <v>Chevilly</v>
      </c>
      <c r="C44" s="321">
        <f>VPI!R44</f>
        <v>13558.452965517243</v>
      </c>
      <c r="D44" s="465">
        <f>Données!AP44</f>
        <v>21.429469990882666</v>
      </c>
      <c r="E44" s="379">
        <f>VPI!Q44</f>
        <v>72.5</v>
      </c>
      <c r="F44" s="225">
        <f t="shared" si="0"/>
        <v>51.070530009117334</v>
      </c>
      <c r="G44" s="223">
        <f>Effort!I44+Aide!I44/Taux!C44+Effort!K44/Taux!C44</f>
        <v>23.77524900975115</v>
      </c>
      <c r="H44" s="83">
        <f t="shared" si="1"/>
        <v>74.845779018868484</v>
      </c>
      <c r="I44" s="208">
        <f t="shared" si="2"/>
        <v>0</v>
      </c>
      <c r="J44" s="42">
        <f t="shared" si="3"/>
        <v>0</v>
      </c>
      <c r="K44" s="5"/>
      <c r="L44" s="10"/>
      <c r="M44" s="11"/>
      <c r="R44" s="11"/>
    </row>
    <row r="45" spans="1:18" x14ac:dyDescent="0.25">
      <c r="A45" s="38">
        <f>Données!A45</f>
        <v>5477</v>
      </c>
      <c r="B45" s="184" t="str">
        <f>Données!B45</f>
        <v>Cossonay</v>
      </c>
      <c r="C45" s="321">
        <f>VPI!R45</f>
        <v>151490.5288235294</v>
      </c>
      <c r="D45" s="465">
        <f>Données!AP45</f>
        <v>11.409098154636498</v>
      </c>
      <c r="E45" s="379">
        <f>VPI!Q45</f>
        <v>68</v>
      </c>
      <c r="F45" s="225">
        <f t="shared" si="0"/>
        <v>56.590901845363504</v>
      </c>
      <c r="G45" s="223">
        <f>Effort!I45+Aide!I45/Taux!C45+Effort!K45/Taux!C45</f>
        <v>6.7560848682741774</v>
      </c>
      <c r="H45" s="83">
        <f t="shared" si="1"/>
        <v>63.346986713637683</v>
      </c>
      <c r="I45" s="208">
        <f t="shared" si="2"/>
        <v>0</v>
      </c>
      <c r="J45" s="42">
        <f t="shared" si="3"/>
        <v>0</v>
      </c>
      <c r="K45" s="5"/>
      <c r="L45" s="10"/>
      <c r="M45" s="11"/>
      <c r="R45" s="11"/>
    </row>
    <row r="46" spans="1:18" x14ac:dyDescent="0.25">
      <c r="A46" s="38">
        <f>Données!A46</f>
        <v>5479</v>
      </c>
      <c r="B46" s="184" t="str">
        <f>Données!B46</f>
        <v>Cuarnens</v>
      </c>
      <c r="C46" s="321">
        <f>VPI!R46</f>
        <v>14331.337792207793</v>
      </c>
      <c r="D46" s="465">
        <f>Données!AP46</f>
        <v>17.017004379976395</v>
      </c>
      <c r="E46" s="379">
        <f>VPI!Q46</f>
        <v>77</v>
      </c>
      <c r="F46" s="225">
        <f t="shared" si="0"/>
        <v>59.982995620023601</v>
      </c>
      <c r="G46" s="223">
        <f>Effort!I46+Aide!I46/Taux!C46+Effort!K46/Taux!C46</f>
        <v>-11.222104573837424</v>
      </c>
      <c r="H46" s="83">
        <f t="shared" si="1"/>
        <v>48.760891046186174</v>
      </c>
      <c r="I46" s="208">
        <f t="shared" si="2"/>
        <v>0</v>
      </c>
      <c r="J46" s="42">
        <f t="shared" si="3"/>
        <v>0</v>
      </c>
      <c r="K46" s="5"/>
      <c r="L46" s="10"/>
      <c r="M46" s="11"/>
      <c r="R46" s="11"/>
    </row>
    <row r="47" spans="1:18" x14ac:dyDescent="0.25">
      <c r="A47" s="38">
        <f>Données!A47</f>
        <v>5480</v>
      </c>
      <c r="B47" s="184" t="str">
        <f>Données!B47</f>
        <v>Daillens</v>
      </c>
      <c r="C47" s="321">
        <f>VPI!R47</f>
        <v>42720.265505050505</v>
      </c>
      <c r="D47" s="465">
        <f>Données!AP47</f>
        <v>23.364147660791311</v>
      </c>
      <c r="E47" s="379">
        <f>VPI!Q47</f>
        <v>66</v>
      </c>
      <c r="F47" s="225">
        <f t="shared" si="0"/>
        <v>42.635852339208689</v>
      </c>
      <c r="G47" s="223">
        <f>Effort!I47+Aide!I47/Taux!C47+Effort!K47/Taux!C47</f>
        <v>21.518580142767831</v>
      </c>
      <c r="H47" s="83">
        <f t="shared" si="1"/>
        <v>64.154432481976528</v>
      </c>
      <c r="I47" s="208">
        <f t="shared" si="2"/>
        <v>0</v>
      </c>
      <c r="J47" s="42">
        <f t="shared" si="3"/>
        <v>0</v>
      </c>
      <c r="K47" s="5"/>
      <c r="L47" s="10"/>
      <c r="M47" s="11"/>
      <c r="R47" s="11"/>
    </row>
    <row r="48" spans="1:18" x14ac:dyDescent="0.25">
      <c r="A48" s="38">
        <f>Données!A48</f>
        <v>5481</v>
      </c>
      <c r="B48" s="184" t="str">
        <f>Données!B48</f>
        <v>Dizy</v>
      </c>
      <c r="C48" s="321">
        <f>VPI!R48</f>
        <v>8552.7156000000014</v>
      </c>
      <c r="D48" s="465">
        <f>Données!AP48</f>
        <v>19.741164695155366</v>
      </c>
      <c r="E48" s="379">
        <f>VPI!Q48</f>
        <v>75</v>
      </c>
      <c r="F48" s="225">
        <f t="shared" si="0"/>
        <v>55.258835304844638</v>
      </c>
      <c r="G48" s="223">
        <f>Effort!I48+Aide!I48/Taux!C48+Effort!K48/Taux!C48</f>
        <v>16.477212954766927</v>
      </c>
      <c r="H48" s="83">
        <f t="shared" si="1"/>
        <v>71.736048259611565</v>
      </c>
      <c r="I48" s="208">
        <f t="shared" si="2"/>
        <v>0</v>
      </c>
      <c r="J48" s="42">
        <f t="shared" si="3"/>
        <v>0</v>
      </c>
      <c r="K48" s="5"/>
      <c r="L48" s="10"/>
      <c r="M48" s="11"/>
      <c r="R48" s="11"/>
    </row>
    <row r="49" spans="1:18" x14ac:dyDescent="0.25">
      <c r="A49" s="38">
        <f>Données!A49</f>
        <v>5482</v>
      </c>
      <c r="B49" s="184" t="str">
        <f>Données!B49</f>
        <v>Eclépens</v>
      </c>
      <c r="C49" s="321">
        <f>VPI!R49</f>
        <v>48314.544130434791</v>
      </c>
      <c r="D49" s="465">
        <f>Données!AP49</f>
        <v>26.684512482806088</v>
      </c>
      <c r="E49" s="379">
        <f>VPI!Q49</f>
        <v>46</v>
      </c>
      <c r="F49" s="225">
        <f t="shared" si="0"/>
        <v>19.315487517193912</v>
      </c>
      <c r="G49" s="223">
        <f>Effort!I49+Aide!I49/Taux!C49+Effort!K49/Taux!C49</f>
        <v>21.925130102387673</v>
      </c>
      <c r="H49" s="83">
        <f t="shared" si="1"/>
        <v>41.240617619581585</v>
      </c>
      <c r="I49" s="208">
        <f t="shared" si="2"/>
        <v>0</v>
      </c>
      <c r="J49" s="42">
        <f t="shared" si="3"/>
        <v>0</v>
      </c>
      <c r="K49" s="5"/>
      <c r="L49" s="10"/>
      <c r="M49" s="11"/>
      <c r="R49" s="11"/>
    </row>
    <row r="50" spans="1:18" x14ac:dyDescent="0.25">
      <c r="A50" s="38">
        <f>Données!A50</f>
        <v>5483</v>
      </c>
      <c r="B50" s="184" t="str">
        <f>Données!B50</f>
        <v>Ferreyres</v>
      </c>
      <c r="C50" s="321">
        <f>VPI!R50</f>
        <v>10284.283289473684</v>
      </c>
      <c r="D50" s="465">
        <f>Données!AP50</f>
        <v>16.349271725099289</v>
      </c>
      <c r="E50" s="379">
        <f>VPI!Q50</f>
        <v>76</v>
      </c>
      <c r="F50" s="225">
        <f t="shared" si="0"/>
        <v>59.650728274900715</v>
      </c>
      <c r="G50" s="223">
        <f>Effort!I50+Aide!I50/Taux!C50+Effort!K50/Taux!C50</f>
        <v>16.441954141197932</v>
      </c>
      <c r="H50" s="83">
        <f t="shared" si="1"/>
        <v>76.092682416098654</v>
      </c>
      <c r="I50" s="208">
        <f t="shared" si="2"/>
        <v>0</v>
      </c>
      <c r="J50" s="42">
        <f t="shared" si="3"/>
        <v>0</v>
      </c>
      <c r="K50" s="5"/>
      <c r="L50" s="10"/>
      <c r="M50" s="11"/>
      <c r="R50" s="11"/>
    </row>
    <row r="51" spans="1:18" x14ac:dyDescent="0.25">
      <c r="A51" s="38">
        <f>Données!A51</f>
        <v>5484</v>
      </c>
      <c r="B51" s="184" t="str">
        <f>Données!B51</f>
        <v>Gollion</v>
      </c>
      <c r="C51" s="321">
        <f>VPI!R51</f>
        <v>32601.670945945945</v>
      </c>
      <c r="D51" s="465">
        <f>Données!AP51</f>
        <v>19.109505194959223</v>
      </c>
      <c r="E51" s="379">
        <f>VPI!Q51</f>
        <v>74</v>
      </c>
      <c r="F51" s="225">
        <f t="shared" si="0"/>
        <v>54.890494805040774</v>
      </c>
      <c r="G51" s="223">
        <f>Effort!I51+Aide!I51/Taux!C51+Effort!K51/Taux!C51</f>
        <v>6.1641967081083102</v>
      </c>
      <c r="H51" s="83">
        <f t="shared" si="1"/>
        <v>61.054691513149081</v>
      </c>
      <c r="I51" s="208">
        <f t="shared" si="2"/>
        <v>0</v>
      </c>
      <c r="J51" s="42">
        <f t="shared" si="3"/>
        <v>0</v>
      </c>
      <c r="K51" s="5"/>
      <c r="L51" s="10"/>
      <c r="M51" s="11"/>
      <c r="R51" s="11"/>
    </row>
    <row r="52" spans="1:18" x14ac:dyDescent="0.25">
      <c r="A52" s="38">
        <f>Données!A52</f>
        <v>5485</v>
      </c>
      <c r="B52" s="184" t="str">
        <f>Données!B52</f>
        <v>Grancy</v>
      </c>
      <c r="C52" s="321">
        <f>VPI!R52</f>
        <v>18961.380428571429</v>
      </c>
      <c r="D52" s="465">
        <f>Données!AP52</f>
        <v>30.273728402939177</v>
      </c>
      <c r="E52" s="379">
        <f>VPI!Q52</f>
        <v>70</v>
      </c>
      <c r="F52" s="225">
        <f t="shared" si="0"/>
        <v>39.726271597060823</v>
      </c>
      <c r="G52" s="223">
        <f>Effort!I52+Aide!I52/Taux!C52+Effort!K52/Taux!C52</f>
        <v>18.642195717113189</v>
      </c>
      <c r="H52" s="83">
        <f t="shared" si="1"/>
        <v>58.368467314174012</v>
      </c>
      <c r="I52" s="208">
        <f t="shared" si="2"/>
        <v>0</v>
      </c>
      <c r="J52" s="42">
        <f t="shared" si="3"/>
        <v>0</v>
      </c>
      <c r="K52" s="5"/>
      <c r="L52" s="10"/>
      <c r="M52" s="11"/>
      <c r="R52" s="11"/>
    </row>
    <row r="53" spans="1:18" x14ac:dyDescent="0.25">
      <c r="A53" s="38">
        <f>Données!A53</f>
        <v>5486</v>
      </c>
      <c r="B53" s="184" t="str">
        <f>Données!B53</f>
        <v>L'Isle</v>
      </c>
      <c r="C53" s="321">
        <f>VPI!R53</f>
        <v>34756.215466666676</v>
      </c>
      <c r="D53" s="465">
        <f>Données!AP53</f>
        <v>7.9764575355719494</v>
      </c>
      <c r="E53" s="379">
        <f>VPI!Q53</f>
        <v>75</v>
      </c>
      <c r="F53" s="225">
        <f t="shared" si="0"/>
        <v>67.023542464428047</v>
      </c>
      <c r="G53" s="223">
        <f>Effort!I53+Aide!I53/Taux!C53+Effort!K53/Taux!C53</f>
        <v>3.9871947884117525</v>
      </c>
      <c r="H53" s="83">
        <f t="shared" si="1"/>
        <v>71.010737252839803</v>
      </c>
      <c r="I53" s="208">
        <f t="shared" si="2"/>
        <v>0</v>
      </c>
      <c r="J53" s="42">
        <f t="shared" si="3"/>
        <v>0</v>
      </c>
      <c r="K53" s="5"/>
      <c r="L53" s="10"/>
      <c r="M53" s="11"/>
      <c r="R53" s="11"/>
    </row>
    <row r="54" spans="1:18" x14ac:dyDescent="0.25">
      <c r="A54" s="38">
        <f>Données!A54</f>
        <v>5487</v>
      </c>
      <c r="B54" s="184" t="str">
        <f>Données!B54</f>
        <v>Lussery-Villars</v>
      </c>
      <c r="C54" s="321">
        <f>VPI!R54</f>
        <v>12042.619866666666</v>
      </c>
      <c r="D54" s="465">
        <f>Données!AP54</f>
        <v>18.68747302601092</v>
      </c>
      <c r="E54" s="379">
        <f>VPI!Q54</f>
        <v>75</v>
      </c>
      <c r="F54" s="225">
        <f t="shared" si="0"/>
        <v>56.31252697398908</v>
      </c>
      <c r="G54" s="223">
        <f>Effort!I54+Aide!I54/Taux!C54+Effort!K54/Taux!C54</f>
        <v>4.0975608217887221</v>
      </c>
      <c r="H54" s="83">
        <f t="shared" si="1"/>
        <v>60.410087795777798</v>
      </c>
      <c r="I54" s="208">
        <f t="shared" si="2"/>
        <v>0</v>
      </c>
      <c r="J54" s="42">
        <f t="shared" si="3"/>
        <v>0</v>
      </c>
      <c r="K54" s="5"/>
      <c r="L54" s="10"/>
      <c r="M54" s="11"/>
      <c r="R54" s="11"/>
    </row>
    <row r="55" spans="1:18" x14ac:dyDescent="0.25">
      <c r="A55" s="38">
        <f>Données!A55</f>
        <v>5488</v>
      </c>
      <c r="B55" s="184" t="str">
        <f>Données!B55</f>
        <v>Mauraz</v>
      </c>
      <c r="C55" s="321">
        <f>VPI!R55</f>
        <v>2131.6062337662343</v>
      </c>
      <c r="D55" s="465">
        <f>Données!AP55</f>
        <v>10.443437487039191</v>
      </c>
      <c r="E55" s="379">
        <f>VPI!Q55</f>
        <v>77</v>
      </c>
      <c r="F55" s="225">
        <f t="shared" si="0"/>
        <v>66.556562512960809</v>
      </c>
      <c r="G55" s="223">
        <f>Effort!I55+Aide!I55/Taux!C55+Effort!K55/Taux!C55</f>
        <v>15.513657130355416</v>
      </c>
      <c r="H55" s="83">
        <f t="shared" si="1"/>
        <v>82.070219643316221</v>
      </c>
      <c r="I55" s="208">
        <f t="shared" si="2"/>
        <v>0</v>
      </c>
      <c r="J55" s="42">
        <f t="shared" si="3"/>
        <v>0</v>
      </c>
      <c r="K55" s="5"/>
      <c r="L55" s="10"/>
      <c r="M55" s="11"/>
      <c r="R55" s="11"/>
    </row>
    <row r="56" spans="1:18" x14ac:dyDescent="0.25">
      <c r="A56" s="38">
        <f>Données!A56</f>
        <v>5489</v>
      </c>
      <c r="B56" s="184" t="str">
        <f>Données!B56</f>
        <v>Mex</v>
      </c>
      <c r="C56" s="321">
        <f>VPI!R56</f>
        <v>60740.368067226897</v>
      </c>
      <c r="D56" s="465">
        <f>Données!AP56</f>
        <v>32.356047299372158</v>
      </c>
      <c r="E56" s="379">
        <f>VPI!Q56</f>
        <v>59.5</v>
      </c>
      <c r="F56" s="225">
        <f t="shared" si="0"/>
        <v>27.143952700627842</v>
      </c>
      <c r="G56" s="223">
        <f>Effort!I56+Aide!I56/Taux!C56+Effort!K56/Taux!C56</f>
        <v>34.608316206032235</v>
      </c>
      <c r="H56" s="83">
        <f t="shared" si="1"/>
        <v>61.752268906660078</v>
      </c>
      <c r="I56" s="208">
        <f t="shared" si="2"/>
        <v>0</v>
      </c>
      <c r="J56" s="42">
        <f t="shared" si="3"/>
        <v>0</v>
      </c>
      <c r="K56" s="5"/>
      <c r="L56" s="10"/>
      <c r="M56" s="11"/>
      <c r="R56" s="11"/>
    </row>
    <row r="57" spans="1:18" x14ac:dyDescent="0.25">
      <c r="A57" s="38">
        <f>Données!A57</f>
        <v>5490</v>
      </c>
      <c r="B57" s="184" t="str">
        <f>Données!B57</f>
        <v>Moiry</v>
      </c>
      <c r="C57" s="321">
        <f>VPI!R57</f>
        <v>8460.9523376623383</v>
      </c>
      <c r="D57" s="465">
        <f>Données!AP57</f>
        <v>12.11606299775203</v>
      </c>
      <c r="E57" s="379">
        <f>VPI!Q57</f>
        <v>77</v>
      </c>
      <c r="F57" s="225">
        <f t="shared" si="0"/>
        <v>64.883937002247976</v>
      </c>
      <c r="G57" s="223">
        <f>Effort!I57+Aide!I57/Taux!C57+Effort!K57/Taux!C57</f>
        <v>5.3496374354604015</v>
      </c>
      <c r="H57" s="83">
        <f t="shared" si="1"/>
        <v>70.23357443770837</v>
      </c>
      <c r="I57" s="208">
        <f t="shared" si="2"/>
        <v>0</v>
      </c>
      <c r="J57" s="42">
        <f t="shared" si="3"/>
        <v>0</v>
      </c>
      <c r="K57" s="5"/>
      <c r="L57" s="10"/>
      <c r="M57" s="11"/>
      <c r="R57" s="11"/>
    </row>
    <row r="58" spans="1:18" x14ac:dyDescent="0.25">
      <c r="A58" s="38">
        <f>Données!A58</f>
        <v>5491</v>
      </c>
      <c r="B58" s="184" t="str">
        <f>Données!B58</f>
        <v>Mont-la-Ville</v>
      </c>
      <c r="C58" s="321">
        <f>VPI!R58</f>
        <v>13842.217236842105</v>
      </c>
      <c r="D58" s="465">
        <f>Données!AP58</f>
        <v>7.7301947702853653</v>
      </c>
      <c r="E58" s="379">
        <f>VPI!Q58</f>
        <v>76</v>
      </c>
      <c r="F58" s="225">
        <f t="shared" si="0"/>
        <v>68.269805229714635</v>
      </c>
      <c r="G58" s="223">
        <f>Effort!I58+Aide!I58/Taux!C58+Effort!K58/Taux!C58</f>
        <v>-41.045800991416911</v>
      </c>
      <c r="H58" s="83">
        <f t="shared" si="1"/>
        <v>27.224004238297724</v>
      </c>
      <c r="I58" s="208">
        <f t="shared" si="2"/>
        <v>0</v>
      </c>
      <c r="J58" s="42">
        <f t="shared" si="3"/>
        <v>0</v>
      </c>
      <c r="K58" s="5"/>
      <c r="L58" s="10"/>
      <c r="M58" s="11"/>
      <c r="R58" s="11"/>
    </row>
    <row r="59" spans="1:18" x14ac:dyDescent="0.25">
      <c r="A59" s="38">
        <f>Données!A59</f>
        <v>5492</v>
      </c>
      <c r="B59" s="184" t="str">
        <f>Données!B59</f>
        <v>Montricher</v>
      </c>
      <c r="C59" s="321">
        <f>VPI!R59</f>
        <v>149907.58062499994</v>
      </c>
      <c r="D59" s="465">
        <f>Données!AP59</f>
        <v>51.739099731051937</v>
      </c>
      <c r="E59" s="379">
        <f>VPI!Q59</f>
        <v>64</v>
      </c>
      <c r="F59" s="225">
        <f t="shared" si="0"/>
        <v>12.260900268948063</v>
      </c>
      <c r="G59" s="223">
        <f>Effort!I59+Aide!I59/Taux!C59+Effort!K59/Taux!C59</f>
        <v>48</v>
      </c>
      <c r="H59" s="83">
        <f t="shared" si="1"/>
        <v>60.260900268948063</v>
      </c>
      <c r="I59" s="208">
        <f t="shared" si="2"/>
        <v>0</v>
      </c>
      <c r="J59" s="42">
        <f t="shared" si="3"/>
        <v>0</v>
      </c>
      <c r="K59" s="5"/>
      <c r="L59" s="10"/>
      <c r="M59" s="11"/>
      <c r="R59" s="11"/>
    </row>
    <row r="60" spans="1:18" x14ac:dyDescent="0.25">
      <c r="A60" s="38">
        <f>Données!A60</f>
        <v>5493</v>
      </c>
      <c r="B60" s="184" t="str">
        <f>Données!B60</f>
        <v>Orny</v>
      </c>
      <c r="C60" s="321">
        <f>VPI!R60</f>
        <v>14635.830579557431</v>
      </c>
      <c r="D60" s="465">
        <f>Données!AP60</f>
        <v>11.050271780385817</v>
      </c>
      <c r="E60" s="379">
        <f>VPI!Q60</f>
        <v>73</v>
      </c>
      <c r="F60" s="225">
        <f t="shared" si="0"/>
        <v>61.949728219614187</v>
      </c>
      <c r="G60" s="223">
        <f>Effort!I60+Aide!I60/Taux!C60+Effort!K60/Taux!C60</f>
        <v>8.7594972755368445</v>
      </c>
      <c r="H60" s="83">
        <f t="shared" si="1"/>
        <v>70.709225495151031</v>
      </c>
      <c r="I60" s="208">
        <f t="shared" si="2"/>
        <v>0</v>
      </c>
      <c r="J60" s="42">
        <f t="shared" si="3"/>
        <v>0</v>
      </c>
      <c r="K60" s="5"/>
      <c r="L60" s="10"/>
      <c r="M60" s="11"/>
      <c r="R60" s="11"/>
    </row>
    <row r="61" spans="1:18" x14ac:dyDescent="0.25">
      <c r="A61" s="38">
        <f>Données!A61</f>
        <v>5495</v>
      </c>
      <c r="B61" s="184" t="str">
        <f>Données!B61</f>
        <v>Penthalaz</v>
      </c>
      <c r="C61" s="321">
        <f>VPI!R61</f>
        <v>103056.57202702702</v>
      </c>
      <c r="D61" s="465">
        <f>Données!AP61</f>
        <v>7.3428808466938227</v>
      </c>
      <c r="E61" s="379">
        <f>VPI!Q61</f>
        <v>74</v>
      </c>
      <c r="F61" s="225">
        <f t="shared" si="0"/>
        <v>66.657119153306184</v>
      </c>
      <c r="G61" s="223">
        <f>Effort!I61+Aide!I61/Taux!C61+Effort!K61/Taux!C61</f>
        <v>4.3957267524309671</v>
      </c>
      <c r="H61" s="83">
        <f t="shared" si="1"/>
        <v>71.052845905737144</v>
      </c>
      <c r="I61" s="208">
        <f t="shared" si="2"/>
        <v>0</v>
      </c>
      <c r="J61" s="42">
        <f t="shared" si="3"/>
        <v>0</v>
      </c>
      <c r="K61" s="5"/>
      <c r="L61" s="10"/>
      <c r="M61" s="11"/>
      <c r="R61" s="11"/>
    </row>
    <row r="62" spans="1:18" x14ac:dyDescent="0.25">
      <c r="A62" s="38">
        <f>Données!A62</f>
        <v>5496</v>
      </c>
      <c r="B62" s="184" t="str">
        <f>Données!B62</f>
        <v>Penthaz</v>
      </c>
      <c r="C62" s="321">
        <f>VPI!R62</f>
        <v>61651.518705035967</v>
      </c>
      <c r="D62" s="465">
        <f>Données!AP62</f>
        <v>11.045111683902057</v>
      </c>
      <c r="E62" s="379">
        <f>VPI!Q62</f>
        <v>69.5</v>
      </c>
      <c r="F62" s="225">
        <f t="shared" si="0"/>
        <v>58.454888316097943</v>
      </c>
      <c r="G62" s="223">
        <f>Effort!I62+Aide!I62/Taux!C62+Effort!K62/Taux!C62</f>
        <v>10.785652972132818</v>
      </c>
      <c r="H62" s="83">
        <f t="shared" si="1"/>
        <v>69.240541288230759</v>
      </c>
      <c r="I62" s="208">
        <f t="shared" si="2"/>
        <v>0</v>
      </c>
      <c r="J62" s="42">
        <f t="shared" si="3"/>
        <v>0</v>
      </c>
      <c r="K62" s="5"/>
      <c r="L62" s="10"/>
      <c r="M62" s="11"/>
      <c r="R62" s="11"/>
    </row>
    <row r="63" spans="1:18" x14ac:dyDescent="0.25">
      <c r="A63" s="38">
        <f>Données!A63</f>
        <v>5497</v>
      </c>
      <c r="B63" s="184" t="str">
        <f>Données!B63</f>
        <v>Pompaples</v>
      </c>
      <c r="C63" s="321">
        <f>VPI!R63</f>
        <v>22949.830606060608</v>
      </c>
      <c r="D63" s="465">
        <f>Données!AP63</f>
        <v>11.371656297109617</v>
      </c>
      <c r="E63" s="379">
        <f>VPI!Q63</f>
        <v>66</v>
      </c>
      <c r="F63" s="225">
        <f t="shared" si="0"/>
        <v>54.628343702890383</v>
      </c>
      <c r="G63" s="223">
        <f>Effort!I63+Aide!I63/Taux!C63+Effort!K63/Taux!C63</f>
        <v>6.007775365884374</v>
      </c>
      <c r="H63" s="83">
        <f t="shared" si="1"/>
        <v>60.636119068774761</v>
      </c>
      <c r="I63" s="208">
        <f t="shared" si="2"/>
        <v>0</v>
      </c>
      <c r="J63" s="42">
        <f t="shared" si="3"/>
        <v>0</v>
      </c>
      <c r="K63" s="5"/>
      <c r="L63" s="10"/>
      <c r="M63" s="11"/>
      <c r="R63" s="11"/>
    </row>
    <row r="64" spans="1:18" x14ac:dyDescent="0.25">
      <c r="A64" s="38">
        <f>Données!A64</f>
        <v>5498</v>
      </c>
      <c r="B64" s="184" t="str">
        <f>Données!B64</f>
        <v>La Sarraz</v>
      </c>
      <c r="C64" s="321">
        <f>VPI!R64</f>
        <v>73743.655606060609</v>
      </c>
      <c r="D64" s="465">
        <f>Données!AP64</f>
        <v>9.467557673542867</v>
      </c>
      <c r="E64" s="379">
        <f>VPI!Q64</f>
        <v>66</v>
      </c>
      <c r="F64" s="225">
        <f t="shared" si="0"/>
        <v>56.532442326457129</v>
      </c>
      <c r="G64" s="223">
        <f>Effort!I64+Aide!I64/Taux!C64+Effort!K64/Taux!C64</f>
        <v>2.0096902326159345</v>
      </c>
      <c r="H64" s="83">
        <f t="shared" si="1"/>
        <v>58.542132559073067</v>
      </c>
      <c r="I64" s="208">
        <f t="shared" si="2"/>
        <v>0</v>
      </c>
      <c r="J64" s="42">
        <f t="shared" si="3"/>
        <v>0</v>
      </c>
      <c r="K64" s="5"/>
      <c r="L64" s="10"/>
      <c r="M64" s="11"/>
      <c r="R64" s="11"/>
    </row>
    <row r="65" spans="1:18" x14ac:dyDescent="0.25">
      <c r="A65" s="38">
        <f>Données!A65</f>
        <v>5499</v>
      </c>
      <c r="B65" s="184" t="str">
        <f>Données!B65</f>
        <v>Senarclens</v>
      </c>
      <c r="C65" s="321">
        <f>VPI!R65</f>
        <v>20491.103065693427</v>
      </c>
      <c r="D65" s="465">
        <f>Données!AP65</f>
        <v>21.82090660459458</v>
      </c>
      <c r="E65" s="379">
        <f>VPI!Q65</f>
        <v>68.5</v>
      </c>
      <c r="F65" s="225">
        <f t="shared" si="0"/>
        <v>46.679093395405417</v>
      </c>
      <c r="G65" s="223">
        <f>Effort!I65+Aide!I65/Taux!C65+Effort!K65/Taux!C65</f>
        <v>22.79884194451629</v>
      </c>
      <c r="H65" s="83">
        <f t="shared" si="1"/>
        <v>69.477935339921714</v>
      </c>
      <c r="I65" s="208">
        <f t="shared" si="2"/>
        <v>0</v>
      </c>
      <c r="J65" s="42">
        <f t="shared" si="3"/>
        <v>0</v>
      </c>
      <c r="K65" s="5"/>
      <c r="L65" s="10"/>
      <c r="M65" s="11"/>
      <c r="R65" s="11"/>
    </row>
    <row r="66" spans="1:18" x14ac:dyDescent="0.25">
      <c r="A66" s="38">
        <f>Données!A66</f>
        <v>5501</v>
      </c>
      <c r="B66" s="184" t="str">
        <f>Données!B66</f>
        <v>Sullens</v>
      </c>
      <c r="C66" s="321">
        <f>VPI!R66</f>
        <v>53840.673124999994</v>
      </c>
      <c r="D66" s="465">
        <f>Données!AP66</f>
        <v>21.551495127824737</v>
      </c>
      <c r="E66" s="379">
        <f>VPI!Q66</f>
        <v>64</v>
      </c>
      <c r="F66" s="225">
        <f t="shared" si="0"/>
        <v>42.448504872175263</v>
      </c>
      <c r="G66" s="223">
        <f>Effort!I66+Aide!I66/Taux!C66+Effort!K66/Taux!C66</f>
        <v>26.387662636930205</v>
      </c>
      <c r="H66" s="83">
        <f t="shared" si="1"/>
        <v>68.836167509105465</v>
      </c>
      <c r="I66" s="208">
        <f t="shared" si="2"/>
        <v>0</v>
      </c>
      <c r="J66" s="42">
        <f t="shared" si="3"/>
        <v>0</v>
      </c>
      <c r="K66" s="5"/>
      <c r="L66" s="10"/>
      <c r="M66" s="11"/>
      <c r="R66" s="11"/>
    </row>
    <row r="67" spans="1:18" x14ac:dyDescent="0.25">
      <c r="A67" s="38">
        <f>Données!A67</f>
        <v>5503</v>
      </c>
      <c r="B67" s="184" t="str">
        <f>Données!B67</f>
        <v>Vufflens-la-Ville</v>
      </c>
      <c r="C67" s="321">
        <f>VPI!R67</f>
        <v>75222.663980099518</v>
      </c>
      <c r="D67" s="465">
        <f>Données!AP67</f>
        <v>30.173736892894137</v>
      </c>
      <c r="E67" s="379">
        <f>VPI!Q67</f>
        <v>67</v>
      </c>
      <c r="F67" s="225">
        <f t="shared" si="0"/>
        <v>36.826263107105859</v>
      </c>
      <c r="G67" s="223">
        <f>Effort!I67+Aide!I67/Taux!C67+Effort!K67/Taux!C67</f>
        <v>29.338288009649393</v>
      </c>
      <c r="H67" s="83">
        <f t="shared" si="1"/>
        <v>66.164551116755248</v>
      </c>
      <c r="I67" s="208">
        <f t="shared" si="2"/>
        <v>0</v>
      </c>
      <c r="J67" s="42">
        <f t="shared" si="3"/>
        <v>0</v>
      </c>
      <c r="K67" s="5"/>
      <c r="L67" s="10"/>
      <c r="M67" s="11"/>
      <c r="R67" s="11"/>
    </row>
    <row r="68" spans="1:18" x14ac:dyDescent="0.25">
      <c r="A68" s="38">
        <f>Données!A68</f>
        <v>5511</v>
      </c>
      <c r="B68" s="184" t="str">
        <f>Données!B68</f>
        <v>Assens</v>
      </c>
      <c r="C68" s="321">
        <f>VPI!R68</f>
        <v>72835.778857142868</v>
      </c>
      <c r="D68" s="465">
        <f>Données!AP68</f>
        <v>24.45</v>
      </c>
      <c r="E68" s="379">
        <f>VPI!Q68</f>
        <v>70</v>
      </c>
      <c r="F68" s="225">
        <f t="shared" si="0"/>
        <v>45.55</v>
      </c>
      <c r="G68" s="223">
        <f>Effort!I68+Aide!I68/Taux!C68+Effort!K68/Taux!C68</f>
        <v>20.078906208978989</v>
      </c>
      <c r="H68" s="83">
        <f t="shared" si="1"/>
        <v>65.628906208978989</v>
      </c>
      <c r="I68" s="208">
        <f t="shared" si="2"/>
        <v>0</v>
      </c>
      <c r="J68" s="42">
        <f t="shared" si="3"/>
        <v>0</v>
      </c>
      <c r="K68" s="5"/>
      <c r="L68" s="10"/>
      <c r="M68" s="11"/>
      <c r="R68" s="11"/>
    </row>
    <row r="69" spans="1:18" x14ac:dyDescent="0.25">
      <c r="A69" s="38">
        <f>Données!A69</f>
        <v>5512</v>
      </c>
      <c r="B69" s="184" t="str">
        <f>Données!B69</f>
        <v>Bercher</v>
      </c>
      <c r="C69" s="321">
        <f>VPI!R69</f>
        <v>41198.7282278481</v>
      </c>
      <c r="D69" s="465">
        <f>Données!AP69</f>
        <v>10.918310842543416</v>
      </c>
      <c r="E69" s="379">
        <f>VPI!Q69</f>
        <v>79</v>
      </c>
      <c r="F69" s="225">
        <f t="shared" si="0"/>
        <v>68.08168915745658</v>
      </c>
      <c r="G69" s="223">
        <f>Effort!I69+Aide!I69/Taux!C69+Effort!K69/Taux!C69</f>
        <v>3.6455792004186627</v>
      </c>
      <c r="H69" s="83">
        <f t="shared" si="1"/>
        <v>71.727268357875246</v>
      </c>
      <c r="I69" s="208">
        <f t="shared" si="2"/>
        <v>0</v>
      </c>
      <c r="J69" s="42">
        <f t="shared" si="3"/>
        <v>0</v>
      </c>
      <c r="K69" s="5"/>
      <c r="L69" s="10"/>
      <c r="M69" s="11"/>
      <c r="R69" s="11"/>
    </row>
    <row r="70" spans="1:18" x14ac:dyDescent="0.25">
      <c r="A70" s="38">
        <f>Données!A70</f>
        <v>5514</v>
      </c>
      <c r="B70" s="184" t="str">
        <f>Données!B70</f>
        <v>Bottens</v>
      </c>
      <c r="C70" s="321">
        <f>VPI!R70</f>
        <v>45712.235586206894</v>
      </c>
      <c r="D70" s="465">
        <f>Données!AP70</f>
        <v>15.032658227157945</v>
      </c>
      <c r="E70" s="379">
        <f>VPI!Q70</f>
        <v>72.5</v>
      </c>
      <c r="F70" s="225">
        <f t="shared" si="0"/>
        <v>57.467341772842055</v>
      </c>
      <c r="G70" s="223">
        <f>Effort!I70+Aide!I70/Taux!C70+Effort!K70/Taux!C70</f>
        <v>15.015043737662314</v>
      </c>
      <c r="H70" s="83">
        <f t="shared" si="1"/>
        <v>72.482385510504372</v>
      </c>
      <c r="I70" s="208">
        <f t="shared" si="2"/>
        <v>0</v>
      </c>
      <c r="J70" s="42">
        <f t="shared" si="3"/>
        <v>0</v>
      </c>
      <c r="K70" s="5"/>
      <c r="L70" s="10"/>
      <c r="M70" s="11"/>
      <c r="R70" s="11"/>
    </row>
    <row r="71" spans="1:18" x14ac:dyDescent="0.25">
      <c r="A71" s="38">
        <f>Données!A71</f>
        <v>5515</v>
      </c>
      <c r="B71" s="184" t="str">
        <f>Données!B71</f>
        <v>Bretigny-sur-Morrens</v>
      </c>
      <c r="C71" s="321">
        <f>VPI!R71</f>
        <v>29285.295897435899</v>
      </c>
      <c r="D71" s="465">
        <f>Données!AP71</f>
        <v>19.690211553532638</v>
      </c>
      <c r="E71" s="379">
        <f>VPI!Q71</f>
        <v>78</v>
      </c>
      <c r="F71" s="225">
        <f t="shared" ref="F71:F134" si="4">E71-D71</f>
        <v>58.309788446467365</v>
      </c>
      <c r="G71" s="223">
        <f>Effort!I71+Aide!I71/Taux!C71+Effort!K71/Taux!C71</f>
        <v>14.390935448160853</v>
      </c>
      <c r="H71" s="83">
        <f t="shared" ref="H71:H134" si="5">F71+G71</f>
        <v>72.700723894628226</v>
      </c>
      <c r="I71" s="208">
        <f t="shared" ref="I71:I134" si="6">IF(H71&gt;$I$5,H71-$I$5,0)</f>
        <v>0</v>
      </c>
      <c r="J71" s="42">
        <f t="shared" ref="J71:J134" si="7">-I71*C71</f>
        <v>0</v>
      </c>
      <c r="K71" s="5"/>
      <c r="L71" s="10"/>
      <c r="M71" s="11"/>
      <c r="R71" s="11"/>
    </row>
    <row r="72" spans="1:18" x14ac:dyDescent="0.25">
      <c r="A72" s="38">
        <f>Données!A72</f>
        <v>5516</v>
      </c>
      <c r="B72" s="184" t="str">
        <f>Données!B72</f>
        <v>Cugy</v>
      </c>
      <c r="C72" s="321">
        <f>VPI!R72</f>
        <v>110290.24758771928</v>
      </c>
      <c r="D72" s="465">
        <f>Données!AP72</f>
        <v>19.815285731739312</v>
      </c>
      <c r="E72" s="379">
        <f>VPI!Q72</f>
        <v>76</v>
      </c>
      <c r="F72" s="225">
        <f t="shared" si="4"/>
        <v>56.184714268260691</v>
      </c>
      <c r="G72" s="223">
        <f>Effort!I72+Aide!I72/Taux!C72+Effort!K72/Taux!C72</f>
        <v>18.04381721924409</v>
      </c>
      <c r="H72" s="83">
        <f t="shared" si="5"/>
        <v>74.228531487504782</v>
      </c>
      <c r="I72" s="208">
        <f t="shared" si="6"/>
        <v>0</v>
      </c>
      <c r="J72" s="42">
        <f t="shared" si="7"/>
        <v>0</v>
      </c>
      <c r="K72" s="5"/>
      <c r="L72" s="10"/>
      <c r="M72" s="11"/>
      <c r="R72" s="11"/>
    </row>
    <row r="73" spans="1:18" x14ac:dyDescent="0.25">
      <c r="A73" s="38">
        <f>Données!A73</f>
        <v>5518</v>
      </c>
      <c r="B73" s="184" t="str">
        <f>Données!B73</f>
        <v>Echallens</v>
      </c>
      <c r="C73" s="321">
        <f>VPI!R73</f>
        <v>193282.28662068967</v>
      </c>
      <c r="D73" s="465">
        <f>Données!AP73</f>
        <v>7.6237055488769103</v>
      </c>
      <c r="E73" s="379">
        <f>VPI!Q73</f>
        <v>72.5</v>
      </c>
      <c r="F73" s="225">
        <f t="shared" si="4"/>
        <v>64.876294451123087</v>
      </c>
      <c r="G73" s="223">
        <f>Effort!I73+Aide!I73/Taux!C73+Effort!K73/Taux!C73</f>
        <v>1.3246409865691255</v>
      </c>
      <c r="H73" s="83">
        <f t="shared" si="5"/>
        <v>66.200935437692209</v>
      </c>
      <c r="I73" s="208">
        <f t="shared" si="6"/>
        <v>0</v>
      </c>
      <c r="J73" s="42">
        <f t="shared" si="7"/>
        <v>0</v>
      </c>
      <c r="K73" s="5"/>
      <c r="L73" s="10"/>
      <c r="M73" s="11"/>
      <c r="R73" s="11"/>
    </row>
    <row r="74" spans="1:18" x14ac:dyDescent="0.25">
      <c r="A74" s="38">
        <f>Données!A74</f>
        <v>5520</v>
      </c>
      <c r="B74" s="184" t="str">
        <f>Données!B74</f>
        <v>Essertines-sur-Yverdon</v>
      </c>
      <c r="C74" s="321">
        <f>VPI!R74</f>
        <v>31422.035945945943</v>
      </c>
      <c r="D74" s="465">
        <f>Données!AP74</f>
        <v>13.139756819314398</v>
      </c>
      <c r="E74" s="379">
        <f>VPI!Q74</f>
        <v>74</v>
      </c>
      <c r="F74" s="225">
        <f t="shared" si="4"/>
        <v>60.8602431806856</v>
      </c>
      <c r="G74" s="223">
        <f>Effort!I74+Aide!I74/Taux!C74+Effort!K74/Taux!C74</f>
        <v>-1.421446604092516</v>
      </c>
      <c r="H74" s="83">
        <f t="shared" si="5"/>
        <v>59.438796576593084</v>
      </c>
      <c r="I74" s="208">
        <f t="shared" si="6"/>
        <v>0</v>
      </c>
      <c r="J74" s="42">
        <f t="shared" si="7"/>
        <v>0</v>
      </c>
      <c r="K74" s="5"/>
      <c r="L74" s="10"/>
      <c r="M74" s="11"/>
      <c r="R74" s="11"/>
    </row>
    <row r="75" spans="1:18" x14ac:dyDescent="0.25">
      <c r="A75" s="38">
        <f>Données!A75</f>
        <v>5521</v>
      </c>
      <c r="B75" s="184" t="str">
        <f>Données!B75</f>
        <v>Etagnières</v>
      </c>
      <c r="C75" s="321">
        <f>VPI!R75</f>
        <v>47189.665890410972</v>
      </c>
      <c r="D75" s="465">
        <f>Données!AP75</f>
        <v>20.27288571863814</v>
      </c>
      <c r="E75" s="379">
        <f>VPI!Q75</f>
        <v>73</v>
      </c>
      <c r="F75" s="225">
        <f t="shared" si="4"/>
        <v>52.727114281361864</v>
      </c>
      <c r="G75" s="223">
        <f>Effort!I75+Aide!I75/Taux!C75+Effort!K75/Taux!C75</f>
        <v>21.528552648994363</v>
      </c>
      <c r="H75" s="83">
        <f t="shared" si="5"/>
        <v>74.255666930356227</v>
      </c>
      <c r="I75" s="208">
        <f t="shared" si="6"/>
        <v>0</v>
      </c>
      <c r="J75" s="42">
        <f t="shared" si="7"/>
        <v>0</v>
      </c>
      <c r="K75" s="5"/>
      <c r="L75" s="10"/>
      <c r="M75" s="11"/>
      <c r="R75" s="11"/>
    </row>
    <row r="76" spans="1:18" x14ac:dyDescent="0.25">
      <c r="A76" s="38">
        <f>Données!A76</f>
        <v>5522</v>
      </c>
      <c r="B76" s="184" t="str">
        <f>Données!B76</f>
        <v>Fey</v>
      </c>
      <c r="C76" s="321">
        <f>VPI!R76</f>
        <v>24172.463733333334</v>
      </c>
      <c r="D76" s="465">
        <f>Données!AP76</f>
        <v>15.124400217210432</v>
      </c>
      <c r="E76" s="379">
        <f>VPI!Q76</f>
        <v>75</v>
      </c>
      <c r="F76" s="225">
        <f t="shared" si="4"/>
        <v>59.875599782789564</v>
      </c>
      <c r="G76" s="223">
        <f>Effort!I76+Aide!I76/Taux!C76+Effort!K76/Taux!C76</f>
        <v>10.823748635916399</v>
      </c>
      <c r="H76" s="83">
        <f t="shared" si="5"/>
        <v>70.699348418705966</v>
      </c>
      <c r="I76" s="208">
        <f t="shared" si="6"/>
        <v>0</v>
      </c>
      <c r="J76" s="42">
        <f t="shared" si="7"/>
        <v>0</v>
      </c>
      <c r="K76" s="5"/>
      <c r="L76" s="10"/>
      <c r="M76" s="11"/>
      <c r="R76" s="11"/>
    </row>
    <row r="77" spans="1:18" x14ac:dyDescent="0.25">
      <c r="A77" s="38">
        <f>Données!A77</f>
        <v>5523</v>
      </c>
      <c r="B77" s="184" t="str">
        <f>Données!B77</f>
        <v>Froideville</v>
      </c>
      <c r="C77" s="321">
        <f>VPI!R77</f>
        <v>92224.237222222204</v>
      </c>
      <c r="D77" s="465">
        <f>Données!AP77</f>
        <v>15.422938930039543</v>
      </c>
      <c r="E77" s="379">
        <f>VPI!Q77</f>
        <v>72</v>
      </c>
      <c r="F77" s="225">
        <f t="shared" si="4"/>
        <v>56.577061069960457</v>
      </c>
      <c r="G77" s="223">
        <f>Effort!I77+Aide!I77/Taux!C77+Effort!K77/Taux!C77</f>
        <v>12.630696909565959</v>
      </c>
      <c r="H77" s="83">
        <f t="shared" si="5"/>
        <v>69.20775797952642</v>
      </c>
      <c r="I77" s="208">
        <f t="shared" si="6"/>
        <v>0</v>
      </c>
      <c r="J77" s="42">
        <f t="shared" si="7"/>
        <v>0</v>
      </c>
      <c r="K77" s="5"/>
      <c r="L77" s="10"/>
      <c r="M77" s="11"/>
      <c r="R77" s="11"/>
    </row>
    <row r="78" spans="1:18" x14ac:dyDescent="0.25">
      <c r="A78" s="38">
        <f>Données!A78</f>
        <v>5527</v>
      </c>
      <c r="B78" s="184" t="str">
        <f>Données!B78</f>
        <v>Morrens</v>
      </c>
      <c r="C78" s="321">
        <f>VPI!R78</f>
        <v>40722.505675675682</v>
      </c>
      <c r="D78" s="465">
        <f>Données!AP78</f>
        <v>17.040757593502782</v>
      </c>
      <c r="E78" s="379">
        <f>VPI!Q78</f>
        <v>74</v>
      </c>
      <c r="F78" s="225">
        <f t="shared" si="4"/>
        <v>56.959242406497218</v>
      </c>
      <c r="G78" s="223">
        <f>Effort!I78+Aide!I78/Taux!C78+Effort!K78/Taux!C78</f>
        <v>17.245037228986845</v>
      </c>
      <c r="H78" s="83">
        <f t="shared" si="5"/>
        <v>74.204279635484056</v>
      </c>
      <c r="I78" s="208">
        <f t="shared" si="6"/>
        <v>0</v>
      </c>
      <c r="J78" s="42">
        <f t="shared" si="7"/>
        <v>0</v>
      </c>
      <c r="K78" s="5"/>
      <c r="L78" s="10"/>
      <c r="M78" s="11"/>
      <c r="R78" s="11"/>
    </row>
    <row r="79" spans="1:18" x14ac:dyDescent="0.25">
      <c r="A79" s="38">
        <f>Données!A79</f>
        <v>5529</v>
      </c>
      <c r="B79" s="184" t="str">
        <f>Données!B79</f>
        <v>Oulens-sous-Echallens</v>
      </c>
      <c r="C79" s="321">
        <f>VPI!R79</f>
        <v>22677.013380281693</v>
      </c>
      <c r="D79" s="465">
        <f>Données!AP79</f>
        <v>19.072941113265518</v>
      </c>
      <c r="E79" s="379">
        <f>VPI!Q79</f>
        <v>71</v>
      </c>
      <c r="F79" s="225">
        <f t="shared" si="4"/>
        <v>51.927058886734486</v>
      </c>
      <c r="G79" s="223">
        <f>Effort!I79+Aide!I79/Taux!C79+Effort!K79/Taux!C79</f>
        <v>17.293598704097839</v>
      </c>
      <c r="H79" s="83">
        <f t="shared" si="5"/>
        <v>69.220657590832332</v>
      </c>
      <c r="I79" s="208">
        <f t="shared" si="6"/>
        <v>0</v>
      </c>
      <c r="J79" s="42">
        <f t="shared" si="7"/>
        <v>0</v>
      </c>
      <c r="K79" s="5"/>
      <c r="L79" s="10"/>
      <c r="M79" s="11"/>
      <c r="R79" s="11"/>
    </row>
    <row r="80" spans="1:18" x14ac:dyDescent="0.25">
      <c r="A80" s="38">
        <f>Données!A80</f>
        <v>5530</v>
      </c>
      <c r="B80" s="184" t="str">
        <f>Données!B80</f>
        <v>Pailly</v>
      </c>
      <c r="C80" s="321">
        <f>VPI!R80</f>
        <v>20359.246820175435</v>
      </c>
      <c r="D80" s="465">
        <f>Données!AP80</f>
        <v>16.957643952209164</v>
      </c>
      <c r="E80" s="379">
        <f>VPI!Q80</f>
        <v>76</v>
      </c>
      <c r="F80" s="225">
        <f t="shared" si="4"/>
        <v>59.042356047790832</v>
      </c>
      <c r="G80" s="223">
        <f>Effort!I80+Aide!I80/Taux!C80+Effort!K80/Taux!C80</f>
        <v>15.209522013745683</v>
      </c>
      <c r="H80" s="83">
        <f t="shared" si="5"/>
        <v>74.251878061536516</v>
      </c>
      <c r="I80" s="208">
        <f t="shared" si="6"/>
        <v>0</v>
      </c>
      <c r="J80" s="42">
        <f t="shared" si="7"/>
        <v>0</v>
      </c>
      <c r="K80" s="5"/>
      <c r="L80" s="10"/>
      <c r="M80" s="11"/>
      <c r="R80" s="11"/>
    </row>
    <row r="81" spans="1:18" x14ac:dyDescent="0.25">
      <c r="A81" s="38">
        <f>Données!A81</f>
        <v>5531</v>
      </c>
      <c r="B81" s="184" t="str">
        <f>Données!B81</f>
        <v>Penthéréaz</v>
      </c>
      <c r="C81" s="321">
        <f>VPI!R81</f>
        <v>17299.306216216217</v>
      </c>
      <c r="D81" s="465">
        <f>Données!AP81</f>
        <v>18.22510767273155</v>
      </c>
      <c r="E81" s="379">
        <f>VPI!Q81</f>
        <v>74</v>
      </c>
      <c r="F81" s="225">
        <f t="shared" si="4"/>
        <v>55.774892327268446</v>
      </c>
      <c r="G81" s="223">
        <f>Effort!I81+Aide!I81/Taux!C81+Effort!K81/Taux!C81</f>
        <v>20.06928506115754</v>
      </c>
      <c r="H81" s="83">
        <f t="shared" si="5"/>
        <v>75.84417738842599</v>
      </c>
      <c r="I81" s="208">
        <f t="shared" si="6"/>
        <v>0</v>
      </c>
      <c r="J81" s="42">
        <f t="shared" si="7"/>
        <v>0</v>
      </c>
      <c r="K81" s="5"/>
      <c r="L81" s="10"/>
      <c r="M81" s="11"/>
      <c r="R81" s="11"/>
    </row>
    <row r="82" spans="1:18" x14ac:dyDescent="0.25">
      <c r="A82" s="38">
        <f>Données!A82</f>
        <v>5533</v>
      </c>
      <c r="B82" s="184" t="str">
        <f>Données!B82</f>
        <v>Poliez-Pittet</v>
      </c>
      <c r="C82" s="321">
        <f>VPI!R82</f>
        <v>28012.381095890411</v>
      </c>
      <c r="D82" s="465">
        <f>Données!AP82</f>
        <v>17.162221386732064</v>
      </c>
      <c r="E82" s="379">
        <f>VPI!Q82</f>
        <v>73</v>
      </c>
      <c r="F82" s="225">
        <f t="shared" si="4"/>
        <v>55.837778613267936</v>
      </c>
      <c r="G82" s="223">
        <f>Effort!I82+Aide!I82/Taux!C82+Effort!K82/Taux!C82</f>
        <v>14.216433571692404</v>
      </c>
      <c r="H82" s="83">
        <f t="shared" si="5"/>
        <v>70.054212184960335</v>
      </c>
      <c r="I82" s="208">
        <f t="shared" si="6"/>
        <v>0</v>
      </c>
      <c r="J82" s="42">
        <f t="shared" si="7"/>
        <v>0</v>
      </c>
      <c r="K82" s="5"/>
      <c r="L82" s="10"/>
      <c r="M82" s="11"/>
      <c r="R82" s="11"/>
    </row>
    <row r="83" spans="1:18" x14ac:dyDescent="0.25">
      <c r="A83" s="38">
        <f>Données!A83</f>
        <v>5534</v>
      </c>
      <c r="B83" s="184" t="str">
        <f>Données!B83</f>
        <v>Rueyres</v>
      </c>
      <c r="C83" s="321">
        <f>VPI!R83</f>
        <v>15042.055228310503</v>
      </c>
      <c r="D83" s="465">
        <f>Données!AP83</f>
        <v>25.354324568213496</v>
      </c>
      <c r="E83" s="379">
        <f>VPI!Q83</f>
        <v>73</v>
      </c>
      <c r="F83" s="225">
        <f t="shared" si="4"/>
        <v>47.645675431786501</v>
      </c>
      <c r="G83" s="223">
        <f>Effort!I83+Aide!I83/Taux!C83+Effort!K83/Taux!C83</f>
        <v>28.521958549937789</v>
      </c>
      <c r="H83" s="83">
        <f t="shared" si="5"/>
        <v>76.167633981724293</v>
      </c>
      <c r="I83" s="208">
        <f t="shared" si="6"/>
        <v>0</v>
      </c>
      <c r="J83" s="42">
        <f t="shared" si="7"/>
        <v>0</v>
      </c>
      <c r="K83" s="5"/>
      <c r="L83" s="10"/>
      <c r="M83" s="11"/>
      <c r="R83" s="11"/>
    </row>
    <row r="84" spans="1:18" x14ac:dyDescent="0.25">
      <c r="A84" s="38">
        <f>Données!A84</f>
        <v>5535</v>
      </c>
      <c r="B84" s="184" t="str">
        <f>Données!B84</f>
        <v>Saint-Barthélemy</v>
      </c>
      <c r="C84" s="321">
        <f>VPI!R84</f>
        <v>25492.610399999998</v>
      </c>
      <c r="D84" s="465">
        <f>Données!AP84</f>
        <v>14.227224960031988</v>
      </c>
      <c r="E84" s="379">
        <f>VPI!Q84</f>
        <v>75</v>
      </c>
      <c r="F84" s="225">
        <f t="shared" si="4"/>
        <v>60.77277503996801</v>
      </c>
      <c r="G84" s="223">
        <f>Effort!I84+Aide!I84/Taux!C84+Effort!K84/Taux!C84</f>
        <v>14.342701046790053</v>
      </c>
      <c r="H84" s="83">
        <f t="shared" si="5"/>
        <v>75.115476086758065</v>
      </c>
      <c r="I84" s="208">
        <f t="shared" si="6"/>
        <v>0</v>
      </c>
      <c r="J84" s="42">
        <f t="shared" si="7"/>
        <v>0</v>
      </c>
      <c r="K84" s="5"/>
      <c r="L84" s="10"/>
      <c r="M84" s="11"/>
      <c r="R84" s="11"/>
    </row>
    <row r="85" spans="1:18" x14ac:dyDescent="0.25">
      <c r="A85" s="38">
        <f>Données!A85</f>
        <v>5537</v>
      </c>
      <c r="B85" s="184" t="str">
        <f>Données!B85</f>
        <v>Villars-le-Terroir</v>
      </c>
      <c r="C85" s="321">
        <f>VPI!R85</f>
        <v>39162.728026315795</v>
      </c>
      <c r="D85" s="465">
        <f>Données!AP85</f>
        <v>14.212772660585706</v>
      </c>
      <c r="E85" s="379">
        <f>VPI!Q85</f>
        <v>76</v>
      </c>
      <c r="F85" s="225">
        <f t="shared" si="4"/>
        <v>61.787227339414294</v>
      </c>
      <c r="G85" s="223">
        <f>Effort!I85+Aide!I85/Taux!C85+Effort!K85/Taux!C85</f>
        <v>8.3675070603674389</v>
      </c>
      <c r="H85" s="83">
        <f t="shared" si="5"/>
        <v>70.154734399781731</v>
      </c>
      <c r="I85" s="208">
        <f t="shared" si="6"/>
        <v>0</v>
      </c>
      <c r="J85" s="42">
        <f t="shared" si="7"/>
        <v>0</v>
      </c>
      <c r="K85" s="5"/>
      <c r="L85" s="10"/>
      <c r="M85" s="11"/>
      <c r="R85" s="11"/>
    </row>
    <row r="86" spans="1:18" x14ac:dyDescent="0.25">
      <c r="A86" s="38">
        <f>Données!A86</f>
        <v>5539</v>
      </c>
      <c r="B86" s="184" t="str">
        <f>Données!B86</f>
        <v>Vuarrens</v>
      </c>
      <c r="C86" s="321">
        <f>VPI!R86</f>
        <v>34442.458945578233</v>
      </c>
      <c r="D86" s="465">
        <f>Données!AP86</f>
        <v>14.695105594952672</v>
      </c>
      <c r="E86" s="379">
        <f>VPI!Q86</f>
        <v>73.5</v>
      </c>
      <c r="F86" s="225">
        <f t="shared" si="4"/>
        <v>58.804894405047328</v>
      </c>
      <c r="G86" s="223">
        <f>Effort!I86+Aide!I86/Taux!C86+Effort!K86/Taux!C86</f>
        <v>13.444452458245959</v>
      </c>
      <c r="H86" s="83">
        <f t="shared" si="5"/>
        <v>72.249346863293283</v>
      </c>
      <c r="I86" s="208">
        <f t="shared" si="6"/>
        <v>0</v>
      </c>
      <c r="J86" s="42">
        <f t="shared" si="7"/>
        <v>0</v>
      </c>
      <c r="K86" s="5"/>
      <c r="L86" s="10"/>
      <c r="M86" s="11"/>
      <c r="R86" s="11"/>
    </row>
    <row r="87" spans="1:18" x14ac:dyDescent="0.25">
      <c r="A87" s="38">
        <f>Données!A87</f>
        <v>5540</v>
      </c>
      <c r="B87" s="184" t="str">
        <f>Données!B87</f>
        <v>Montilliez</v>
      </c>
      <c r="C87" s="321">
        <f>VPI!R87</f>
        <v>67464.467689655183</v>
      </c>
      <c r="D87" s="465">
        <f>Données!AP87</f>
        <v>14.792110038003772</v>
      </c>
      <c r="E87" s="379">
        <f>VPI!Q87</f>
        <v>72.5</v>
      </c>
      <c r="F87" s="225">
        <f t="shared" si="4"/>
        <v>57.70788996199623</v>
      </c>
      <c r="G87" s="223">
        <f>Effort!I87+Aide!I87/Taux!C87+Effort!K87/Taux!C87</f>
        <v>15.004043789316214</v>
      </c>
      <c r="H87" s="83">
        <f t="shared" si="5"/>
        <v>72.711933751312444</v>
      </c>
      <c r="I87" s="208">
        <f t="shared" si="6"/>
        <v>0</v>
      </c>
      <c r="J87" s="42">
        <f t="shared" si="7"/>
        <v>0</v>
      </c>
      <c r="K87" s="5"/>
      <c r="L87" s="10"/>
      <c r="M87" s="11"/>
      <c r="R87" s="11"/>
    </row>
    <row r="88" spans="1:18" x14ac:dyDescent="0.25">
      <c r="A88" s="38">
        <f>Données!A88</f>
        <v>5541</v>
      </c>
      <c r="B88" s="184" t="str">
        <f>Données!B88</f>
        <v>Goumoëns</v>
      </c>
      <c r="C88" s="321">
        <f>VPI!R88</f>
        <v>41726.211258278148</v>
      </c>
      <c r="D88" s="465">
        <f>Données!AP88</f>
        <v>18.072978523153857</v>
      </c>
      <c r="E88" s="379">
        <f>VPI!Q88</f>
        <v>75.5</v>
      </c>
      <c r="F88" s="225">
        <f t="shared" si="4"/>
        <v>57.427021476846143</v>
      </c>
      <c r="G88" s="223">
        <f>Effort!I88+Aide!I88/Taux!C88+Effort!K88/Taux!C88</f>
        <v>17.590637063981436</v>
      </c>
      <c r="H88" s="83">
        <f t="shared" si="5"/>
        <v>75.017658540827583</v>
      </c>
      <c r="I88" s="208">
        <f t="shared" si="6"/>
        <v>0</v>
      </c>
      <c r="J88" s="42">
        <f t="shared" si="7"/>
        <v>0</v>
      </c>
      <c r="K88" s="5"/>
      <c r="L88" s="10"/>
      <c r="M88" s="11"/>
      <c r="R88" s="11"/>
    </row>
    <row r="89" spans="1:18" x14ac:dyDescent="0.25">
      <c r="A89" s="38">
        <f>Données!A89</f>
        <v>5551</v>
      </c>
      <c r="B89" s="184" t="str">
        <f>Données!B89</f>
        <v>Bonvillars</v>
      </c>
      <c r="C89" s="321">
        <f>VPI!R89</f>
        <v>18575.023035714283</v>
      </c>
      <c r="D89" s="465">
        <f>Données!AP89</f>
        <v>24.693537925540927</v>
      </c>
      <c r="E89" s="379">
        <f>VPI!Q89</f>
        <v>56</v>
      </c>
      <c r="F89" s="225">
        <f t="shared" si="4"/>
        <v>31.306462074459073</v>
      </c>
      <c r="G89" s="223">
        <f>Effort!I89+Aide!I89/Taux!C89+Effort!K89/Taux!C89</f>
        <v>17.170581844118939</v>
      </c>
      <c r="H89" s="83">
        <f t="shared" si="5"/>
        <v>48.477043918578012</v>
      </c>
      <c r="I89" s="208">
        <f t="shared" si="6"/>
        <v>0</v>
      </c>
      <c r="J89" s="42">
        <f t="shared" si="7"/>
        <v>0</v>
      </c>
      <c r="K89" s="5"/>
      <c r="L89" s="10"/>
      <c r="M89" s="11"/>
      <c r="R89" s="11"/>
    </row>
    <row r="90" spans="1:18" x14ac:dyDescent="0.25">
      <c r="A90" s="38">
        <f>Données!A90</f>
        <v>5552</v>
      </c>
      <c r="B90" s="184" t="str">
        <f>Données!B90</f>
        <v>Bullet</v>
      </c>
      <c r="C90" s="321">
        <f>VPI!R90</f>
        <v>19038.952167832165</v>
      </c>
      <c r="D90" s="465">
        <f>Données!AP90</f>
        <v>13.968405211610726</v>
      </c>
      <c r="E90" s="379">
        <f>VPI!Q90</f>
        <v>71.5</v>
      </c>
      <c r="F90" s="225">
        <f t="shared" si="4"/>
        <v>57.53159478838927</v>
      </c>
      <c r="G90" s="223">
        <f>Effort!I90+Aide!I90/Taux!C90+Effort!K90/Taux!C90</f>
        <v>-3.6062110685822759</v>
      </c>
      <c r="H90" s="83">
        <f t="shared" si="5"/>
        <v>53.925383719806995</v>
      </c>
      <c r="I90" s="208">
        <f t="shared" si="6"/>
        <v>0</v>
      </c>
      <c r="J90" s="42">
        <f t="shared" si="7"/>
        <v>0</v>
      </c>
      <c r="K90" s="5"/>
      <c r="L90" s="10"/>
      <c r="M90" s="11"/>
      <c r="R90" s="11"/>
    </row>
    <row r="91" spans="1:18" x14ac:dyDescent="0.25">
      <c r="A91" s="38">
        <f>Données!A91</f>
        <v>5553</v>
      </c>
      <c r="B91" s="184" t="str">
        <f>Données!B91</f>
        <v>Champagne</v>
      </c>
      <c r="C91" s="321">
        <f>VPI!R91</f>
        <v>38263.796923076923</v>
      </c>
      <c r="D91" s="465">
        <f>Données!AP91</f>
        <v>21.772779428254662</v>
      </c>
      <c r="E91" s="379">
        <f>VPI!Q91</f>
        <v>65</v>
      </c>
      <c r="F91" s="225">
        <f t="shared" si="4"/>
        <v>43.227220571745335</v>
      </c>
      <c r="G91" s="223">
        <f>Effort!I91+Aide!I91/Taux!C91+Effort!K91/Taux!C91</f>
        <v>12.972147936078503</v>
      </c>
      <c r="H91" s="83">
        <f t="shared" si="5"/>
        <v>56.199368507823834</v>
      </c>
      <c r="I91" s="208">
        <f t="shared" si="6"/>
        <v>0</v>
      </c>
      <c r="J91" s="42">
        <f t="shared" si="7"/>
        <v>0</v>
      </c>
      <c r="K91" s="5"/>
      <c r="L91" s="10"/>
      <c r="M91" s="11"/>
      <c r="R91" s="11"/>
    </row>
    <row r="92" spans="1:18" x14ac:dyDescent="0.25">
      <c r="A92" s="38">
        <f>Données!A92</f>
        <v>5554</v>
      </c>
      <c r="B92" s="184" t="str">
        <f>Données!B92</f>
        <v>Concise</v>
      </c>
      <c r="C92" s="321">
        <f>VPI!R92</f>
        <v>33907.166000000005</v>
      </c>
      <c r="D92" s="465">
        <f>Données!AP92</f>
        <v>14.665463881614878</v>
      </c>
      <c r="E92" s="379">
        <f>VPI!Q92</f>
        <v>75</v>
      </c>
      <c r="F92" s="225">
        <f t="shared" si="4"/>
        <v>60.334536118385124</v>
      </c>
      <c r="G92" s="223">
        <f>Effort!I92+Aide!I92/Taux!C92+Effort!K92/Taux!C92</f>
        <v>11.248275289929953</v>
      </c>
      <c r="H92" s="83">
        <f t="shared" si="5"/>
        <v>71.582811408315081</v>
      </c>
      <c r="I92" s="208">
        <f t="shared" si="6"/>
        <v>0</v>
      </c>
      <c r="J92" s="42">
        <f t="shared" si="7"/>
        <v>0</v>
      </c>
      <c r="K92" s="5"/>
      <c r="L92" s="10"/>
      <c r="M92" s="11"/>
      <c r="R92" s="11"/>
    </row>
    <row r="93" spans="1:18" x14ac:dyDescent="0.25">
      <c r="A93" s="38">
        <f>Données!A93</f>
        <v>5555</v>
      </c>
      <c r="B93" s="184" t="str">
        <f>Données!B93</f>
        <v>Corcelles-près-Concise</v>
      </c>
      <c r="C93" s="321">
        <f>VPI!R93</f>
        <v>13425.201594202899</v>
      </c>
      <c r="D93" s="465">
        <f>Données!AP93</f>
        <v>18.470984384409142</v>
      </c>
      <c r="E93" s="379">
        <f>VPI!Q93</f>
        <v>69</v>
      </c>
      <c r="F93" s="225">
        <f t="shared" si="4"/>
        <v>50.529015615590858</v>
      </c>
      <c r="G93" s="223">
        <f>Effort!I93+Aide!I93/Taux!C93+Effort!K93/Taux!C93</f>
        <v>4.8115128603361956</v>
      </c>
      <c r="H93" s="83">
        <f t="shared" si="5"/>
        <v>55.340528475927051</v>
      </c>
      <c r="I93" s="208">
        <f t="shared" si="6"/>
        <v>0</v>
      </c>
      <c r="J93" s="42">
        <f t="shared" si="7"/>
        <v>0</v>
      </c>
      <c r="K93" s="5"/>
      <c r="L93" s="10"/>
      <c r="M93" s="11"/>
      <c r="R93" s="11"/>
    </row>
    <row r="94" spans="1:18" x14ac:dyDescent="0.25">
      <c r="A94" s="38">
        <f>Données!A94</f>
        <v>5556</v>
      </c>
      <c r="B94" s="184" t="str">
        <f>Données!B94</f>
        <v>Fiez</v>
      </c>
      <c r="C94" s="321">
        <f>VPI!R94</f>
        <v>13304.241787439612</v>
      </c>
      <c r="D94" s="465">
        <f>Données!AP94</f>
        <v>18.185392867268714</v>
      </c>
      <c r="E94" s="379">
        <f>VPI!Q94</f>
        <v>69</v>
      </c>
      <c r="F94" s="225">
        <f t="shared" si="4"/>
        <v>50.814607132731282</v>
      </c>
      <c r="G94" s="223">
        <f>Effort!I94+Aide!I94/Taux!C94+Effort!K94/Taux!C94</f>
        <v>8.7709711743238969</v>
      </c>
      <c r="H94" s="83">
        <f t="shared" si="5"/>
        <v>59.585578307055179</v>
      </c>
      <c r="I94" s="208">
        <f t="shared" si="6"/>
        <v>0</v>
      </c>
      <c r="J94" s="42">
        <f t="shared" si="7"/>
        <v>0</v>
      </c>
      <c r="K94" s="5"/>
      <c r="L94" s="10"/>
      <c r="M94" s="11"/>
      <c r="R94" s="11"/>
    </row>
    <row r="95" spans="1:18" x14ac:dyDescent="0.25">
      <c r="A95" s="38">
        <f>Données!A95</f>
        <v>5557</v>
      </c>
      <c r="B95" s="184" t="str">
        <f>Données!B95</f>
        <v>Fontaines-sur-Grandson</v>
      </c>
      <c r="C95" s="321">
        <f>VPI!R95</f>
        <v>5098.7534782608691</v>
      </c>
      <c r="D95" s="465">
        <f>Données!AP95</f>
        <v>-4.4415961528336343</v>
      </c>
      <c r="E95" s="379">
        <f>VPI!Q95</f>
        <v>69</v>
      </c>
      <c r="F95" s="225">
        <f t="shared" si="4"/>
        <v>73.44159615283364</v>
      </c>
      <c r="G95" s="223">
        <f>Effort!I95+Aide!I95/Taux!C95+Effort!K95/Taux!C95</f>
        <v>-3.7814144998864982</v>
      </c>
      <c r="H95" s="83">
        <f t="shared" si="5"/>
        <v>69.660181652947145</v>
      </c>
      <c r="I95" s="208">
        <f t="shared" si="6"/>
        <v>0</v>
      </c>
      <c r="J95" s="42">
        <f t="shared" si="7"/>
        <v>0</v>
      </c>
      <c r="K95" s="5"/>
      <c r="L95" s="10"/>
      <c r="M95" s="11"/>
      <c r="R95" s="11"/>
    </row>
    <row r="96" spans="1:18" x14ac:dyDescent="0.25">
      <c r="A96" s="38">
        <f>Données!A96</f>
        <v>5559</v>
      </c>
      <c r="B96" s="184" t="str">
        <f>Données!B96</f>
        <v>Giez</v>
      </c>
      <c r="C96" s="321">
        <f>VPI!R96</f>
        <v>21011.030606060605</v>
      </c>
      <c r="D96" s="465">
        <f>Données!AP96</f>
        <v>29.61977603186622</v>
      </c>
      <c r="E96" s="379">
        <f>VPI!Q96</f>
        <v>66</v>
      </c>
      <c r="F96" s="225">
        <f t="shared" si="4"/>
        <v>36.380223968133777</v>
      </c>
      <c r="G96" s="223">
        <f>Effort!I96+Aide!I96/Taux!C96+Effort!K96/Taux!C96</f>
        <v>26.457882335841056</v>
      </c>
      <c r="H96" s="83">
        <f t="shared" si="5"/>
        <v>62.838106303974833</v>
      </c>
      <c r="I96" s="208">
        <f t="shared" si="6"/>
        <v>0</v>
      </c>
      <c r="J96" s="42">
        <f t="shared" si="7"/>
        <v>0</v>
      </c>
      <c r="K96" s="5"/>
      <c r="L96" s="10"/>
      <c r="M96" s="11"/>
      <c r="R96" s="11"/>
    </row>
    <row r="97" spans="1:18" x14ac:dyDescent="0.25">
      <c r="A97" s="38">
        <f>Données!A97</f>
        <v>5560</v>
      </c>
      <c r="B97" s="184" t="str">
        <f>Données!B97</f>
        <v>Grandevent</v>
      </c>
      <c r="C97" s="321">
        <f>VPI!R97</f>
        <v>8996.1449295774655</v>
      </c>
      <c r="D97" s="465">
        <f>Données!AP97</f>
        <v>14.712205279572171</v>
      </c>
      <c r="E97" s="379">
        <f>VPI!Q97</f>
        <v>71</v>
      </c>
      <c r="F97" s="225">
        <f t="shared" si="4"/>
        <v>56.287794720427826</v>
      </c>
      <c r="G97" s="223">
        <f>Effort!I97+Aide!I97/Taux!C97+Effort!K97/Taux!C97</f>
        <v>21.036017433559994</v>
      </c>
      <c r="H97" s="83">
        <f t="shared" si="5"/>
        <v>77.323812153987816</v>
      </c>
      <c r="I97" s="208">
        <f t="shared" si="6"/>
        <v>0</v>
      </c>
      <c r="J97" s="42">
        <f t="shared" si="7"/>
        <v>0</v>
      </c>
      <c r="K97" s="5"/>
      <c r="L97" s="10"/>
      <c r="M97" s="11"/>
      <c r="R97" s="11"/>
    </row>
    <row r="98" spans="1:18" x14ac:dyDescent="0.25">
      <c r="A98" s="38">
        <f>Données!A98</f>
        <v>5561</v>
      </c>
      <c r="B98" s="184" t="str">
        <f>Données!B98</f>
        <v>Grandson</v>
      </c>
      <c r="C98" s="321">
        <f>VPI!R98</f>
        <v>132376.08594202899</v>
      </c>
      <c r="D98" s="465">
        <f>Données!AP98</f>
        <v>14.033166731542035</v>
      </c>
      <c r="E98" s="379">
        <f>VPI!Q98</f>
        <v>69</v>
      </c>
      <c r="F98" s="225">
        <f t="shared" si="4"/>
        <v>54.966833268457961</v>
      </c>
      <c r="G98" s="223">
        <f>Effort!I98+Aide!I98/Taux!C98+Effort!K98/Taux!C98</f>
        <v>11.357930626759812</v>
      </c>
      <c r="H98" s="83">
        <f t="shared" si="5"/>
        <v>66.324763895217771</v>
      </c>
      <c r="I98" s="208">
        <f t="shared" si="6"/>
        <v>0</v>
      </c>
      <c r="J98" s="42">
        <f t="shared" si="7"/>
        <v>0</v>
      </c>
      <c r="K98" s="5"/>
      <c r="L98" s="10"/>
      <c r="M98" s="11"/>
      <c r="R98" s="11"/>
    </row>
    <row r="99" spans="1:18" x14ac:dyDescent="0.25">
      <c r="A99" s="38">
        <f>Données!A99</f>
        <v>5562</v>
      </c>
      <c r="B99" s="184" t="str">
        <f>Données!B99</f>
        <v>Mauborget</v>
      </c>
      <c r="C99" s="321">
        <f>VPI!R99</f>
        <v>4559.8505476190467</v>
      </c>
      <c r="D99" s="465">
        <f>Données!AP99</f>
        <v>26.349277969841719</v>
      </c>
      <c r="E99" s="379">
        <f>VPI!Q99</f>
        <v>70</v>
      </c>
      <c r="F99" s="225">
        <f t="shared" si="4"/>
        <v>43.650722030158278</v>
      </c>
      <c r="G99" s="223">
        <f>Effort!I99+Aide!I99/Taux!C99+Effort!K99/Taux!C99</f>
        <v>15.401436497687923</v>
      </c>
      <c r="H99" s="83">
        <f t="shared" si="5"/>
        <v>59.052158527846203</v>
      </c>
      <c r="I99" s="208">
        <f t="shared" si="6"/>
        <v>0</v>
      </c>
      <c r="J99" s="42">
        <f t="shared" si="7"/>
        <v>0</v>
      </c>
      <c r="K99" s="5"/>
      <c r="L99" s="10"/>
      <c r="M99" s="11"/>
      <c r="R99" s="11"/>
    </row>
    <row r="100" spans="1:18" x14ac:dyDescent="0.25">
      <c r="A100" s="38">
        <f>Données!A100</f>
        <v>5563</v>
      </c>
      <c r="B100" s="184" t="str">
        <f>Données!B100</f>
        <v>Mutrux</v>
      </c>
      <c r="C100" s="321">
        <f>VPI!R100</f>
        <v>2282.08925</v>
      </c>
      <c r="D100" s="465">
        <f>Données!AP100</f>
        <v>8.3987694668071882</v>
      </c>
      <c r="E100" s="379">
        <f>VPI!Q100</f>
        <v>80</v>
      </c>
      <c r="F100" s="225">
        <f t="shared" si="4"/>
        <v>71.601230533192819</v>
      </c>
      <c r="G100" s="223">
        <f>Effort!I100+Aide!I100/Taux!C100+Effort!K100/Taux!C100</f>
        <v>-41.336896250880642</v>
      </c>
      <c r="H100" s="83">
        <f t="shared" si="5"/>
        <v>30.264334282312177</v>
      </c>
      <c r="I100" s="208">
        <f t="shared" si="6"/>
        <v>0</v>
      </c>
      <c r="J100" s="42">
        <f t="shared" si="7"/>
        <v>0</v>
      </c>
      <c r="K100" s="5"/>
      <c r="L100" s="10"/>
      <c r="M100" s="11"/>
      <c r="R100" s="11"/>
    </row>
    <row r="101" spans="1:18" x14ac:dyDescent="0.25">
      <c r="A101" s="38">
        <f>Données!A101</f>
        <v>5564</v>
      </c>
      <c r="B101" s="184" t="str">
        <f>Données!B101</f>
        <v>Novalles</v>
      </c>
      <c r="C101" s="321">
        <f>VPI!R101</f>
        <v>2548.8725328947371</v>
      </c>
      <c r="D101" s="465">
        <f>Données!AP101</f>
        <v>-6.9625101970631746</v>
      </c>
      <c r="E101" s="379">
        <f>VPI!Q101</f>
        <v>76</v>
      </c>
      <c r="F101" s="225">
        <f t="shared" si="4"/>
        <v>82.962510197063182</v>
      </c>
      <c r="G101" s="223">
        <f>Effort!I101+Aide!I101/Taux!C101+Effort!K101/Taux!C101</f>
        <v>-8.2314108769128858</v>
      </c>
      <c r="H101" s="83">
        <f t="shared" si="5"/>
        <v>74.731099320150292</v>
      </c>
      <c r="I101" s="208">
        <f t="shared" si="6"/>
        <v>0</v>
      </c>
      <c r="J101" s="42">
        <f t="shared" si="7"/>
        <v>0</v>
      </c>
      <c r="K101" s="5"/>
      <c r="L101" s="10"/>
      <c r="M101" s="11"/>
      <c r="R101" s="11"/>
    </row>
    <row r="102" spans="1:18" x14ac:dyDescent="0.25">
      <c r="A102" s="38">
        <f>Données!A102</f>
        <v>5565</v>
      </c>
      <c r="B102" s="184" t="str">
        <f>Données!B102</f>
        <v>Onnens</v>
      </c>
      <c r="C102" s="321">
        <f>VPI!R102</f>
        <v>11658.700944881888</v>
      </c>
      <c r="D102" s="465">
        <f>Données!AP102</f>
        <v>27.245096778364012</v>
      </c>
      <c r="E102" s="379">
        <f>VPI!Q102</f>
        <v>63.5</v>
      </c>
      <c r="F102" s="225">
        <f t="shared" si="4"/>
        <v>36.254903221635985</v>
      </c>
      <c r="G102" s="223">
        <f>Effort!I102+Aide!I102/Taux!C102+Effort!K102/Taux!C102</f>
        <v>-3.6439308776533323</v>
      </c>
      <c r="H102" s="83">
        <f t="shared" si="5"/>
        <v>32.610972343982652</v>
      </c>
      <c r="I102" s="208">
        <f t="shared" si="6"/>
        <v>0</v>
      </c>
      <c r="J102" s="42">
        <f t="shared" si="7"/>
        <v>0</v>
      </c>
      <c r="K102" s="5"/>
      <c r="L102" s="10"/>
      <c r="M102" s="11"/>
      <c r="R102" s="11"/>
    </row>
    <row r="103" spans="1:18" x14ac:dyDescent="0.25">
      <c r="A103" s="38">
        <f>Données!A103</f>
        <v>5566</v>
      </c>
      <c r="B103" s="184" t="str">
        <f>Données!B103</f>
        <v>Provence</v>
      </c>
      <c r="C103" s="321">
        <f>VPI!R103</f>
        <v>8528.9197942386818</v>
      </c>
      <c r="D103" s="465">
        <f>Données!AP103</f>
        <v>-2.7956895930347136</v>
      </c>
      <c r="E103" s="379">
        <f>VPI!Q103</f>
        <v>81</v>
      </c>
      <c r="F103" s="225">
        <f t="shared" si="4"/>
        <v>83.795689593034709</v>
      </c>
      <c r="G103" s="223">
        <f>Effort!I103+Aide!I103/Taux!C103+Effort!K103/Taux!C103</f>
        <v>-47.797046249648872</v>
      </c>
      <c r="H103" s="83">
        <f t="shared" si="5"/>
        <v>35.998643343385837</v>
      </c>
      <c r="I103" s="208">
        <f t="shared" si="6"/>
        <v>0</v>
      </c>
      <c r="J103" s="42">
        <f t="shared" si="7"/>
        <v>0</v>
      </c>
      <c r="K103" s="5"/>
      <c r="L103" s="10"/>
      <c r="M103" s="11"/>
      <c r="R103" s="11"/>
    </row>
    <row r="104" spans="1:18" x14ac:dyDescent="0.25">
      <c r="A104" s="38">
        <f>Données!A104</f>
        <v>5568</v>
      </c>
      <c r="B104" s="184" t="str">
        <f>Données!B104</f>
        <v>Sainte-Croix</v>
      </c>
      <c r="C104" s="321">
        <f>VPI!R104</f>
        <v>106004.96942857141</v>
      </c>
      <c r="D104" s="465">
        <f>Données!AP104</f>
        <v>-8.9442429573928663</v>
      </c>
      <c r="E104" s="379">
        <f>VPI!Q104</f>
        <v>70</v>
      </c>
      <c r="F104" s="225">
        <f t="shared" si="4"/>
        <v>78.944242957392873</v>
      </c>
      <c r="G104" s="223">
        <f>Effort!I104+Aide!I104/Taux!C104+Effort!K104/Taux!C104</f>
        <v>-27.908655182729131</v>
      </c>
      <c r="H104" s="83">
        <f t="shared" si="5"/>
        <v>51.035587774663739</v>
      </c>
      <c r="I104" s="208">
        <f t="shared" si="6"/>
        <v>0</v>
      </c>
      <c r="J104" s="42">
        <f t="shared" si="7"/>
        <v>0</v>
      </c>
      <c r="K104" s="5"/>
      <c r="L104" s="10"/>
      <c r="M104" s="11"/>
      <c r="R104" s="11"/>
    </row>
    <row r="105" spans="1:18" x14ac:dyDescent="0.25">
      <c r="A105" s="38">
        <f>Données!A105</f>
        <v>5571</v>
      </c>
      <c r="B105" s="184" t="str">
        <f>Données!B105</f>
        <v>Tévenon</v>
      </c>
      <c r="C105" s="321">
        <f>VPI!R105</f>
        <v>25907.008578088578</v>
      </c>
      <c r="D105" s="465">
        <f>Données!AP105</f>
        <v>12.471425773522258</v>
      </c>
      <c r="E105" s="379">
        <f>VPI!Q105</f>
        <v>71.5</v>
      </c>
      <c r="F105" s="225">
        <f t="shared" si="4"/>
        <v>59.028574226477744</v>
      </c>
      <c r="G105" s="223">
        <f>Effort!I105+Aide!I105/Taux!C105+Effort!K105/Taux!C105</f>
        <v>6.8369281891707274</v>
      </c>
      <c r="H105" s="83">
        <f t="shared" si="5"/>
        <v>65.865502415648479</v>
      </c>
      <c r="I105" s="208">
        <f t="shared" si="6"/>
        <v>0</v>
      </c>
      <c r="J105" s="42">
        <f t="shared" si="7"/>
        <v>0</v>
      </c>
      <c r="K105" s="5"/>
      <c r="L105" s="10"/>
      <c r="M105" s="11"/>
      <c r="R105" s="11"/>
    </row>
    <row r="106" spans="1:18" x14ac:dyDescent="0.25">
      <c r="A106" s="38">
        <f>Données!A106</f>
        <v>5581</v>
      </c>
      <c r="B106" s="184" t="str">
        <f>Données!B106</f>
        <v>Belmont-sur-Lausanne</v>
      </c>
      <c r="C106" s="321">
        <f>VPI!R106</f>
        <v>233670.95416666666</v>
      </c>
      <c r="D106" s="465">
        <f>Données!AP106</f>
        <v>26.891514039137668</v>
      </c>
      <c r="E106" s="379">
        <f>VPI!Q106</f>
        <v>72</v>
      </c>
      <c r="F106" s="225">
        <f t="shared" si="4"/>
        <v>45.108485960862332</v>
      </c>
      <c r="G106" s="223">
        <f>Effort!I106+Aide!I106/Taux!C106+Effort!K106/Taux!C106</f>
        <v>23.954155231415488</v>
      </c>
      <c r="H106" s="83">
        <f t="shared" si="5"/>
        <v>69.062641192277823</v>
      </c>
      <c r="I106" s="208">
        <f t="shared" si="6"/>
        <v>0</v>
      </c>
      <c r="J106" s="42">
        <f t="shared" si="7"/>
        <v>0</v>
      </c>
      <c r="K106" s="5"/>
      <c r="L106" s="10"/>
      <c r="M106" s="11"/>
      <c r="R106" s="11"/>
    </row>
    <row r="107" spans="1:18" x14ac:dyDescent="0.25">
      <c r="A107" s="38">
        <f>Données!A107</f>
        <v>5582</v>
      </c>
      <c r="B107" s="184" t="str">
        <f>Données!B107</f>
        <v>Cheseaux-sur-Lausanne</v>
      </c>
      <c r="C107" s="321">
        <f>VPI!R107</f>
        <v>170428.79082191776</v>
      </c>
      <c r="D107" s="465">
        <f>Données!AP107</f>
        <v>15.548945625009488</v>
      </c>
      <c r="E107" s="379">
        <f>VPI!Q107</f>
        <v>73</v>
      </c>
      <c r="F107" s="225">
        <f t="shared" si="4"/>
        <v>57.451054374990512</v>
      </c>
      <c r="G107" s="223">
        <f>Effort!I107+Aide!I107/Taux!C107+Effort!K107/Taux!C107</f>
        <v>12.24249293740956</v>
      </c>
      <c r="H107" s="83">
        <f t="shared" si="5"/>
        <v>69.693547312400071</v>
      </c>
      <c r="I107" s="208">
        <f t="shared" si="6"/>
        <v>0</v>
      </c>
      <c r="J107" s="42">
        <f t="shared" si="7"/>
        <v>0</v>
      </c>
      <c r="K107" s="5"/>
      <c r="L107" s="10"/>
      <c r="M107" s="11"/>
      <c r="R107" s="11"/>
    </row>
    <row r="108" spans="1:18" x14ac:dyDescent="0.25">
      <c r="A108" s="38">
        <f>Données!A108</f>
        <v>5583</v>
      </c>
      <c r="B108" s="184" t="str">
        <f>Données!B108</f>
        <v>Crissier</v>
      </c>
      <c r="C108" s="321">
        <f>VPI!R108</f>
        <v>340496.54456692917</v>
      </c>
      <c r="D108" s="465">
        <f>Données!AP108</f>
        <v>13.792501929457579</v>
      </c>
      <c r="E108" s="379">
        <f>VPI!Q108</f>
        <v>63.5</v>
      </c>
      <c r="F108" s="225">
        <f t="shared" si="4"/>
        <v>49.707498070542421</v>
      </c>
      <c r="G108" s="223">
        <f>Effort!I108+Aide!I108/Taux!C108+Effort!K108/Taux!C108</f>
        <v>2.2934738887667017</v>
      </c>
      <c r="H108" s="83">
        <f t="shared" si="5"/>
        <v>52.000971959309126</v>
      </c>
      <c r="I108" s="208">
        <f t="shared" si="6"/>
        <v>0</v>
      </c>
      <c r="J108" s="42">
        <f t="shared" si="7"/>
        <v>0</v>
      </c>
      <c r="K108" s="5"/>
      <c r="L108" s="10"/>
      <c r="M108" s="11"/>
      <c r="R108" s="11"/>
    </row>
    <row r="109" spans="1:18" x14ac:dyDescent="0.25">
      <c r="A109" s="38">
        <f>Données!A109</f>
        <v>5584</v>
      </c>
      <c r="B109" s="184" t="str">
        <f>Données!B109</f>
        <v>Epalinges</v>
      </c>
      <c r="C109" s="321">
        <f>VPI!R109</f>
        <v>489766.22341085278</v>
      </c>
      <c r="D109" s="465">
        <f>Données!AP109</f>
        <v>22.403571554395622</v>
      </c>
      <c r="E109" s="379">
        <f>VPI!Q109</f>
        <v>64.5</v>
      </c>
      <c r="F109" s="225">
        <f t="shared" si="4"/>
        <v>42.096428445604374</v>
      </c>
      <c r="G109" s="223">
        <f>Effort!I109+Aide!I109/Taux!C109+Effort!K109/Taux!C109</f>
        <v>11.788410836898976</v>
      </c>
      <c r="H109" s="83">
        <f t="shared" si="5"/>
        <v>53.88483928250335</v>
      </c>
      <c r="I109" s="208">
        <f t="shared" si="6"/>
        <v>0</v>
      </c>
      <c r="J109" s="42">
        <f t="shared" si="7"/>
        <v>0</v>
      </c>
      <c r="K109" s="5"/>
      <c r="L109" s="10"/>
      <c r="M109" s="11"/>
      <c r="R109" s="11"/>
    </row>
    <row r="110" spans="1:18" x14ac:dyDescent="0.25">
      <c r="A110" s="38">
        <f>Données!A110</f>
        <v>5585</v>
      </c>
      <c r="B110" s="184" t="str">
        <f>Données!B110</f>
        <v>Jouxtens-Mézery</v>
      </c>
      <c r="C110" s="321">
        <f>VPI!R110</f>
        <v>252946.52254237281</v>
      </c>
      <c r="D110" s="465">
        <f>Données!AP110</f>
        <v>44.297697793456138</v>
      </c>
      <c r="E110" s="379">
        <f>VPI!Q110</f>
        <v>59</v>
      </c>
      <c r="F110" s="225">
        <f t="shared" si="4"/>
        <v>14.702302206543862</v>
      </c>
      <c r="G110" s="223">
        <f>Effort!I110+Aide!I110/Taux!C110+Effort!K110/Taux!C110</f>
        <v>48</v>
      </c>
      <c r="H110" s="83">
        <f t="shared" si="5"/>
        <v>62.702302206543862</v>
      </c>
      <c r="I110" s="208">
        <f t="shared" si="6"/>
        <v>0</v>
      </c>
      <c r="J110" s="42">
        <f t="shared" si="7"/>
        <v>0</v>
      </c>
      <c r="K110" s="5"/>
      <c r="L110" s="10"/>
      <c r="M110" s="11"/>
      <c r="R110" s="11"/>
    </row>
    <row r="111" spans="1:18" x14ac:dyDescent="0.25">
      <c r="A111" s="38">
        <f>Données!A111</f>
        <v>5586</v>
      </c>
      <c r="B111" s="184" t="str">
        <f>Données!B111</f>
        <v>Lausanne</v>
      </c>
      <c r="C111" s="321">
        <f>VPI!R111</f>
        <v>6671978.8432696378</v>
      </c>
      <c r="D111" s="465">
        <f>Données!AP111</f>
        <v>7.5920879495233926</v>
      </c>
      <c r="E111" s="379">
        <f>VPI!Q111</f>
        <v>78.5</v>
      </c>
      <c r="F111" s="225">
        <f t="shared" si="4"/>
        <v>70.907912050476611</v>
      </c>
      <c r="G111" s="223">
        <f>Effort!I111+Aide!I111/Taux!C111+Effort!K111/Taux!C111</f>
        <v>0.72284884341478417</v>
      </c>
      <c r="H111" s="83">
        <f t="shared" si="5"/>
        <v>71.630760893891392</v>
      </c>
      <c r="I111" s="208">
        <f t="shared" si="6"/>
        <v>0</v>
      </c>
      <c r="J111" s="42">
        <f t="shared" si="7"/>
        <v>0</v>
      </c>
      <c r="K111" s="5"/>
      <c r="L111" s="10"/>
      <c r="M111" s="11"/>
      <c r="R111" s="11"/>
    </row>
    <row r="112" spans="1:18" x14ac:dyDescent="0.25">
      <c r="A112" s="38">
        <f>Données!A112</f>
        <v>5587</v>
      </c>
      <c r="B112" s="184" t="str">
        <f>Données!B112</f>
        <v>Le Mont-sur-Lausanne</v>
      </c>
      <c r="C112" s="321">
        <f>VPI!R112</f>
        <v>484050.33068027202</v>
      </c>
      <c r="D112" s="465">
        <f>Données!AP112</f>
        <v>23.418616403211388</v>
      </c>
      <c r="E112" s="379">
        <f>VPI!Q112</f>
        <v>73.5</v>
      </c>
      <c r="F112" s="225">
        <f t="shared" si="4"/>
        <v>50.081383596788612</v>
      </c>
      <c r="G112" s="223">
        <f>Effort!I112+Aide!I112/Taux!C112+Effort!K112/Taux!C112</f>
        <v>17.293519212302837</v>
      </c>
      <c r="H112" s="83">
        <f t="shared" si="5"/>
        <v>67.374902809091452</v>
      </c>
      <c r="I112" s="208">
        <f t="shared" si="6"/>
        <v>0</v>
      </c>
      <c r="J112" s="42">
        <f t="shared" si="7"/>
        <v>0</v>
      </c>
      <c r="K112" s="5"/>
      <c r="L112" s="10"/>
      <c r="M112" s="11"/>
      <c r="R112" s="11"/>
    </row>
    <row r="113" spans="1:18" x14ac:dyDescent="0.25">
      <c r="A113" s="38">
        <f>Données!A113</f>
        <v>5588</v>
      </c>
      <c r="B113" s="184" t="str">
        <f>Données!B113</f>
        <v>Paudex</v>
      </c>
      <c r="C113" s="321">
        <f>VPI!R113</f>
        <v>137556.51114930178</v>
      </c>
      <c r="D113" s="465">
        <f>Données!AP113</f>
        <v>47.201896533994592</v>
      </c>
      <c r="E113" s="379">
        <f>VPI!Q113</f>
        <v>66.5</v>
      </c>
      <c r="F113" s="225">
        <f t="shared" si="4"/>
        <v>19.298103466005408</v>
      </c>
      <c r="G113" s="223">
        <f>Effort!I113+Aide!I113/Taux!C113+Effort!K113/Taux!C113</f>
        <v>37.922897705806207</v>
      </c>
      <c r="H113" s="83">
        <f t="shared" si="5"/>
        <v>57.221001171811615</v>
      </c>
      <c r="I113" s="208">
        <f t="shared" si="6"/>
        <v>0</v>
      </c>
      <c r="J113" s="42">
        <f t="shared" si="7"/>
        <v>0</v>
      </c>
      <c r="K113" s="5"/>
      <c r="L113" s="10"/>
      <c r="M113" s="11"/>
      <c r="R113" s="11"/>
    </row>
    <row r="114" spans="1:18" x14ac:dyDescent="0.25">
      <c r="A114" s="38">
        <f>Données!A114</f>
        <v>5589</v>
      </c>
      <c r="B114" s="184" t="str">
        <f>Données!B114</f>
        <v>Prilly</v>
      </c>
      <c r="C114" s="321">
        <f>VPI!R114</f>
        <v>404219.10002122016</v>
      </c>
      <c r="D114" s="465">
        <f>Données!AP114</f>
        <v>5.0367081815805124</v>
      </c>
      <c r="E114" s="379">
        <f>VPI!Q114</f>
        <v>72.5</v>
      </c>
      <c r="F114" s="225">
        <f t="shared" si="4"/>
        <v>67.463291818419492</v>
      </c>
      <c r="G114" s="223">
        <f>Effort!I114+Aide!I114/Taux!C114+Effort!K114/Taux!C114</f>
        <v>-5.7701416068976954</v>
      </c>
      <c r="H114" s="83">
        <f t="shared" si="5"/>
        <v>61.693150211521797</v>
      </c>
      <c r="I114" s="208">
        <f t="shared" si="6"/>
        <v>0</v>
      </c>
      <c r="J114" s="42">
        <f t="shared" si="7"/>
        <v>0</v>
      </c>
      <c r="K114" s="5"/>
      <c r="L114" s="10"/>
      <c r="M114" s="11"/>
      <c r="R114" s="11"/>
    </row>
    <row r="115" spans="1:18" x14ac:dyDescent="0.25">
      <c r="A115" s="38">
        <f>Données!A115</f>
        <v>5590</v>
      </c>
      <c r="B115" s="184" t="str">
        <f>Données!B115</f>
        <v>Pully</v>
      </c>
      <c r="C115" s="321">
        <f>VPI!R115</f>
        <v>1396472.1616393442</v>
      </c>
      <c r="D115" s="465">
        <f>Données!AP115</f>
        <v>30.189560998117585</v>
      </c>
      <c r="E115" s="379">
        <f>VPI!Q115</f>
        <v>61</v>
      </c>
      <c r="F115" s="225">
        <f t="shared" si="4"/>
        <v>30.810439001882415</v>
      </c>
      <c r="G115" s="223">
        <f>Effort!I115+Aide!I115/Taux!C115+Effort!K115/Taux!C115</f>
        <v>22.732722852837103</v>
      </c>
      <c r="H115" s="83">
        <f t="shared" si="5"/>
        <v>53.543161854719514</v>
      </c>
      <c r="I115" s="208">
        <f t="shared" si="6"/>
        <v>0</v>
      </c>
      <c r="J115" s="42">
        <f t="shared" si="7"/>
        <v>0</v>
      </c>
      <c r="K115" s="5"/>
      <c r="L115" s="10"/>
      <c r="M115" s="11"/>
      <c r="R115" s="11"/>
    </row>
    <row r="116" spans="1:18" x14ac:dyDescent="0.25">
      <c r="A116" s="38">
        <f>Données!A116</f>
        <v>5591</v>
      </c>
      <c r="B116" s="184" t="str">
        <f>Données!B116</f>
        <v>Renens</v>
      </c>
      <c r="C116" s="321">
        <f>VPI!R116</f>
        <v>592907.73419294995</v>
      </c>
      <c r="D116" s="465">
        <f>Données!AP116</f>
        <v>-15.53639944944795</v>
      </c>
      <c r="E116" s="379">
        <f>VPI!Q116</f>
        <v>77</v>
      </c>
      <c r="F116" s="225">
        <f t="shared" si="4"/>
        <v>92.536399449447956</v>
      </c>
      <c r="G116" s="223">
        <f>Effort!I116+Aide!I116/Taux!C116+Effort!K116/Taux!C116</f>
        <v>-25.58261120346549</v>
      </c>
      <c r="H116" s="83">
        <f t="shared" si="5"/>
        <v>66.953788245982466</v>
      </c>
      <c r="I116" s="208">
        <f t="shared" si="6"/>
        <v>0</v>
      </c>
      <c r="J116" s="42">
        <f t="shared" si="7"/>
        <v>0</v>
      </c>
      <c r="K116" s="5"/>
      <c r="L116" s="10"/>
      <c r="M116" s="11"/>
      <c r="R116" s="11"/>
    </row>
    <row r="117" spans="1:18" x14ac:dyDescent="0.25">
      <c r="A117" s="38">
        <f>Données!A117</f>
        <v>5592</v>
      </c>
      <c r="B117" s="184" t="str">
        <f>Données!B117</f>
        <v>Romanel-sur-Lausanne</v>
      </c>
      <c r="C117" s="321">
        <f>VPI!R117</f>
        <v>113604.64354609928</v>
      </c>
      <c r="D117" s="465">
        <f>Données!AP117</f>
        <v>14.293870113930197</v>
      </c>
      <c r="E117" s="379">
        <f>VPI!Q117</f>
        <v>70.5</v>
      </c>
      <c r="F117" s="225">
        <f t="shared" si="4"/>
        <v>56.206129886069803</v>
      </c>
      <c r="G117" s="223">
        <f>Effort!I117+Aide!I117/Taux!C117+Effort!K117/Taux!C117</f>
        <v>4.4455750952143198</v>
      </c>
      <c r="H117" s="83">
        <f t="shared" si="5"/>
        <v>60.651704981284126</v>
      </c>
      <c r="I117" s="208">
        <f t="shared" si="6"/>
        <v>0</v>
      </c>
      <c r="J117" s="42">
        <f t="shared" si="7"/>
        <v>0</v>
      </c>
      <c r="K117" s="5"/>
      <c r="L117" s="10"/>
      <c r="M117" s="11"/>
      <c r="R117" s="11"/>
    </row>
    <row r="118" spans="1:18" x14ac:dyDescent="0.25">
      <c r="A118" s="38">
        <f>Données!A118</f>
        <v>5601</v>
      </c>
      <c r="B118" s="184" t="str">
        <f>Données!B118</f>
        <v>Chexbres</v>
      </c>
      <c r="C118" s="321">
        <f>VPI!R118</f>
        <v>106015.29511111112</v>
      </c>
      <c r="D118" s="465">
        <f>Données!AP118</f>
        <v>25.299159852215311</v>
      </c>
      <c r="E118" s="379">
        <f>VPI!Q118</f>
        <v>67.5</v>
      </c>
      <c r="F118" s="225">
        <f t="shared" si="4"/>
        <v>42.200840147784689</v>
      </c>
      <c r="G118" s="223">
        <f>Effort!I118+Aide!I118/Taux!C118+Effort!K118/Taux!C118</f>
        <v>21.984759257718338</v>
      </c>
      <c r="H118" s="83">
        <f t="shared" si="5"/>
        <v>64.185599405503027</v>
      </c>
      <c r="I118" s="208">
        <f t="shared" si="6"/>
        <v>0</v>
      </c>
      <c r="J118" s="42">
        <f t="shared" si="7"/>
        <v>0</v>
      </c>
      <c r="K118" s="5"/>
      <c r="L118" s="10"/>
      <c r="M118" s="11"/>
      <c r="R118" s="11"/>
    </row>
    <row r="119" spans="1:18" x14ac:dyDescent="0.25">
      <c r="A119" s="38">
        <f>Données!A119</f>
        <v>5604</v>
      </c>
      <c r="B119" s="184" t="str">
        <f>Données!B119</f>
        <v>Forel (Lavaux)</v>
      </c>
      <c r="C119" s="321">
        <f>VPI!R119</f>
        <v>70961.315942029003</v>
      </c>
      <c r="D119" s="465">
        <f>Données!AP119</f>
        <v>17.500631815976849</v>
      </c>
      <c r="E119" s="379">
        <f>VPI!Q119</f>
        <v>69</v>
      </c>
      <c r="F119" s="225">
        <f t="shared" si="4"/>
        <v>51.499368184023155</v>
      </c>
      <c r="G119" s="223">
        <f>Effort!I119+Aide!I119/Taux!C119+Effort!K119/Taux!C119</f>
        <v>9.7521570088381804</v>
      </c>
      <c r="H119" s="83">
        <f t="shared" si="5"/>
        <v>61.251525192861337</v>
      </c>
      <c r="I119" s="208">
        <f t="shared" si="6"/>
        <v>0</v>
      </c>
      <c r="J119" s="42">
        <f t="shared" si="7"/>
        <v>0</v>
      </c>
      <c r="K119" s="5"/>
      <c r="L119" s="10"/>
      <c r="M119" s="11"/>
      <c r="R119" s="11"/>
    </row>
    <row r="120" spans="1:18" x14ac:dyDescent="0.25">
      <c r="A120" s="38">
        <f>Données!A120</f>
        <v>5606</v>
      </c>
      <c r="B120" s="184" t="str">
        <f>Données!B120</f>
        <v>Lutry</v>
      </c>
      <c r="C120" s="321">
        <f>VPI!R120</f>
        <v>1212171.2253174603</v>
      </c>
      <c r="D120" s="465">
        <f>Données!AP120</f>
        <v>32.466963405285384</v>
      </c>
      <c r="E120" s="379">
        <f>VPI!Q120</f>
        <v>54</v>
      </c>
      <c r="F120" s="225">
        <f t="shared" si="4"/>
        <v>21.533036594714616</v>
      </c>
      <c r="G120" s="223">
        <f>Effort!I120+Aide!I120/Taux!C120+Effort!K120/Taux!C120</f>
        <v>36.791880078833266</v>
      </c>
      <c r="H120" s="83">
        <f t="shared" si="5"/>
        <v>58.324916673547882</v>
      </c>
      <c r="I120" s="208">
        <f t="shared" si="6"/>
        <v>0</v>
      </c>
      <c r="J120" s="42">
        <f t="shared" si="7"/>
        <v>0</v>
      </c>
      <c r="K120" s="5"/>
      <c r="L120" s="10"/>
      <c r="M120" s="11"/>
      <c r="R120" s="11"/>
    </row>
    <row r="121" spans="1:18" x14ac:dyDescent="0.25">
      <c r="A121" s="38">
        <f>Données!A121</f>
        <v>5607</v>
      </c>
      <c r="B121" s="184" t="str">
        <f>Données!B121</f>
        <v>Puidoux</v>
      </c>
      <c r="C121" s="321">
        <f>VPI!R121</f>
        <v>117496.04099650904</v>
      </c>
      <c r="D121" s="465">
        <f>Données!AP121</f>
        <v>18.686736665427265</v>
      </c>
      <c r="E121" s="379">
        <f>VPI!Q121</f>
        <v>68.5</v>
      </c>
      <c r="F121" s="225">
        <f t="shared" si="4"/>
        <v>49.813263334572738</v>
      </c>
      <c r="G121" s="223">
        <f>Effort!I121+Aide!I121/Taux!C121+Effort!K121/Taux!C121</f>
        <v>10.117722694094596</v>
      </c>
      <c r="H121" s="83">
        <f t="shared" si="5"/>
        <v>59.930986028667334</v>
      </c>
      <c r="I121" s="208">
        <f t="shared" si="6"/>
        <v>0</v>
      </c>
      <c r="J121" s="42">
        <f t="shared" si="7"/>
        <v>0</v>
      </c>
      <c r="K121" s="5"/>
      <c r="L121" s="10"/>
      <c r="M121" s="11"/>
      <c r="R121" s="11"/>
    </row>
    <row r="122" spans="1:18" x14ac:dyDescent="0.25">
      <c r="A122" s="38">
        <f>Données!A122</f>
        <v>5609</v>
      </c>
      <c r="B122" s="184" t="str">
        <f>Données!B122</f>
        <v>Rivaz</v>
      </c>
      <c r="C122" s="321">
        <f>VPI!R122</f>
        <v>14930.201612903227</v>
      </c>
      <c r="D122" s="465">
        <f>Données!AP122</f>
        <v>26.924556763635032</v>
      </c>
      <c r="E122" s="379">
        <f>VPI!Q122</f>
        <v>62</v>
      </c>
      <c r="F122" s="225">
        <f t="shared" si="4"/>
        <v>35.075443236364968</v>
      </c>
      <c r="G122" s="223">
        <f>Effort!I122+Aide!I122/Taux!C122+Effort!K122/Taux!C122</f>
        <v>21.6929825257087</v>
      </c>
      <c r="H122" s="83">
        <f t="shared" si="5"/>
        <v>56.768425762073669</v>
      </c>
      <c r="I122" s="208">
        <f t="shared" si="6"/>
        <v>0</v>
      </c>
      <c r="J122" s="42">
        <f t="shared" si="7"/>
        <v>0</v>
      </c>
      <c r="K122" s="5"/>
      <c r="L122" s="10"/>
      <c r="M122" s="11"/>
      <c r="R122" s="11"/>
    </row>
    <row r="123" spans="1:18" x14ac:dyDescent="0.25">
      <c r="A123" s="38">
        <f>Données!A123</f>
        <v>5610</v>
      </c>
      <c r="B123" s="184" t="str">
        <f>Données!B123</f>
        <v>St-Saphorin (Lavaux)</v>
      </c>
      <c r="C123" s="321">
        <f>VPI!R123</f>
        <v>21326.679629629627</v>
      </c>
      <c r="D123" s="465">
        <f>Données!AP123</f>
        <v>31.516074205789643</v>
      </c>
      <c r="E123" s="379">
        <f>VPI!Q123</f>
        <v>72</v>
      </c>
      <c r="F123" s="225">
        <f t="shared" si="4"/>
        <v>40.483925794210357</v>
      </c>
      <c r="G123" s="223">
        <f>Effort!I123+Aide!I123/Taux!C123+Effort!K123/Taux!C123</f>
        <v>29.258208620406361</v>
      </c>
      <c r="H123" s="83">
        <f t="shared" si="5"/>
        <v>69.742134414616714</v>
      </c>
      <c r="I123" s="208">
        <f t="shared" si="6"/>
        <v>0</v>
      </c>
      <c r="J123" s="42">
        <f t="shared" si="7"/>
        <v>0</v>
      </c>
      <c r="K123" s="5"/>
      <c r="L123" s="10"/>
      <c r="M123" s="11"/>
      <c r="R123" s="11"/>
    </row>
    <row r="124" spans="1:18" x14ac:dyDescent="0.25">
      <c r="A124" s="38">
        <f>Données!A124</f>
        <v>5611</v>
      </c>
      <c r="B124" s="184" t="str">
        <f>Données!B124</f>
        <v>Savigny</v>
      </c>
      <c r="C124" s="321">
        <f>VPI!R124</f>
        <v>139629.67036231884</v>
      </c>
      <c r="D124" s="465">
        <f>Données!AP124</f>
        <v>20.72244817701354</v>
      </c>
      <c r="E124" s="379">
        <f>VPI!Q124</f>
        <v>69</v>
      </c>
      <c r="F124" s="225">
        <f t="shared" si="4"/>
        <v>48.27755182298646</v>
      </c>
      <c r="G124" s="223">
        <f>Effort!I124+Aide!I124/Taux!C124+Effort!K124/Taux!C124</f>
        <v>14.131270635745185</v>
      </c>
      <c r="H124" s="83">
        <f t="shared" si="5"/>
        <v>62.408822458731649</v>
      </c>
      <c r="I124" s="208">
        <f t="shared" si="6"/>
        <v>0</v>
      </c>
      <c r="J124" s="42">
        <f t="shared" si="7"/>
        <v>0</v>
      </c>
      <c r="K124" s="5"/>
      <c r="L124" s="10"/>
      <c r="M124" s="11"/>
      <c r="R124" s="11"/>
    </row>
    <row r="125" spans="1:18" x14ac:dyDescent="0.25">
      <c r="A125" s="38">
        <f>Données!A125</f>
        <v>5613</v>
      </c>
      <c r="B125" s="184" t="str">
        <f>Données!B125</f>
        <v>Bourg-en-Lavaux</v>
      </c>
      <c r="C125" s="321">
        <f>VPI!R125</f>
        <v>367206.35685333336</v>
      </c>
      <c r="D125" s="465">
        <f>Données!AP125</f>
        <v>29.346387429960178</v>
      </c>
      <c r="E125" s="379">
        <f>VPI!Q125</f>
        <v>62.5</v>
      </c>
      <c r="F125" s="225">
        <f t="shared" si="4"/>
        <v>33.153612570039826</v>
      </c>
      <c r="G125" s="223">
        <f>Effort!I125+Aide!I125/Taux!C125+Effort!K125/Taux!C125</f>
        <v>29.513141729454865</v>
      </c>
      <c r="H125" s="83">
        <f t="shared" si="5"/>
        <v>62.666754299494691</v>
      </c>
      <c r="I125" s="208">
        <f t="shared" si="6"/>
        <v>0</v>
      </c>
      <c r="J125" s="42">
        <f t="shared" si="7"/>
        <v>0</v>
      </c>
      <c r="K125" s="5"/>
      <c r="L125" s="10"/>
      <c r="M125" s="11"/>
      <c r="R125" s="11"/>
    </row>
    <row r="126" spans="1:18" x14ac:dyDescent="0.25">
      <c r="A126" s="38">
        <f>Données!A126</f>
        <v>5621</v>
      </c>
      <c r="B126" s="184" t="str">
        <f>Données!B126</f>
        <v>Aclens</v>
      </c>
      <c r="C126" s="321">
        <f>VPI!R126</f>
        <v>39203.094076246336</v>
      </c>
      <c r="D126" s="465">
        <f>Données!AP126</f>
        <v>32.0722717696556</v>
      </c>
      <c r="E126" s="379">
        <f>VPI!Q126</f>
        <v>62</v>
      </c>
      <c r="F126" s="225">
        <f t="shared" si="4"/>
        <v>29.9277282303444</v>
      </c>
      <c r="G126" s="223">
        <f>Effort!I126+Aide!I126/Taux!C126+Effort!K126/Taux!C126</f>
        <v>33.879483037069917</v>
      </c>
      <c r="H126" s="83">
        <f t="shared" si="5"/>
        <v>63.807211267414317</v>
      </c>
      <c r="I126" s="208">
        <f t="shared" si="6"/>
        <v>0</v>
      </c>
      <c r="J126" s="42">
        <f t="shared" si="7"/>
        <v>0</v>
      </c>
      <c r="K126" s="5"/>
      <c r="L126" s="10"/>
      <c r="M126" s="11"/>
      <c r="R126" s="11"/>
    </row>
    <row r="127" spans="1:18" x14ac:dyDescent="0.25">
      <c r="A127" s="38">
        <f>Données!A127</f>
        <v>5622</v>
      </c>
      <c r="B127" s="184" t="str">
        <f>Données!B127</f>
        <v>Bremblens</v>
      </c>
      <c r="C127" s="321">
        <f>VPI!R127</f>
        <v>30852.761617647058</v>
      </c>
      <c r="D127" s="465">
        <f>Données!AP127</f>
        <v>27.738019278444892</v>
      </c>
      <c r="E127" s="379">
        <f>VPI!Q127</f>
        <v>68</v>
      </c>
      <c r="F127" s="225">
        <f t="shared" si="4"/>
        <v>40.261980721555105</v>
      </c>
      <c r="G127" s="223">
        <f>Effort!I127+Aide!I127/Taux!C127+Effort!K127/Taux!C127</f>
        <v>28.944995059568772</v>
      </c>
      <c r="H127" s="83">
        <f t="shared" si="5"/>
        <v>69.206975781123873</v>
      </c>
      <c r="I127" s="208">
        <f t="shared" si="6"/>
        <v>0</v>
      </c>
      <c r="J127" s="42">
        <f t="shared" si="7"/>
        <v>0</v>
      </c>
      <c r="K127" s="5"/>
      <c r="L127" s="10"/>
      <c r="M127" s="11"/>
      <c r="R127" s="11"/>
    </row>
    <row r="128" spans="1:18" x14ac:dyDescent="0.25">
      <c r="A128" s="38">
        <f>Données!A128</f>
        <v>5623</v>
      </c>
      <c r="B128" s="184" t="str">
        <f>Données!B128</f>
        <v>Buchillon</v>
      </c>
      <c r="C128" s="321">
        <f>VPI!R128</f>
        <v>88403.083461538452</v>
      </c>
      <c r="D128" s="465">
        <f>Données!AP128</f>
        <v>43.27615740979445</v>
      </c>
      <c r="E128" s="379">
        <f>VPI!Q128</f>
        <v>52</v>
      </c>
      <c r="F128" s="225">
        <f t="shared" si="4"/>
        <v>8.7238425902055496</v>
      </c>
      <c r="G128" s="223">
        <f>Effort!I128+Aide!I128/Taux!C128+Effort!K128/Taux!C128</f>
        <v>42.999440297900207</v>
      </c>
      <c r="H128" s="83">
        <f t="shared" si="5"/>
        <v>51.723282888105757</v>
      </c>
      <c r="I128" s="208">
        <f t="shared" si="6"/>
        <v>0</v>
      </c>
      <c r="J128" s="42">
        <f t="shared" si="7"/>
        <v>0</v>
      </c>
      <c r="K128" s="5"/>
      <c r="L128" s="10"/>
      <c r="M128" s="11"/>
      <c r="R128" s="11"/>
    </row>
    <row r="129" spans="1:18" x14ac:dyDescent="0.25">
      <c r="A129" s="38">
        <f>Données!A129</f>
        <v>5624</v>
      </c>
      <c r="B129" s="184" t="str">
        <f>Données!B129</f>
        <v>Bussigny</v>
      </c>
      <c r="C129" s="321">
        <f>VPI!R129</f>
        <v>522420.75055999996</v>
      </c>
      <c r="D129" s="465">
        <f>Données!AP129</f>
        <v>16.994594506724209</v>
      </c>
      <c r="E129" s="379">
        <f>VPI!Q129</f>
        <v>62.5</v>
      </c>
      <c r="F129" s="225">
        <f t="shared" si="4"/>
        <v>45.505405493275788</v>
      </c>
      <c r="G129" s="223">
        <f>Effort!I129+Aide!I129/Taux!C129+Effort!K129/Taux!C129</f>
        <v>16.956732881527259</v>
      </c>
      <c r="H129" s="83">
        <f t="shared" si="5"/>
        <v>62.462138374803047</v>
      </c>
      <c r="I129" s="208">
        <f t="shared" si="6"/>
        <v>0</v>
      </c>
      <c r="J129" s="42">
        <f t="shared" si="7"/>
        <v>0</v>
      </c>
      <c r="K129" s="5"/>
      <c r="L129" s="10"/>
      <c r="M129" s="11"/>
      <c r="R129" s="11"/>
    </row>
    <row r="130" spans="1:18" x14ac:dyDescent="0.25">
      <c r="A130" s="38">
        <f>Données!A130</f>
        <v>5627</v>
      </c>
      <c r="B130" s="184" t="str">
        <f>Données!B130</f>
        <v>Chavannes-près-Renens</v>
      </c>
      <c r="C130" s="321">
        <f>VPI!R130</f>
        <v>188690.75535483871</v>
      </c>
      <c r="D130" s="465">
        <f>Données!AP130</f>
        <v>-18.604475147736416</v>
      </c>
      <c r="E130" s="379">
        <f>VPI!Q130</f>
        <v>77.5</v>
      </c>
      <c r="F130" s="225">
        <f t="shared" si="4"/>
        <v>96.104475147736423</v>
      </c>
      <c r="G130" s="223">
        <f>Effort!I130+Aide!I130/Taux!C130+Effort!K130/Taux!C130</f>
        <v>-25.562881242586464</v>
      </c>
      <c r="H130" s="83">
        <f t="shared" si="5"/>
        <v>70.541593905149966</v>
      </c>
      <c r="I130" s="208">
        <f t="shared" si="6"/>
        <v>0</v>
      </c>
      <c r="J130" s="42">
        <f t="shared" si="7"/>
        <v>0</v>
      </c>
      <c r="K130" s="5"/>
      <c r="L130" s="10"/>
      <c r="M130" s="11"/>
      <c r="R130" s="11"/>
    </row>
    <row r="131" spans="1:18" x14ac:dyDescent="0.25">
      <c r="A131" s="38">
        <f>Données!A131</f>
        <v>5628</v>
      </c>
      <c r="B131" s="184" t="str">
        <f>Données!B131</f>
        <v>Chigny</v>
      </c>
      <c r="C131" s="321">
        <f>VPI!R131</f>
        <v>27627.379193548386</v>
      </c>
      <c r="D131" s="465">
        <f>Données!AP131</f>
        <v>32.416378277294953</v>
      </c>
      <c r="E131" s="379">
        <f>VPI!Q131</f>
        <v>62</v>
      </c>
      <c r="F131" s="225">
        <f t="shared" si="4"/>
        <v>29.583621722705047</v>
      </c>
      <c r="G131" s="223">
        <f>Effort!I131+Aide!I131/Taux!C131+Effort!K131/Taux!C131</f>
        <v>32.834550525635485</v>
      </c>
      <c r="H131" s="83">
        <f t="shared" si="5"/>
        <v>62.418172248340532</v>
      </c>
      <c r="I131" s="208">
        <f t="shared" si="6"/>
        <v>0</v>
      </c>
      <c r="J131" s="42">
        <f t="shared" si="7"/>
        <v>0</v>
      </c>
      <c r="K131" s="5"/>
      <c r="L131" s="10"/>
      <c r="M131" s="11"/>
      <c r="R131" s="11"/>
    </row>
    <row r="132" spans="1:18" x14ac:dyDescent="0.25">
      <c r="A132" s="38">
        <f>Données!A132</f>
        <v>5629</v>
      </c>
      <c r="B132" s="184" t="str">
        <f>Données!B132</f>
        <v>Clarmont</v>
      </c>
      <c r="C132" s="321">
        <f>VPI!R132</f>
        <v>9964.7430555555547</v>
      </c>
      <c r="D132" s="465">
        <f>Données!AP132</f>
        <v>27.636928599741729</v>
      </c>
      <c r="E132" s="379">
        <f>VPI!Q132</f>
        <v>72</v>
      </c>
      <c r="F132" s="225">
        <f t="shared" si="4"/>
        <v>44.363071400258271</v>
      </c>
      <c r="G132" s="223">
        <f>Effort!I132+Aide!I132/Taux!C132+Effort!K132/Taux!C132</f>
        <v>21.929294608666375</v>
      </c>
      <c r="H132" s="83">
        <f t="shared" si="5"/>
        <v>66.292366008924645</v>
      </c>
      <c r="I132" s="208">
        <f t="shared" si="6"/>
        <v>0</v>
      </c>
      <c r="J132" s="42">
        <f t="shared" si="7"/>
        <v>0</v>
      </c>
      <c r="K132" s="5"/>
      <c r="L132" s="10"/>
      <c r="M132" s="11"/>
      <c r="R132" s="11"/>
    </row>
    <row r="133" spans="1:18" x14ac:dyDescent="0.25">
      <c r="A133" s="38">
        <f>Données!A133</f>
        <v>5631</v>
      </c>
      <c r="B133" s="184" t="str">
        <f>Données!B133</f>
        <v>Denens</v>
      </c>
      <c r="C133" s="321">
        <f>VPI!R133</f>
        <v>41694.310588235297</v>
      </c>
      <c r="D133" s="465">
        <f>Données!AP133</f>
        <v>31.310099306135992</v>
      </c>
      <c r="E133" s="379">
        <f>VPI!Q133</f>
        <v>68</v>
      </c>
      <c r="F133" s="225">
        <f t="shared" si="4"/>
        <v>36.689900693864004</v>
      </c>
      <c r="G133" s="223">
        <f>Effort!I133+Aide!I133/Taux!C133+Effort!K133/Taux!C133</f>
        <v>30.876343488098705</v>
      </c>
      <c r="H133" s="83">
        <f t="shared" si="5"/>
        <v>67.566244181962702</v>
      </c>
      <c r="I133" s="208">
        <f t="shared" si="6"/>
        <v>0</v>
      </c>
      <c r="J133" s="42">
        <f t="shared" si="7"/>
        <v>0</v>
      </c>
      <c r="K133" s="5"/>
      <c r="L133" s="10"/>
      <c r="M133" s="11"/>
      <c r="R133" s="11"/>
    </row>
    <row r="134" spans="1:18" x14ac:dyDescent="0.25">
      <c r="A134" s="38">
        <f>Données!A134</f>
        <v>5632</v>
      </c>
      <c r="B134" s="184" t="str">
        <f>Données!B134</f>
        <v>Denges</v>
      </c>
      <c r="C134" s="321">
        <f>VPI!R134</f>
        <v>81642.531612903229</v>
      </c>
      <c r="D134" s="465">
        <f>Données!AP134</f>
        <v>25.336604270426928</v>
      </c>
      <c r="E134" s="379">
        <f>VPI!Q134</f>
        <v>62</v>
      </c>
      <c r="F134" s="225">
        <f t="shared" si="4"/>
        <v>36.663395729573068</v>
      </c>
      <c r="G134" s="223">
        <f>Effort!I134+Aide!I134/Taux!C134+Effort!K134/Taux!C134</f>
        <v>22.774049972901459</v>
      </c>
      <c r="H134" s="83">
        <f t="shared" si="5"/>
        <v>59.437445702474527</v>
      </c>
      <c r="I134" s="208">
        <f t="shared" si="6"/>
        <v>0</v>
      </c>
      <c r="J134" s="42">
        <f t="shared" si="7"/>
        <v>0</v>
      </c>
      <c r="K134" s="5"/>
      <c r="L134" s="10"/>
      <c r="M134" s="11"/>
      <c r="R134" s="11"/>
    </row>
    <row r="135" spans="1:18" x14ac:dyDescent="0.25">
      <c r="A135" s="38">
        <f>Données!A135</f>
        <v>5633</v>
      </c>
      <c r="B135" s="184" t="str">
        <f>Données!B135</f>
        <v>Echandens</v>
      </c>
      <c r="C135" s="321">
        <f>VPI!R135</f>
        <v>149835.3479338843</v>
      </c>
      <c r="D135" s="465">
        <f>Données!AP135</f>
        <v>29.193563209628181</v>
      </c>
      <c r="E135" s="379">
        <f>VPI!Q135</f>
        <v>60.5</v>
      </c>
      <c r="F135" s="225">
        <f t="shared" ref="F135:F198" si="8">E135-D135</f>
        <v>31.306436790371819</v>
      </c>
      <c r="G135" s="223">
        <f>Effort!I135+Aide!I135/Taux!C135+Effort!K135/Taux!C135</f>
        <v>20.499983914500969</v>
      </c>
      <c r="H135" s="83">
        <f t="shared" ref="H135:H198" si="9">F135+G135</f>
        <v>51.806420704872792</v>
      </c>
      <c r="I135" s="208">
        <f t="shared" ref="I135:I198" si="10">IF(H135&gt;$I$5,H135-$I$5,0)</f>
        <v>0</v>
      </c>
      <c r="J135" s="42">
        <f t="shared" ref="J135:J198" si="11">-I135*C135</f>
        <v>0</v>
      </c>
      <c r="K135" s="5"/>
      <c r="L135" s="10"/>
      <c r="M135" s="11"/>
      <c r="R135" s="11"/>
    </row>
    <row r="136" spans="1:18" x14ac:dyDescent="0.25">
      <c r="A136" s="38">
        <f>Données!A136</f>
        <v>5634</v>
      </c>
      <c r="B136" s="184" t="str">
        <f>Données!B136</f>
        <v>Echichens</v>
      </c>
      <c r="C136" s="321">
        <f>VPI!R136</f>
        <v>183137.63424242428</v>
      </c>
      <c r="D136" s="465">
        <f>Données!AP136</f>
        <v>25.035936429124895</v>
      </c>
      <c r="E136" s="379">
        <f>VPI!Q136</f>
        <v>66</v>
      </c>
      <c r="F136" s="225">
        <f t="shared" si="8"/>
        <v>40.964063570875105</v>
      </c>
      <c r="G136" s="223">
        <f>Effort!I136+Aide!I136/Taux!C136+Effort!K136/Taux!C136</f>
        <v>27.165945113604728</v>
      </c>
      <c r="H136" s="83">
        <f t="shared" si="9"/>
        <v>68.130008684479833</v>
      </c>
      <c r="I136" s="208">
        <f t="shared" si="10"/>
        <v>0</v>
      </c>
      <c r="J136" s="42">
        <f t="shared" si="11"/>
        <v>0</v>
      </c>
      <c r="K136" s="5"/>
      <c r="L136" s="10"/>
      <c r="M136" s="11"/>
      <c r="R136" s="11"/>
    </row>
    <row r="137" spans="1:18" x14ac:dyDescent="0.25">
      <c r="A137" s="38">
        <f>Données!A137</f>
        <v>5635</v>
      </c>
      <c r="B137" s="184" t="str">
        <f>Données!B137</f>
        <v>Ecublens</v>
      </c>
      <c r="C137" s="321">
        <f>VPI!R137</f>
        <v>516165.47293333331</v>
      </c>
      <c r="D137" s="465">
        <f>Données!AP137</f>
        <v>25.802334834925311</v>
      </c>
      <c r="E137" s="379">
        <f>VPI!Q137</f>
        <v>62.5</v>
      </c>
      <c r="F137" s="225">
        <f t="shared" si="8"/>
        <v>36.697665165074689</v>
      </c>
      <c r="G137" s="223">
        <f>Effort!I137+Aide!I137/Taux!C137+Effort!K137/Taux!C137</f>
        <v>4.1322899645565343</v>
      </c>
      <c r="H137" s="83">
        <f t="shared" si="9"/>
        <v>40.829955129631223</v>
      </c>
      <c r="I137" s="208">
        <f t="shared" si="10"/>
        <v>0</v>
      </c>
      <c r="J137" s="42">
        <f t="shared" si="11"/>
        <v>0</v>
      </c>
      <c r="K137" s="5"/>
      <c r="L137" s="10"/>
      <c r="M137" s="11"/>
      <c r="R137" s="11"/>
    </row>
    <row r="138" spans="1:18" x14ac:dyDescent="0.25">
      <c r="A138" s="38">
        <f>Données!A138</f>
        <v>5636</v>
      </c>
      <c r="B138" s="184" t="str">
        <f>Données!B138</f>
        <v>Etoy</v>
      </c>
      <c r="C138" s="321">
        <f>VPI!R138</f>
        <v>189458.35050000003</v>
      </c>
      <c r="D138" s="465">
        <f>Données!AP138</f>
        <v>30.11019375937699</v>
      </c>
      <c r="E138" s="379">
        <f>VPI!Q138</f>
        <v>60</v>
      </c>
      <c r="F138" s="225">
        <f t="shared" si="8"/>
        <v>29.88980624062301</v>
      </c>
      <c r="G138" s="223">
        <f>Effort!I138+Aide!I138/Taux!C138+Effort!K138/Taux!C138</f>
        <v>29.967755684176353</v>
      </c>
      <c r="H138" s="83">
        <f t="shared" si="9"/>
        <v>59.857561924799363</v>
      </c>
      <c r="I138" s="208">
        <f t="shared" si="10"/>
        <v>0</v>
      </c>
      <c r="J138" s="42">
        <f t="shared" si="11"/>
        <v>0</v>
      </c>
      <c r="K138" s="5"/>
      <c r="L138" s="10"/>
      <c r="M138" s="11"/>
      <c r="R138" s="11"/>
    </row>
    <row r="139" spans="1:18" x14ac:dyDescent="0.25">
      <c r="A139" s="38">
        <f>Données!A139</f>
        <v>5637</v>
      </c>
      <c r="B139" s="184" t="str">
        <f>Données!B139</f>
        <v>Lavigny</v>
      </c>
      <c r="C139" s="321">
        <f>VPI!R139</f>
        <v>36293.809863013703</v>
      </c>
      <c r="D139" s="465">
        <f>Données!AP139</f>
        <v>20.723978510820064</v>
      </c>
      <c r="E139" s="379">
        <f>VPI!Q139</f>
        <v>73</v>
      </c>
      <c r="F139" s="225">
        <f t="shared" si="8"/>
        <v>52.276021489179939</v>
      </c>
      <c r="G139" s="223">
        <f>Effort!I139+Aide!I139/Taux!C139+Effort!K139/Taux!C139</f>
        <v>11.149651533828468</v>
      </c>
      <c r="H139" s="83">
        <f t="shared" si="9"/>
        <v>63.425673023008407</v>
      </c>
      <c r="I139" s="208">
        <f t="shared" si="10"/>
        <v>0</v>
      </c>
      <c r="J139" s="42">
        <f t="shared" si="11"/>
        <v>0</v>
      </c>
      <c r="K139" s="5"/>
      <c r="L139" s="10"/>
      <c r="M139" s="11"/>
      <c r="R139" s="11"/>
    </row>
    <row r="140" spans="1:18" x14ac:dyDescent="0.25">
      <c r="A140" s="38">
        <f>Données!A140</f>
        <v>5638</v>
      </c>
      <c r="B140" s="184" t="str">
        <f>Données!B140</f>
        <v>Lonay</v>
      </c>
      <c r="C140" s="321">
        <f>VPI!R140</f>
        <v>153893.84090909091</v>
      </c>
      <c r="D140" s="465">
        <f>Données!AP140</f>
        <v>29.670661709047426</v>
      </c>
      <c r="E140" s="379">
        <f>VPI!Q140</f>
        <v>55</v>
      </c>
      <c r="F140" s="225">
        <f t="shared" si="8"/>
        <v>25.329338290952574</v>
      </c>
      <c r="G140" s="223">
        <f>Effort!I140+Aide!I140/Taux!C140+Effort!K140/Taux!C140</f>
        <v>24.541801316962133</v>
      </c>
      <c r="H140" s="83">
        <f t="shared" si="9"/>
        <v>49.871139607914706</v>
      </c>
      <c r="I140" s="208">
        <f t="shared" si="10"/>
        <v>0</v>
      </c>
      <c r="J140" s="42">
        <f t="shared" si="11"/>
        <v>0</v>
      </c>
      <c r="K140" s="5"/>
      <c r="L140" s="10"/>
      <c r="M140" s="11"/>
      <c r="R140" s="11"/>
    </row>
    <row r="141" spans="1:18" x14ac:dyDescent="0.25">
      <c r="A141" s="38">
        <f>Données!A141</f>
        <v>5639</v>
      </c>
      <c r="B141" s="184" t="str">
        <f>Données!B141</f>
        <v>Lully</v>
      </c>
      <c r="C141" s="321">
        <f>VPI!R141</f>
        <v>52242.173114754092</v>
      </c>
      <c r="D141" s="465">
        <f>Données!AP141</f>
        <v>32.666897351810789</v>
      </c>
      <c r="E141" s="379">
        <f>VPI!Q141</f>
        <v>61</v>
      </c>
      <c r="F141" s="225">
        <f t="shared" si="8"/>
        <v>28.333102648189211</v>
      </c>
      <c r="G141" s="223">
        <f>Effort!I141+Aide!I141/Taux!C141+Effort!K141/Taux!C141</f>
        <v>32.097024251248634</v>
      </c>
      <c r="H141" s="83">
        <f t="shared" si="9"/>
        <v>60.430126899437845</v>
      </c>
      <c r="I141" s="208">
        <f t="shared" si="10"/>
        <v>0</v>
      </c>
      <c r="J141" s="42">
        <f t="shared" si="11"/>
        <v>0</v>
      </c>
      <c r="K141" s="5"/>
      <c r="L141" s="10"/>
      <c r="M141" s="11"/>
      <c r="R141" s="11"/>
    </row>
    <row r="142" spans="1:18" x14ac:dyDescent="0.25">
      <c r="A142" s="38">
        <f>Données!A142</f>
        <v>5640</v>
      </c>
      <c r="B142" s="184" t="str">
        <f>Données!B142</f>
        <v>Lussy-sur-Morges</v>
      </c>
      <c r="C142" s="321">
        <f>VPI!R142</f>
        <v>57771.49271317829</v>
      </c>
      <c r="D142" s="465">
        <f>Données!AP142</f>
        <v>39.950806193764585</v>
      </c>
      <c r="E142" s="379">
        <f>VPI!Q142</f>
        <v>64.5</v>
      </c>
      <c r="F142" s="225">
        <f t="shared" si="8"/>
        <v>24.549193806235415</v>
      </c>
      <c r="G142" s="223">
        <f>Effort!I142+Aide!I142/Taux!C142+Effort!K142/Taux!C142</f>
        <v>36.378430442182662</v>
      </c>
      <c r="H142" s="83">
        <f t="shared" si="9"/>
        <v>60.927624248418077</v>
      </c>
      <c r="I142" s="208">
        <f t="shared" si="10"/>
        <v>0</v>
      </c>
      <c r="J142" s="42">
        <f t="shared" si="11"/>
        <v>0</v>
      </c>
      <c r="K142" s="5"/>
      <c r="L142" s="10"/>
      <c r="M142" s="11"/>
      <c r="R142" s="11"/>
    </row>
    <row r="143" spans="1:18" x14ac:dyDescent="0.25">
      <c r="A143" s="38">
        <f>Données!A143</f>
        <v>5642</v>
      </c>
      <c r="B143" s="184" t="str">
        <f>Données!B143</f>
        <v>Morges</v>
      </c>
      <c r="C143" s="321">
        <f>VPI!R143</f>
        <v>980547.23447761196</v>
      </c>
      <c r="D143" s="465">
        <f>Données!AP143</f>
        <v>21.694953838872117</v>
      </c>
      <c r="E143" s="379">
        <f>VPI!Q143</f>
        <v>67</v>
      </c>
      <c r="F143" s="225">
        <f t="shared" si="8"/>
        <v>45.305046161127883</v>
      </c>
      <c r="G143" s="223">
        <f>Effort!I143+Aide!I143/Taux!C143+Effort!K143/Taux!C143</f>
        <v>18.146359001576016</v>
      </c>
      <c r="H143" s="83">
        <f t="shared" si="9"/>
        <v>63.4514051627039</v>
      </c>
      <c r="I143" s="208">
        <f t="shared" si="10"/>
        <v>0</v>
      </c>
      <c r="J143" s="42">
        <f t="shared" si="11"/>
        <v>0</v>
      </c>
      <c r="K143" s="5"/>
      <c r="L143" s="10"/>
      <c r="M143" s="11"/>
      <c r="R143" s="11"/>
    </row>
    <row r="144" spans="1:18" x14ac:dyDescent="0.25">
      <c r="A144" s="38">
        <f>Données!A144</f>
        <v>5643</v>
      </c>
      <c r="B144" s="184" t="str">
        <f>Données!B144</f>
        <v>Préverenges</v>
      </c>
      <c r="C144" s="321">
        <f>VPI!R144</f>
        <v>252724.38943999997</v>
      </c>
      <c r="D144" s="465">
        <f>Données!AP144</f>
        <v>23.580062684023339</v>
      </c>
      <c r="E144" s="379">
        <f>VPI!Q144</f>
        <v>62.5</v>
      </c>
      <c r="F144" s="225">
        <f t="shared" si="8"/>
        <v>38.919937315976661</v>
      </c>
      <c r="G144" s="223">
        <f>Effort!I144+Aide!I144/Taux!C144+Effort!K144/Taux!C144</f>
        <v>22.821921368269741</v>
      </c>
      <c r="H144" s="83">
        <f t="shared" si="9"/>
        <v>61.741858684246402</v>
      </c>
      <c r="I144" s="208">
        <f t="shared" si="10"/>
        <v>0</v>
      </c>
      <c r="J144" s="42">
        <f t="shared" si="11"/>
        <v>0</v>
      </c>
      <c r="K144" s="5"/>
      <c r="L144" s="10"/>
      <c r="M144" s="11"/>
      <c r="R144" s="11"/>
    </row>
    <row r="145" spans="1:18" x14ac:dyDescent="0.25">
      <c r="A145" s="38">
        <f>Données!A145</f>
        <v>5645</v>
      </c>
      <c r="B145" s="184" t="str">
        <f>Données!B145</f>
        <v>Romanel-sur-Morges</v>
      </c>
      <c r="C145" s="321">
        <f>VPI!R145</f>
        <v>23768.997321428575</v>
      </c>
      <c r="D145" s="465">
        <f>Données!AP145</f>
        <v>30.364870537888006</v>
      </c>
      <c r="E145" s="379">
        <f>VPI!Q145</f>
        <v>56</v>
      </c>
      <c r="F145" s="225">
        <f t="shared" si="8"/>
        <v>25.635129462111994</v>
      </c>
      <c r="G145" s="223">
        <f>Effort!I145+Aide!I145/Taux!C145+Effort!K145/Taux!C145</f>
        <v>27.883222937850249</v>
      </c>
      <c r="H145" s="83">
        <f t="shared" si="9"/>
        <v>53.518352399962239</v>
      </c>
      <c r="I145" s="208">
        <f t="shared" si="10"/>
        <v>0</v>
      </c>
      <c r="J145" s="42">
        <f t="shared" si="11"/>
        <v>0</v>
      </c>
      <c r="K145" s="5"/>
      <c r="L145" s="10"/>
      <c r="M145" s="11"/>
      <c r="R145" s="11"/>
    </row>
    <row r="146" spans="1:18" x14ac:dyDescent="0.25">
      <c r="A146" s="38">
        <f>Données!A146</f>
        <v>5646</v>
      </c>
      <c r="B146" s="184" t="str">
        <f>Données!B146</f>
        <v>Saint-Prex</v>
      </c>
      <c r="C146" s="321">
        <f>VPI!R146</f>
        <v>515578.26330508466</v>
      </c>
      <c r="D146" s="465">
        <f>Données!AP146</f>
        <v>35.111281801415565</v>
      </c>
      <c r="E146" s="379">
        <f>VPI!Q146</f>
        <v>59</v>
      </c>
      <c r="F146" s="225">
        <f t="shared" si="8"/>
        <v>23.888718198584435</v>
      </c>
      <c r="G146" s="223">
        <f>Effort!I146+Aide!I146/Taux!C146+Effort!K146/Taux!C146</f>
        <v>34.351540472212001</v>
      </c>
      <c r="H146" s="83">
        <f t="shared" si="9"/>
        <v>58.240258670796436</v>
      </c>
      <c r="I146" s="208">
        <f t="shared" si="10"/>
        <v>0</v>
      </c>
      <c r="J146" s="42">
        <f t="shared" si="11"/>
        <v>0</v>
      </c>
      <c r="K146" s="5"/>
      <c r="L146" s="10"/>
      <c r="M146" s="11"/>
      <c r="R146" s="11"/>
    </row>
    <row r="147" spans="1:18" x14ac:dyDescent="0.25">
      <c r="A147" s="38">
        <f>Données!A147</f>
        <v>5648</v>
      </c>
      <c r="B147" s="184" t="str">
        <f>Données!B147</f>
        <v>Saint-Sulpice</v>
      </c>
      <c r="C147" s="321">
        <f>VPI!R147</f>
        <v>417040.44568181824</v>
      </c>
      <c r="D147" s="465">
        <f>Données!AP147</f>
        <v>32.678407814258158</v>
      </c>
      <c r="E147" s="379">
        <f>VPI!Q147</f>
        <v>55</v>
      </c>
      <c r="F147" s="225">
        <f t="shared" si="8"/>
        <v>22.321592185741842</v>
      </c>
      <c r="G147" s="223">
        <f>Effort!I147+Aide!I147/Taux!C147+Effort!K147/Taux!C147</f>
        <v>33.071586250898754</v>
      </c>
      <c r="H147" s="83">
        <f t="shared" si="9"/>
        <v>55.393178436640596</v>
      </c>
      <c r="I147" s="208">
        <f t="shared" si="10"/>
        <v>0</v>
      </c>
      <c r="J147" s="42">
        <f t="shared" si="11"/>
        <v>0</v>
      </c>
      <c r="K147" s="5"/>
      <c r="L147" s="10"/>
      <c r="M147" s="11"/>
      <c r="R147" s="11"/>
    </row>
    <row r="148" spans="1:18" x14ac:dyDescent="0.25">
      <c r="A148" s="38">
        <f>Données!A148</f>
        <v>5649</v>
      </c>
      <c r="B148" s="184" t="str">
        <f>Données!B148</f>
        <v>Tolochenaz</v>
      </c>
      <c r="C148" s="321">
        <f>VPI!R148</f>
        <v>173464.05234375002</v>
      </c>
      <c r="D148" s="465">
        <f>Données!AP148</f>
        <v>36.041463686557279</v>
      </c>
      <c r="E148" s="379">
        <f>VPI!Q148</f>
        <v>64</v>
      </c>
      <c r="F148" s="225">
        <f t="shared" si="8"/>
        <v>27.958536313442721</v>
      </c>
      <c r="G148" s="223">
        <f>Effort!I148+Aide!I148/Taux!C148+Effort!K148/Taux!C148</f>
        <v>37.892775478483763</v>
      </c>
      <c r="H148" s="83">
        <f t="shared" si="9"/>
        <v>65.851311791926491</v>
      </c>
      <c r="I148" s="208">
        <f t="shared" si="10"/>
        <v>0</v>
      </c>
      <c r="J148" s="42">
        <f t="shared" si="11"/>
        <v>0</v>
      </c>
      <c r="K148" s="5"/>
      <c r="L148" s="10"/>
      <c r="M148" s="11"/>
      <c r="R148" s="11"/>
    </row>
    <row r="149" spans="1:18" x14ac:dyDescent="0.25">
      <c r="A149" s="38">
        <f>Données!A149</f>
        <v>5650</v>
      </c>
      <c r="B149" s="184" t="str">
        <f>Données!B149</f>
        <v>Vaux-sur-Morges</v>
      </c>
      <c r="C149" s="321">
        <f>VPI!R149</f>
        <v>90407.863928571445</v>
      </c>
      <c r="D149" s="465">
        <f>Données!AP149</f>
        <v>57.959022712080113</v>
      </c>
      <c r="E149" s="379">
        <f>VPI!Q149</f>
        <v>56</v>
      </c>
      <c r="F149" s="225">
        <f t="shared" si="8"/>
        <v>-1.9590227120801131</v>
      </c>
      <c r="G149" s="223">
        <f>Effort!I149+Aide!I149/Taux!C149+Effort!K149/Taux!C149</f>
        <v>48</v>
      </c>
      <c r="H149" s="83">
        <f t="shared" si="9"/>
        <v>46.040977287919887</v>
      </c>
      <c r="I149" s="208">
        <f t="shared" si="10"/>
        <v>0</v>
      </c>
      <c r="J149" s="42">
        <f t="shared" si="11"/>
        <v>0</v>
      </c>
      <c r="K149" s="5"/>
      <c r="L149" s="10"/>
      <c r="M149" s="11"/>
      <c r="R149" s="11"/>
    </row>
    <row r="150" spans="1:18" x14ac:dyDescent="0.25">
      <c r="A150" s="38">
        <f>Données!A150</f>
        <v>5651</v>
      </c>
      <c r="B150" s="184" t="str">
        <f>Données!B150</f>
        <v>Villars-Sainte-Croix</v>
      </c>
      <c r="C150" s="321">
        <f>VPI!R150</f>
        <v>56008.147272727285</v>
      </c>
      <c r="D150" s="465">
        <f>Données!AP150</f>
        <v>31.374911077557531</v>
      </c>
      <c r="E150" s="379">
        <f>VPI!Q150</f>
        <v>60.5</v>
      </c>
      <c r="F150" s="225">
        <f t="shared" si="8"/>
        <v>29.125088922442469</v>
      </c>
      <c r="G150" s="223">
        <f>Effort!I150+Aide!I150/Taux!C150+Effort!K150/Taux!C150</f>
        <v>28.63946699598073</v>
      </c>
      <c r="H150" s="83">
        <f t="shared" si="9"/>
        <v>57.764555918423198</v>
      </c>
      <c r="I150" s="208">
        <f t="shared" si="10"/>
        <v>0</v>
      </c>
      <c r="J150" s="42">
        <f t="shared" si="11"/>
        <v>0</v>
      </c>
      <c r="K150" s="5"/>
      <c r="L150" s="10"/>
      <c r="M150" s="11"/>
      <c r="R150" s="11"/>
    </row>
    <row r="151" spans="1:18" x14ac:dyDescent="0.25">
      <c r="A151" s="38">
        <f>Données!A151</f>
        <v>5652</v>
      </c>
      <c r="B151" s="184" t="str">
        <f>Données!B151</f>
        <v>Villars-sous-Yens</v>
      </c>
      <c r="C151" s="321">
        <f>VPI!R151</f>
        <v>25957.212521929825</v>
      </c>
      <c r="D151" s="465">
        <f>Données!AP151</f>
        <v>23.927594865418332</v>
      </c>
      <c r="E151" s="379">
        <f>VPI!Q151</f>
        <v>76</v>
      </c>
      <c r="F151" s="225">
        <f t="shared" si="8"/>
        <v>52.072405134581672</v>
      </c>
      <c r="G151" s="223">
        <f>Effort!I151+Aide!I151/Taux!C151+Effort!K151/Taux!C151</f>
        <v>17.012480597256022</v>
      </c>
      <c r="H151" s="83">
        <f t="shared" si="9"/>
        <v>69.084885731837687</v>
      </c>
      <c r="I151" s="208">
        <f t="shared" si="10"/>
        <v>0</v>
      </c>
      <c r="J151" s="42">
        <f t="shared" si="11"/>
        <v>0</v>
      </c>
      <c r="K151" s="5"/>
      <c r="L151" s="10"/>
      <c r="M151" s="11"/>
      <c r="R151" s="11"/>
    </row>
    <row r="152" spans="1:18" x14ac:dyDescent="0.25">
      <c r="A152" s="38">
        <f>Données!A152</f>
        <v>5653</v>
      </c>
      <c r="B152" s="184" t="str">
        <f>Données!B152</f>
        <v>Vufflens-le-Château</v>
      </c>
      <c r="C152" s="321">
        <f>VPI!R152</f>
        <v>71346.970598290602</v>
      </c>
      <c r="D152" s="465">
        <f>Données!AP152</f>
        <v>35.031043499808696</v>
      </c>
      <c r="E152" s="379">
        <f>VPI!Q152</f>
        <v>58.5</v>
      </c>
      <c r="F152" s="225">
        <f t="shared" si="8"/>
        <v>23.468956500191304</v>
      </c>
      <c r="G152" s="223">
        <f>Effort!I152+Aide!I152/Taux!C152+Effort!K152/Taux!C152</f>
        <v>36.064957194244457</v>
      </c>
      <c r="H152" s="83">
        <f t="shared" si="9"/>
        <v>59.533913694435761</v>
      </c>
      <c r="I152" s="208">
        <f t="shared" si="10"/>
        <v>0</v>
      </c>
      <c r="J152" s="42">
        <f t="shared" si="11"/>
        <v>0</v>
      </c>
      <c r="K152" s="5"/>
      <c r="L152" s="10"/>
      <c r="M152" s="11"/>
      <c r="R152" s="11"/>
    </row>
    <row r="153" spans="1:18" x14ac:dyDescent="0.25">
      <c r="A153" s="38">
        <f>Données!A153</f>
        <v>5654</v>
      </c>
      <c r="B153" s="184" t="str">
        <f>Données!B153</f>
        <v>Vullierens</v>
      </c>
      <c r="C153" s="321">
        <f>VPI!R153</f>
        <v>20741.31131578947</v>
      </c>
      <c r="D153" s="465">
        <f>Données!AP153</f>
        <v>20.290611793518941</v>
      </c>
      <c r="E153" s="379">
        <f>VPI!Q153</f>
        <v>76</v>
      </c>
      <c r="F153" s="225">
        <f t="shared" si="8"/>
        <v>55.709388206481059</v>
      </c>
      <c r="G153" s="223">
        <f>Effort!I153+Aide!I153/Taux!C153+Effort!K153/Taux!C153</f>
        <v>17.894852276911809</v>
      </c>
      <c r="H153" s="83">
        <f t="shared" si="9"/>
        <v>73.604240483392871</v>
      </c>
      <c r="I153" s="208">
        <f t="shared" si="10"/>
        <v>0</v>
      </c>
      <c r="J153" s="42">
        <f t="shared" si="11"/>
        <v>0</v>
      </c>
      <c r="K153" s="5"/>
      <c r="L153" s="10"/>
      <c r="M153" s="11"/>
      <c r="R153" s="11"/>
    </row>
    <row r="154" spans="1:18" x14ac:dyDescent="0.25">
      <c r="A154" s="38">
        <f>Données!A154</f>
        <v>5655</v>
      </c>
      <c r="B154" s="184" t="str">
        <f>Données!B154</f>
        <v>Yens</v>
      </c>
      <c r="C154" s="321">
        <f>VPI!R154</f>
        <v>81488.710349650341</v>
      </c>
      <c r="D154" s="465">
        <f>Données!AP154</f>
        <v>26.958871780481694</v>
      </c>
      <c r="E154" s="379">
        <f>VPI!Q154</f>
        <v>71.5</v>
      </c>
      <c r="F154" s="225">
        <f t="shared" si="8"/>
        <v>44.541128219518306</v>
      </c>
      <c r="G154" s="223">
        <f>Effort!I154+Aide!I154/Taux!C154+Effort!K154/Taux!C154</f>
        <v>28.348973782055907</v>
      </c>
      <c r="H154" s="83">
        <f t="shared" si="9"/>
        <v>72.890102001574206</v>
      </c>
      <c r="I154" s="208">
        <f t="shared" si="10"/>
        <v>0</v>
      </c>
      <c r="J154" s="42">
        <f t="shared" si="11"/>
        <v>0</v>
      </c>
      <c r="K154" s="5"/>
      <c r="L154" s="10"/>
      <c r="M154" s="11"/>
      <c r="R154" s="11"/>
    </row>
    <row r="155" spans="1:18" x14ac:dyDescent="0.25">
      <c r="A155" s="38">
        <f>Données!A155</f>
        <v>5656</v>
      </c>
      <c r="B155" s="184" t="str">
        <f>Données!B155</f>
        <v>Hautemorges</v>
      </c>
      <c r="C155" s="321">
        <f>VPI!R155</f>
        <v>168934.99020689653</v>
      </c>
      <c r="D155" s="465">
        <f>Données!AP155</f>
        <v>23.21</v>
      </c>
      <c r="E155" s="379">
        <f>VPI!Q155</f>
        <v>72.5</v>
      </c>
      <c r="F155" s="225">
        <f t="shared" si="8"/>
        <v>49.29</v>
      </c>
      <c r="G155" s="223">
        <f>Effort!I155+Aide!I155/Taux!C155+Effort!K155/Taux!C155</f>
        <v>11.41326783131283</v>
      </c>
      <c r="H155" s="83">
        <f t="shared" si="9"/>
        <v>60.703267831312829</v>
      </c>
      <c r="I155" s="208">
        <f t="shared" si="10"/>
        <v>0</v>
      </c>
      <c r="J155" s="42">
        <f t="shared" si="11"/>
        <v>0</v>
      </c>
      <c r="K155" s="5"/>
      <c r="L155" s="10"/>
      <c r="M155" s="11"/>
      <c r="R155" s="11"/>
    </row>
    <row r="156" spans="1:18" x14ac:dyDescent="0.25">
      <c r="A156" s="38">
        <f>Données!A156</f>
        <v>5661</v>
      </c>
      <c r="B156" s="184" t="str">
        <f>Données!B156</f>
        <v>Boulens</v>
      </c>
      <c r="C156" s="321">
        <f>VPI!R156</f>
        <v>11008.776923076925</v>
      </c>
      <c r="D156" s="465">
        <f>Données!AP156</f>
        <v>14.49647014161059</v>
      </c>
      <c r="E156" s="379">
        <f>VPI!Q156</f>
        <v>71.5</v>
      </c>
      <c r="F156" s="225">
        <f t="shared" si="8"/>
        <v>57.003529858389413</v>
      </c>
      <c r="G156" s="223">
        <f>Effort!I156+Aide!I156/Taux!C156+Effort!K156/Taux!C156</f>
        <v>10.935567183436195</v>
      </c>
      <c r="H156" s="83">
        <f t="shared" si="9"/>
        <v>67.939097041825605</v>
      </c>
      <c r="I156" s="208">
        <f t="shared" si="10"/>
        <v>0</v>
      </c>
      <c r="J156" s="42">
        <f t="shared" si="11"/>
        <v>0</v>
      </c>
      <c r="K156" s="5"/>
      <c r="L156" s="10"/>
      <c r="M156" s="11"/>
      <c r="R156" s="11"/>
    </row>
    <row r="157" spans="1:18" x14ac:dyDescent="0.25">
      <c r="A157" s="38">
        <f>Données!A157</f>
        <v>5663</v>
      </c>
      <c r="B157" s="184" t="str">
        <f>Données!B157</f>
        <v>Bussy-sur-Moudon</v>
      </c>
      <c r="C157" s="321">
        <f>VPI!R157</f>
        <v>6460.7661146496821</v>
      </c>
      <c r="D157" s="465">
        <f>Données!AP157</f>
        <v>-3.5263371875997129</v>
      </c>
      <c r="E157" s="379">
        <f>VPI!Q157</f>
        <v>78.5</v>
      </c>
      <c r="F157" s="225">
        <f t="shared" si="8"/>
        <v>82.026337187599708</v>
      </c>
      <c r="G157" s="223">
        <f>Effort!I157+Aide!I157/Taux!C157+Effort!K157/Taux!C157</f>
        <v>5.0377878607822915</v>
      </c>
      <c r="H157" s="83">
        <f t="shared" si="9"/>
        <v>87.064125048381996</v>
      </c>
      <c r="I157" s="208">
        <f t="shared" si="10"/>
        <v>0</v>
      </c>
      <c r="J157" s="42">
        <f t="shared" si="11"/>
        <v>0</v>
      </c>
      <c r="K157" s="5"/>
      <c r="L157" s="10"/>
      <c r="M157" s="11"/>
      <c r="R157" s="11"/>
    </row>
    <row r="158" spans="1:18" x14ac:dyDescent="0.25">
      <c r="A158" s="38">
        <f>Données!A158</f>
        <v>5665</v>
      </c>
      <c r="B158" s="184" t="str">
        <f>Données!B158</f>
        <v>Chavannes-sur-Moudon</v>
      </c>
      <c r="C158" s="321">
        <f>VPI!R158</f>
        <v>5786.5608571428584</v>
      </c>
      <c r="D158" s="465">
        <f>Données!AP158</f>
        <v>2.0712709481829124</v>
      </c>
      <c r="E158" s="379">
        <f>VPI!Q158</f>
        <v>70</v>
      </c>
      <c r="F158" s="225">
        <f t="shared" si="8"/>
        <v>67.928729051817086</v>
      </c>
      <c r="G158" s="223">
        <f>Effort!I158+Aide!I158/Taux!C158+Effort!K158/Taux!C158</f>
        <v>5.3867504896878078</v>
      </c>
      <c r="H158" s="83">
        <f t="shared" si="9"/>
        <v>73.315479541504899</v>
      </c>
      <c r="I158" s="208">
        <f t="shared" si="10"/>
        <v>0</v>
      </c>
      <c r="J158" s="42">
        <f t="shared" si="11"/>
        <v>0</v>
      </c>
      <c r="K158" s="5"/>
      <c r="L158" s="10"/>
      <c r="M158" s="11"/>
      <c r="R158" s="11"/>
    </row>
    <row r="159" spans="1:18" x14ac:dyDescent="0.25">
      <c r="A159" s="38">
        <f>Données!A159</f>
        <v>5669</v>
      </c>
      <c r="B159" s="184" t="str">
        <f>Données!B159</f>
        <v>Curtilles</v>
      </c>
      <c r="C159" s="321">
        <f>VPI!R159</f>
        <v>8428.0279452054765</v>
      </c>
      <c r="D159" s="465">
        <f>Données!AP159</f>
        <v>15.535929509168787</v>
      </c>
      <c r="E159" s="379">
        <f>VPI!Q159</f>
        <v>73</v>
      </c>
      <c r="F159" s="225">
        <f t="shared" si="8"/>
        <v>57.464070490831212</v>
      </c>
      <c r="G159" s="223">
        <f>Effort!I159+Aide!I159/Taux!C159+Effort!K159/Taux!C159</f>
        <v>11.56134819053133</v>
      </c>
      <c r="H159" s="83">
        <f t="shared" si="9"/>
        <v>69.025418681362538</v>
      </c>
      <c r="I159" s="208">
        <f t="shared" si="10"/>
        <v>0</v>
      </c>
      <c r="J159" s="42">
        <f t="shared" si="11"/>
        <v>0</v>
      </c>
      <c r="K159" s="5"/>
      <c r="L159" s="10"/>
      <c r="M159" s="11"/>
      <c r="R159" s="11"/>
    </row>
    <row r="160" spans="1:18" x14ac:dyDescent="0.25">
      <c r="A160" s="38">
        <f>Données!A160</f>
        <v>5671</v>
      </c>
      <c r="B160" s="184" t="str">
        <f>Données!B160</f>
        <v>Dompierre</v>
      </c>
      <c r="C160" s="321">
        <f>VPI!R160</f>
        <v>6751.3758974358971</v>
      </c>
      <c r="D160" s="465">
        <f>Données!AP160</f>
        <v>5.6550053553193553</v>
      </c>
      <c r="E160" s="379">
        <f>VPI!Q160</f>
        <v>78</v>
      </c>
      <c r="F160" s="225">
        <f t="shared" si="8"/>
        <v>72.344994644680639</v>
      </c>
      <c r="G160" s="223">
        <f>Effort!I160+Aide!I160/Taux!C160+Effort!K160/Taux!C160</f>
        <v>5.4515273709414007</v>
      </c>
      <c r="H160" s="83">
        <f t="shared" si="9"/>
        <v>77.796522015622045</v>
      </c>
      <c r="I160" s="208">
        <f t="shared" si="10"/>
        <v>0</v>
      </c>
      <c r="J160" s="42">
        <f t="shared" si="11"/>
        <v>0</v>
      </c>
      <c r="K160" s="5"/>
      <c r="L160" s="10"/>
      <c r="M160" s="11"/>
      <c r="R160" s="11"/>
    </row>
    <row r="161" spans="1:18" x14ac:dyDescent="0.25">
      <c r="A161" s="38">
        <f>Données!A161</f>
        <v>5673</v>
      </c>
      <c r="B161" s="184" t="str">
        <f>Données!B161</f>
        <v>Hermenches</v>
      </c>
      <c r="C161" s="321">
        <f>VPI!R161</f>
        <v>9675.0074829931946</v>
      </c>
      <c r="D161" s="465">
        <f>Données!AP161</f>
        <v>10.028649394387617</v>
      </c>
      <c r="E161" s="379">
        <f>VPI!Q161</f>
        <v>73.5</v>
      </c>
      <c r="F161" s="225">
        <f t="shared" si="8"/>
        <v>63.471350605612386</v>
      </c>
      <c r="G161" s="223">
        <f>Effort!I161+Aide!I161/Taux!C161+Effort!K161/Taux!C161</f>
        <v>-0.77046780494944045</v>
      </c>
      <c r="H161" s="83">
        <f t="shared" si="9"/>
        <v>62.700882800662946</v>
      </c>
      <c r="I161" s="208">
        <f t="shared" si="10"/>
        <v>0</v>
      </c>
      <c r="J161" s="42">
        <f t="shared" si="11"/>
        <v>0</v>
      </c>
      <c r="K161" s="5"/>
      <c r="L161" s="10"/>
      <c r="M161" s="11"/>
      <c r="R161" s="11"/>
    </row>
    <row r="162" spans="1:18" x14ac:dyDescent="0.25">
      <c r="A162" s="38">
        <f>Données!A162</f>
        <v>5674</v>
      </c>
      <c r="B162" s="184" t="str">
        <f>Données!B162</f>
        <v>Lovatens</v>
      </c>
      <c r="C162" s="321">
        <f>VPI!R162</f>
        <v>3538.9463999999998</v>
      </c>
      <c r="D162" s="465">
        <f>Données!AP162</f>
        <v>11.417593387189671</v>
      </c>
      <c r="E162" s="379">
        <f>VPI!Q162</f>
        <v>75</v>
      </c>
      <c r="F162" s="225">
        <f t="shared" si="8"/>
        <v>63.582406612810331</v>
      </c>
      <c r="G162" s="223">
        <f>Effort!I162+Aide!I162/Taux!C162+Effort!K162/Taux!C162</f>
        <v>-1.414760044509773</v>
      </c>
      <c r="H162" s="83">
        <f t="shared" si="9"/>
        <v>62.167646568300555</v>
      </c>
      <c r="I162" s="208">
        <f t="shared" si="10"/>
        <v>0</v>
      </c>
      <c r="J162" s="42">
        <f t="shared" si="11"/>
        <v>0</v>
      </c>
      <c r="K162" s="5"/>
      <c r="L162" s="10"/>
      <c r="M162" s="11"/>
      <c r="R162" s="11"/>
    </row>
    <row r="163" spans="1:18" x14ac:dyDescent="0.25">
      <c r="A163" s="38">
        <f>Données!A163</f>
        <v>5675</v>
      </c>
      <c r="B163" s="184" t="str">
        <f>Données!B163</f>
        <v>Lucens</v>
      </c>
      <c r="C163" s="321">
        <f>VPI!R163</f>
        <v>92803.818404185746</v>
      </c>
      <c r="D163" s="465">
        <f>Données!AP163</f>
        <v>-1.9078726133116397</v>
      </c>
      <c r="E163" s="379">
        <f>VPI!Q163</f>
        <v>69.5</v>
      </c>
      <c r="F163" s="225">
        <f t="shared" si="8"/>
        <v>71.407872613311639</v>
      </c>
      <c r="G163" s="223">
        <f>Effort!I163+Aide!I163/Taux!C163+Effort!K163/Taux!C163</f>
        <v>-18.72487754469709</v>
      </c>
      <c r="H163" s="83">
        <f t="shared" si="9"/>
        <v>52.682995068614545</v>
      </c>
      <c r="I163" s="208">
        <f t="shared" si="10"/>
        <v>0</v>
      </c>
      <c r="J163" s="42">
        <f t="shared" si="11"/>
        <v>0</v>
      </c>
      <c r="K163" s="5"/>
      <c r="L163" s="10"/>
      <c r="M163" s="11"/>
      <c r="R163" s="11"/>
    </row>
    <row r="164" spans="1:18" x14ac:dyDescent="0.25">
      <c r="A164" s="38">
        <f>Données!A164</f>
        <v>5678</v>
      </c>
      <c r="B164" s="184" t="str">
        <f>Données!B164</f>
        <v>Moudon</v>
      </c>
      <c r="C164" s="321">
        <f>VPI!R164</f>
        <v>130675.7416551724</v>
      </c>
      <c r="D164" s="465">
        <f>Données!AP164</f>
        <v>-17.91780532672507</v>
      </c>
      <c r="E164" s="379">
        <f>VPI!Q164</f>
        <v>72.5</v>
      </c>
      <c r="F164" s="225">
        <f t="shared" si="8"/>
        <v>90.417805326725073</v>
      </c>
      <c r="G164" s="223">
        <f>Effort!I164+Aide!I164/Taux!C164+Effort!K164/Taux!C164</f>
        <v>-22.617649273493583</v>
      </c>
      <c r="H164" s="83">
        <f t="shared" si="9"/>
        <v>67.80015605323149</v>
      </c>
      <c r="I164" s="208">
        <f t="shared" si="10"/>
        <v>0</v>
      </c>
      <c r="J164" s="42">
        <f t="shared" si="11"/>
        <v>0</v>
      </c>
      <c r="K164" s="5"/>
      <c r="L164" s="10"/>
      <c r="M164" s="11"/>
      <c r="R164" s="11"/>
    </row>
    <row r="165" spans="1:18" x14ac:dyDescent="0.25">
      <c r="A165" s="38">
        <f>Données!A165</f>
        <v>5680</v>
      </c>
      <c r="B165" s="184" t="str">
        <f>Données!B165</f>
        <v>Ogens</v>
      </c>
      <c r="C165" s="321">
        <f>VPI!R165</f>
        <v>10096.830811965814</v>
      </c>
      <c r="D165" s="465">
        <f>Données!AP165</f>
        <v>6.0441160707446988</v>
      </c>
      <c r="E165" s="379">
        <f>VPI!Q165</f>
        <v>78</v>
      </c>
      <c r="F165" s="225">
        <f t="shared" si="8"/>
        <v>71.955883929255307</v>
      </c>
      <c r="G165" s="223">
        <f>Effort!I165+Aide!I165/Taux!C165+Effort!K165/Taux!C165</f>
        <v>11.613423937439357</v>
      </c>
      <c r="H165" s="83">
        <f t="shared" si="9"/>
        <v>83.569307866694658</v>
      </c>
      <c r="I165" s="208">
        <f t="shared" si="10"/>
        <v>0</v>
      </c>
      <c r="J165" s="42">
        <f t="shared" si="11"/>
        <v>0</v>
      </c>
      <c r="K165" s="5"/>
      <c r="L165" s="10"/>
      <c r="M165" s="11"/>
      <c r="R165" s="11"/>
    </row>
    <row r="166" spans="1:18" x14ac:dyDescent="0.25">
      <c r="A166" s="38">
        <f>Données!A166</f>
        <v>5683</v>
      </c>
      <c r="B166" s="184" t="str">
        <f>Données!B166</f>
        <v>Prévonloup</v>
      </c>
      <c r="C166" s="321">
        <f>VPI!R166</f>
        <v>5181.5891034482765</v>
      </c>
      <c r="D166" s="465">
        <f>Données!AP166</f>
        <v>6.3178602989642156</v>
      </c>
      <c r="E166" s="379">
        <f>VPI!Q166</f>
        <v>72.5</v>
      </c>
      <c r="F166" s="225">
        <f t="shared" si="8"/>
        <v>66.18213970103578</v>
      </c>
      <c r="G166" s="223">
        <f>Effort!I166+Aide!I166/Taux!C166+Effort!K166/Taux!C166</f>
        <v>-25.859584048617773</v>
      </c>
      <c r="H166" s="83">
        <f t="shared" si="9"/>
        <v>40.322555652418004</v>
      </c>
      <c r="I166" s="208">
        <f t="shared" si="10"/>
        <v>0</v>
      </c>
      <c r="J166" s="42">
        <f t="shared" si="11"/>
        <v>0</v>
      </c>
      <c r="K166" s="5"/>
      <c r="L166" s="10"/>
      <c r="M166" s="11"/>
      <c r="R166" s="11"/>
    </row>
    <row r="167" spans="1:18" x14ac:dyDescent="0.25">
      <c r="A167" s="38">
        <f>Données!A167</f>
        <v>5684</v>
      </c>
      <c r="B167" s="184" t="str">
        <f>Données!B167</f>
        <v>Rossenges</v>
      </c>
      <c r="C167" s="321">
        <f>VPI!R167</f>
        <v>7033.3142000000007</v>
      </c>
      <c r="D167" s="465">
        <f>Données!AP167</f>
        <v>18.676643175524021</v>
      </c>
      <c r="E167" s="379">
        <f>VPI!Q167</f>
        <v>75</v>
      </c>
      <c r="F167" s="225">
        <f t="shared" si="8"/>
        <v>56.323356824475979</v>
      </c>
      <c r="G167" s="223">
        <f>Effort!I167+Aide!I167/Taux!C167+Effort!K167/Taux!C167</f>
        <v>36.477555941478762</v>
      </c>
      <c r="H167" s="83">
        <f t="shared" si="9"/>
        <v>92.800912765954735</v>
      </c>
      <c r="I167" s="208">
        <f t="shared" si="10"/>
        <v>0</v>
      </c>
      <c r="J167" s="42">
        <f t="shared" si="11"/>
        <v>0</v>
      </c>
      <c r="K167" s="5"/>
      <c r="L167" s="10"/>
      <c r="M167" s="11"/>
      <c r="R167" s="11"/>
    </row>
    <row r="168" spans="1:18" x14ac:dyDescent="0.25">
      <c r="A168" s="38">
        <f>Données!A168</f>
        <v>5688</v>
      </c>
      <c r="B168" s="184" t="str">
        <f>Données!B168</f>
        <v>Syens</v>
      </c>
      <c r="C168" s="321">
        <f>VPI!R168</f>
        <v>5277.0104615384616</v>
      </c>
      <c r="D168" s="465">
        <f>Données!AP168</f>
        <v>23.102382640777282</v>
      </c>
      <c r="E168" s="379">
        <f>VPI!Q168</f>
        <v>65</v>
      </c>
      <c r="F168" s="225">
        <f t="shared" si="8"/>
        <v>41.897617359222721</v>
      </c>
      <c r="G168" s="223">
        <f>Effort!I168+Aide!I168/Taux!C168+Effort!K168/Taux!C168</f>
        <v>14.779363934611737</v>
      </c>
      <c r="H168" s="83">
        <f t="shared" si="9"/>
        <v>56.676981293834459</v>
      </c>
      <c r="I168" s="208">
        <f t="shared" si="10"/>
        <v>0</v>
      </c>
      <c r="J168" s="42">
        <f t="shared" si="11"/>
        <v>0</v>
      </c>
      <c r="K168" s="5"/>
      <c r="L168" s="10"/>
      <c r="M168" s="11"/>
      <c r="R168" s="11"/>
    </row>
    <row r="169" spans="1:18" x14ac:dyDescent="0.25">
      <c r="A169" s="38">
        <f>Données!A169</f>
        <v>5690</v>
      </c>
      <c r="B169" s="184" t="str">
        <f>Données!B169</f>
        <v>Villars-le-Comte</v>
      </c>
      <c r="C169" s="321">
        <f>VPI!R169</f>
        <v>4331.3836666666666</v>
      </c>
      <c r="D169" s="465">
        <f>Données!AP169</f>
        <v>9.811980845597013</v>
      </c>
      <c r="E169" s="379">
        <f>VPI!Q169</f>
        <v>70</v>
      </c>
      <c r="F169" s="225">
        <f t="shared" si="8"/>
        <v>60.188019154402987</v>
      </c>
      <c r="G169" s="223">
        <f>Effort!I169+Aide!I169/Taux!C169+Effort!K169/Taux!C169</f>
        <v>16.005605482068347</v>
      </c>
      <c r="H169" s="83">
        <f t="shared" si="9"/>
        <v>76.193624636471327</v>
      </c>
      <c r="I169" s="208">
        <f t="shared" si="10"/>
        <v>0</v>
      </c>
      <c r="J169" s="42">
        <f t="shared" si="11"/>
        <v>0</v>
      </c>
      <c r="K169" s="5"/>
      <c r="L169" s="10"/>
      <c r="M169" s="11"/>
      <c r="R169" s="11"/>
    </row>
    <row r="170" spans="1:18" x14ac:dyDescent="0.25">
      <c r="A170" s="38">
        <f>Données!A170</f>
        <v>5692</v>
      </c>
      <c r="B170" s="184" t="str">
        <f>Données!B170</f>
        <v>Vucherens</v>
      </c>
      <c r="C170" s="321">
        <f>VPI!R170</f>
        <v>18948.300519480523</v>
      </c>
      <c r="D170" s="465">
        <f>Données!AP170</f>
        <v>12.410454905275152</v>
      </c>
      <c r="E170" s="379">
        <f>VPI!Q170</f>
        <v>77</v>
      </c>
      <c r="F170" s="225">
        <f t="shared" si="8"/>
        <v>64.589545094724855</v>
      </c>
      <c r="G170" s="223">
        <f>Effort!I170+Aide!I170/Taux!C170+Effort!K170/Taux!C170</f>
        <v>6.3393648962981342</v>
      </c>
      <c r="H170" s="83">
        <f t="shared" si="9"/>
        <v>70.928909991022991</v>
      </c>
      <c r="I170" s="208">
        <f t="shared" si="10"/>
        <v>0</v>
      </c>
      <c r="J170" s="42">
        <f t="shared" si="11"/>
        <v>0</v>
      </c>
      <c r="K170" s="5"/>
      <c r="L170" s="10"/>
      <c r="M170" s="11"/>
      <c r="R170" s="11"/>
    </row>
    <row r="171" spans="1:18" x14ac:dyDescent="0.25">
      <c r="A171" s="38">
        <f>Données!A171</f>
        <v>5693</v>
      </c>
      <c r="B171" s="184" t="str">
        <f>Données!B171</f>
        <v>Montanaire</v>
      </c>
      <c r="C171" s="321">
        <f>VPI!R171</f>
        <v>80078.044999999984</v>
      </c>
      <c r="D171" s="465">
        <f>Données!AP171</f>
        <v>5.9845115236161428</v>
      </c>
      <c r="E171" s="379">
        <f>VPI!Q171</f>
        <v>70</v>
      </c>
      <c r="F171" s="225">
        <f t="shared" si="8"/>
        <v>64.015488476383851</v>
      </c>
      <c r="G171" s="223">
        <f>Effort!I171+Aide!I171/Taux!C171+Effort!K171/Taux!C171</f>
        <v>-0.93491179994764906</v>
      </c>
      <c r="H171" s="83">
        <f t="shared" si="9"/>
        <v>63.080576676436202</v>
      </c>
      <c r="I171" s="208">
        <f t="shared" si="10"/>
        <v>0</v>
      </c>
      <c r="J171" s="42">
        <f t="shared" si="11"/>
        <v>0</v>
      </c>
      <c r="K171" s="5"/>
      <c r="L171" s="10"/>
      <c r="M171" s="11"/>
      <c r="R171" s="11"/>
    </row>
    <row r="172" spans="1:18" x14ac:dyDescent="0.25">
      <c r="A172" s="38">
        <f>Données!A172</f>
        <v>5701</v>
      </c>
      <c r="B172" s="184" t="str">
        <f>Données!B172</f>
        <v>Arnex-sur-Nyon</v>
      </c>
      <c r="C172" s="321">
        <f>VPI!R172</f>
        <v>12996.826285714285</v>
      </c>
      <c r="D172" s="465">
        <f>Données!AP172</f>
        <v>32.997916489324467</v>
      </c>
      <c r="E172" s="379">
        <f>VPI!Q172</f>
        <v>70</v>
      </c>
      <c r="F172" s="225">
        <f t="shared" si="8"/>
        <v>37.002083510675533</v>
      </c>
      <c r="G172" s="223">
        <f>Effort!I172+Aide!I172/Taux!C172+Effort!K172/Taux!C172</f>
        <v>29.862537305276511</v>
      </c>
      <c r="H172" s="83">
        <f t="shared" si="9"/>
        <v>66.864620815952037</v>
      </c>
      <c r="I172" s="208">
        <f t="shared" si="10"/>
        <v>0</v>
      </c>
      <c r="J172" s="42">
        <f t="shared" si="11"/>
        <v>0</v>
      </c>
      <c r="K172" s="5"/>
      <c r="L172" s="10"/>
      <c r="M172" s="11"/>
      <c r="R172" s="11"/>
    </row>
    <row r="173" spans="1:18" x14ac:dyDescent="0.25">
      <c r="A173" s="38">
        <f>Données!A173</f>
        <v>5702</v>
      </c>
      <c r="B173" s="184" t="str">
        <f>Données!B173</f>
        <v>Arzier-Le Muids</v>
      </c>
      <c r="C173" s="321">
        <f>VPI!R173</f>
        <v>187984.45531250001</v>
      </c>
      <c r="D173" s="465">
        <f>Données!AP173</f>
        <v>28.74679314608375</v>
      </c>
      <c r="E173" s="379">
        <f>VPI!Q173</f>
        <v>64</v>
      </c>
      <c r="F173" s="225">
        <f t="shared" si="8"/>
        <v>35.253206853916254</v>
      </c>
      <c r="G173" s="223">
        <f>Effort!I173+Aide!I173/Taux!C173+Effort!K173/Taux!C173</f>
        <v>27.074770742769786</v>
      </c>
      <c r="H173" s="83">
        <f t="shared" si="9"/>
        <v>62.32797759668604</v>
      </c>
      <c r="I173" s="208">
        <f t="shared" si="10"/>
        <v>0</v>
      </c>
      <c r="J173" s="42">
        <f t="shared" si="11"/>
        <v>0</v>
      </c>
      <c r="K173" s="5"/>
      <c r="L173" s="10"/>
      <c r="M173" s="11"/>
      <c r="R173" s="11"/>
    </row>
    <row r="174" spans="1:18" x14ac:dyDescent="0.25">
      <c r="A174" s="38">
        <f>Données!A174</f>
        <v>5703</v>
      </c>
      <c r="B174" s="184" t="str">
        <f>Données!B174</f>
        <v>Bassins</v>
      </c>
      <c r="C174" s="321">
        <f>VPI!R174</f>
        <v>65441.246975369453</v>
      </c>
      <c r="D174" s="465">
        <f>Données!AP174</f>
        <v>24.81736067408449</v>
      </c>
      <c r="E174" s="379">
        <f>VPI!Q174</f>
        <v>72.5</v>
      </c>
      <c r="F174" s="225">
        <f t="shared" si="8"/>
        <v>47.68263932591551</v>
      </c>
      <c r="G174" s="223">
        <f>Effort!I174+Aide!I174/Taux!C174+Effort!K174/Taux!C174</f>
        <v>24.175749835349858</v>
      </c>
      <c r="H174" s="83">
        <f t="shared" si="9"/>
        <v>71.858389161265364</v>
      </c>
      <c r="I174" s="208">
        <f t="shared" si="10"/>
        <v>0</v>
      </c>
      <c r="J174" s="42">
        <f t="shared" si="11"/>
        <v>0</v>
      </c>
      <c r="K174" s="5"/>
      <c r="L174" s="10"/>
      <c r="M174" s="11"/>
      <c r="R174" s="11"/>
    </row>
    <row r="175" spans="1:18" x14ac:dyDescent="0.25">
      <c r="A175" s="38">
        <f>Données!A175</f>
        <v>5704</v>
      </c>
      <c r="B175" s="184" t="str">
        <f>Données!B175</f>
        <v>Begnins</v>
      </c>
      <c r="C175" s="321">
        <f>VPI!R175</f>
        <v>129730.03685333332</v>
      </c>
      <c r="D175" s="465">
        <f>Données!AP175</f>
        <v>40.422784337461025</v>
      </c>
      <c r="E175" s="379">
        <f>VPI!Q175</f>
        <v>62.5</v>
      </c>
      <c r="F175" s="225">
        <f t="shared" si="8"/>
        <v>22.077215662538975</v>
      </c>
      <c r="G175" s="223">
        <f>Effort!I175+Aide!I175/Taux!C175+Effort!K175/Taux!C175</f>
        <v>31.437504532317469</v>
      </c>
      <c r="H175" s="83">
        <f t="shared" si="9"/>
        <v>53.514720194856444</v>
      </c>
      <c r="I175" s="208">
        <f t="shared" si="10"/>
        <v>0</v>
      </c>
      <c r="J175" s="42">
        <f t="shared" si="11"/>
        <v>0</v>
      </c>
      <c r="K175" s="5"/>
      <c r="L175" s="10"/>
      <c r="M175" s="11"/>
      <c r="R175" s="11"/>
    </row>
    <row r="176" spans="1:18" x14ac:dyDescent="0.25">
      <c r="A176" s="38">
        <f>Données!A176</f>
        <v>5705</v>
      </c>
      <c r="B176" s="184" t="str">
        <f>Données!B176</f>
        <v>Bogis-Bossey</v>
      </c>
      <c r="C176" s="321">
        <f>VPI!R176</f>
        <v>51044.070201342278</v>
      </c>
      <c r="D176" s="465">
        <f>Données!AP176</f>
        <v>31.351349142717599</v>
      </c>
      <c r="E176" s="379">
        <f>VPI!Q176</f>
        <v>74.5</v>
      </c>
      <c r="F176" s="225">
        <f t="shared" si="8"/>
        <v>43.148650857282405</v>
      </c>
      <c r="G176" s="223">
        <f>Effort!I176+Aide!I176/Taux!C176+Effort!K176/Taux!C176</f>
        <v>30.28354329242292</v>
      </c>
      <c r="H176" s="83">
        <f t="shared" si="9"/>
        <v>73.432194149705325</v>
      </c>
      <c r="I176" s="208">
        <f t="shared" si="10"/>
        <v>0</v>
      </c>
      <c r="J176" s="42">
        <f t="shared" si="11"/>
        <v>0</v>
      </c>
      <c r="K176" s="5"/>
      <c r="L176" s="10"/>
      <c r="M176" s="11"/>
      <c r="R176" s="11"/>
    </row>
    <row r="177" spans="1:18" x14ac:dyDescent="0.25">
      <c r="A177" s="38">
        <f>Données!A177</f>
        <v>5706</v>
      </c>
      <c r="B177" s="184" t="str">
        <f>Données!B177</f>
        <v>Borex</v>
      </c>
      <c r="C177" s="321">
        <f>VPI!R177</f>
        <v>156857.9796491228</v>
      </c>
      <c r="D177" s="465">
        <f>Données!AP177</f>
        <v>30.949683807793424</v>
      </c>
      <c r="E177" s="379">
        <f>VPI!Q177</f>
        <v>57</v>
      </c>
      <c r="F177" s="225">
        <f t="shared" si="8"/>
        <v>26.050316192206576</v>
      </c>
      <c r="G177" s="223">
        <f>Effort!I177+Aide!I177/Taux!C177+Effort!K177/Taux!C177</f>
        <v>44.804667049331172</v>
      </c>
      <c r="H177" s="83">
        <f t="shared" si="9"/>
        <v>70.854983241537752</v>
      </c>
      <c r="I177" s="208">
        <f t="shared" si="10"/>
        <v>0</v>
      </c>
      <c r="J177" s="42">
        <f t="shared" si="11"/>
        <v>0</v>
      </c>
      <c r="K177" s="5"/>
      <c r="L177" s="10"/>
      <c r="M177" s="11"/>
      <c r="R177" s="11"/>
    </row>
    <row r="178" spans="1:18" x14ac:dyDescent="0.25">
      <c r="A178" s="38">
        <f>Données!A178</f>
        <v>5707</v>
      </c>
      <c r="B178" s="184" t="str">
        <f>Données!B178</f>
        <v>Chavannes-de-Bogis</v>
      </c>
      <c r="C178" s="321">
        <f>VPI!R178</f>
        <v>86804.197126436775</v>
      </c>
      <c r="D178" s="465">
        <f>Données!AP178</f>
        <v>31.953930542812945</v>
      </c>
      <c r="E178" s="379">
        <f>VPI!Q178</f>
        <v>58</v>
      </c>
      <c r="F178" s="225">
        <f t="shared" si="8"/>
        <v>26.046069457187055</v>
      </c>
      <c r="G178" s="223">
        <f>Effort!I178+Aide!I178/Taux!C178+Effort!K178/Taux!C178</f>
        <v>31.764809407237852</v>
      </c>
      <c r="H178" s="83">
        <f t="shared" si="9"/>
        <v>57.810878864424907</v>
      </c>
      <c r="I178" s="208">
        <f t="shared" si="10"/>
        <v>0</v>
      </c>
      <c r="J178" s="42">
        <f t="shared" si="11"/>
        <v>0</v>
      </c>
      <c r="K178" s="5"/>
      <c r="L178" s="10"/>
      <c r="M178" s="11"/>
      <c r="R178" s="11"/>
    </row>
    <row r="179" spans="1:18" x14ac:dyDescent="0.25">
      <c r="A179" s="38">
        <f>Données!A179</f>
        <v>5708</v>
      </c>
      <c r="B179" s="184" t="str">
        <f>Données!B179</f>
        <v>Chavannes-des-Bois</v>
      </c>
      <c r="C179" s="321">
        <f>VPI!R179</f>
        <v>68806.761617647047</v>
      </c>
      <c r="D179" s="465">
        <f>Données!AP179</f>
        <v>33.56930142890549</v>
      </c>
      <c r="E179" s="379">
        <f>VPI!Q179</f>
        <v>68</v>
      </c>
      <c r="F179" s="225">
        <f t="shared" si="8"/>
        <v>34.43069857109451</v>
      </c>
      <c r="G179" s="223">
        <f>Effort!I179+Aide!I179/Taux!C179+Effort!K179/Taux!C179</f>
        <v>33.581036673242508</v>
      </c>
      <c r="H179" s="83">
        <f t="shared" si="9"/>
        <v>68.011735244337018</v>
      </c>
      <c r="I179" s="208">
        <f t="shared" si="10"/>
        <v>0</v>
      </c>
      <c r="J179" s="42">
        <f t="shared" si="11"/>
        <v>0</v>
      </c>
      <c r="K179" s="5"/>
      <c r="L179" s="10"/>
      <c r="M179" s="11"/>
      <c r="R179" s="11"/>
    </row>
    <row r="180" spans="1:18" x14ac:dyDescent="0.25">
      <c r="A180" s="38">
        <f>Données!A180</f>
        <v>5709</v>
      </c>
      <c r="B180" s="184" t="str">
        <f>Données!B180</f>
        <v>Chéserex</v>
      </c>
      <c r="C180" s="321">
        <f>VPI!R180</f>
        <v>90983.63491228073</v>
      </c>
      <c r="D180" s="465">
        <f>Données!AP180</f>
        <v>32.880538137603345</v>
      </c>
      <c r="E180" s="379">
        <f>VPI!Q180</f>
        <v>57</v>
      </c>
      <c r="F180" s="225">
        <f t="shared" si="8"/>
        <v>24.119461862396655</v>
      </c>
      <c r="G180" s="223">
        <f>Effort!I180+Aide!I180/Taux!C180+Effort!K180/Taux!C180</f>
        <v>33.30679006850719</v>
      </c>
      <c r="H180" s="83">
        <f t="shared" si="9"/>
        <v>57.426251930903845</v>
      </c>
      <c r="I180" s="208">
        <f t="shared" si="10"/>
        <v>0</v>
      </c>
      <c r="J180" s="42">
        <f t="shared" si="11"/>
        <v>0</v>
      </c>
      <c r="K180" s="5"/>
      <c r="L180" s="10"/>
      <c r="M180" s="11"/>
      <c r="R180" s="11"/>
    </row>
    <row r="181" spans="1:18" x14ac:dyDescent="0.25">
      <c r="A181" s="38">
        <f>Données!A181</f>
        <v>5710</v>
      </c>
      <c r="B181" s="184" t="str">
        <f>Données!B181</f>
        <v>Coinsins</v>
      </c>
      <c r="C181" s="321">
        <f>VPI!R181</f>
        <v>33549.646470588232</v>
      </c>
      <c r="D181" s="465">
        <f>Données!AP181</f>
        <v>36.218506905666679</v>
      </c>
      <c r="E181" s="379">
        <f>VPI!Q181</f>
        <v>51</v>
      </c>
      <c r="F181" s="225">
        <f t="shared" si="8"/>
        <v>14.781493094333321</v>
      </c>
      <c r="G181" s="223">
        <f>Effort!I181+Aide!I181/Taux!C181+Effort!K181/Taux!C181</f>
        <v>32.391392142168087</v>
      </c>
      <c r="H181" s="83">
        <f t="shared" si="9"/>
        <v>47.172885236501408</v>
      </c>
      <c r="I181" s="208">
        <f t="shared" si="10"/>
        <v>0</v>
      </c>
      <c r="J181" s="42">
        <f t="shared" si="11"/>
        <v>0</v>
      </c>
      <c r="K181" s="5"/>
      <c r="L181" s="10"/>
      <c r="M181" s="11"/>
      <c r="R181" s="11"/>
    </row>
    <row r="182" spans="1:18" x14ac:dyDescent="0.25">
      <c r="A182" s="38">
        <f>Données!A182</f>
        <v>5711</v>
      </c>
      <c r="B182" s="184" t="str">
        <f>Données!B182</f>
        <v>Commugny</v>
      </c>
      <c r="C182" s="321">
        <f>VPI!R182</f>
        <v>305461.09360323887</v>
      </c>
      <c r="D182" s="465">
        <f>Données!AP182</f>
        <v>36.9412331537659</v>
      </c>
      <c r="E182" s="379">
        <f>VPI!Q182</f>
        <v>57</v>
      </c>
      <c r="F182" s="225">
        <f t="shared" si="8"/>
        <v>20.0587668462341</v>
      </c>
      <c r="G182" s="223">
        <f>Effort!I182+Aide!I182/Taux!C182+Effort!K182/Taux!C182</f>
        <v>38.431291721262255</v>
      </c>
      <c r="H182" s="83">
        <f t="shared" si="9"/>
        <v>58.490058567496355</v>
      </c>
      <c r="I182" s="208">
        <f t="shared" si="10"/>
        <v>0</v>
      </c>
      <c r="J182" s="42">
        <f t="shared" si="11"/>
        <v>0</v>
      </c>
      <c r="K182" s="5"/>
      <c r="L182" s="10"/>
      <c r="M182" s="11"/>
      <c r="R182" s="11"/>
    </row>
    <row r="183" spans="1:18" x14ac:dyDescent="0.25">
      <c r="A183" s="38">
        <f>Données!A183</f>
        <v>5712</v>
      </c>
      <c r="B183" s="184" t="str">
        <f>Données!B183</f>
        <v>Coppet</v>
      </c>
      <c r="C183" s="321">
        <f>VPI!R183</f>
        <v>422782.58779874217</v>
      </c>
      <c r="D183" s="465">
        <f>Données!AP183</f>
        <v>38.037232224813991</v>
      </c>
      <c r="E183" s="379">
        <f>VPI!Q183</f>
        <v>53</v>
      </c>
      <c r="F183" s="225">
        <f t="shared" si="8"/>
        <v>14.962767775186009</v>
      </c>
      <c r="G183" s="223">
        <f>Effort!I183+Aide!I183/Taux!C183+Effort!K183/Taux!C183</f>
        <v>42.074768950776672</v>
      </c>
      <c r="H183" s="83">
        <f t="shared" si="9"/>
        <v>57.037536725962681</v>
      </c>
      <c r="I183" s="208">
        <f t="shared" si="10"/>
        <v>0</v>
      </c>
      <c r="J183" s="42">
        <f t="shared" si="11"/>
        <v>0</v>
      </c>
      <c r="K183" s="5"/>
      <c r="L183" s="10"/>
      <c r="M183" s="11"/>
      <c r="R183" s="11"/>
    </row>
    <row r="184" spans="1:18" x14ac:dyDescent="0.25">
      <c r="A184" s="38">
        <f>Données!A184</f>
        <v>5713</v>
      </c>
      <c r="B184" s="184" t="str">
        <f>Données!B184</f>
        <v>Crans</v>
      </c>
      <c r="C184" s="321">
        <f>VPI!R184</f>
        <v>284269.17355932208</v>
      </c>
      <c r="D184" s="465">
        <f>Données!AP184</f>
        <v>42.611100485799973</v>
      </c>
      <c r="E184" s="379">
        <f>VPI!Q184</f>
        <v>59</v>
      </c>
      <c r="F184" s="225">
        <f t="shared" si="8"/>
        <v>16.388899514200027</v>
      </c>
      <c r="G184" s="223">
        <f>Effort!I184+Aide!I184/Taux!C184+Effort!K184/Taux!C184</f>
        <v>42.210744917496946</v>
      </c>
      <c r="H184" s="83">
        <f t="shared" si="9"/>
        <v>58.599644431696973</v>
      </c>
      <c r="I184" s="208">
        <f t="shared" si="10"/>
        <v>0</v>
      </c>
      <c r="J184" s="42">
        <f t="shared" si="11"/>
        <v>0</v>
      </c>
      <c r="K184" s="5"/>
      <c r="L184" s="10"/>
      <c r="M184" s="11"/>
      <c r="R184" s="11"/>
    </row>
    <row r="185" spans="1:18" x14ac:dyDescent="0.25">
      <c r="A185" s="38">
        <f>Données!A185</f>
        <v>5714</v>
      </c>
      <c r="B185" s="184" t="str">
        <f>Données!B185</f>
        <v>Crassier</v>
      </c>
      <c r="C185" s="321">
        <f>VPI!R185</f>
        <v>62524.655789473691</v>
      </c>
      <c r="D185" s="465">
        <f>Données!AP185</f>
        <v>28.155699452486139</v>
      </c>
      <c r="E185" s="379">
        <f>VPI!Q185</f>
        <v>66.5</v>
      </c>
      <c r="F185" s="225">
        <f t="shared" si="8"/>
        <v>38.344300547513861</v>
      </c>
      <c r="G185" s="223">
        <f>Effort!I185+Aide!I185/Taux!C185+Effort!K185/Taux!C185</f>
        <v>27.953283555782527</v>
      </c>
      <c r="H185" s="83">
        <f t="shared" si="9"/>
        <v>66.297584103296387</v>
      </c>
      <c r="I185" s="208">
        <f t="shared" si="10"/>
        <v>0</v>
      </c>
      <c r="J185" s="42">
        <f t="shared" si="11"/>
        <v>0</v>
      </c>
      <c r="K185" s="5"/>
      <c r="L185" s="10"/>
      <c r="M185" s="11"/>
      <c r="R185" s="11"/>
    </row>
    <row r="186" spans="1:18" x14ac:dyDescent="0.25">
      <c r="A186" s="38">
        <f>Données!A186</f>
        <v>5715</v>
      </c>
      <c r="B186" s="184" t="str">
        <f>Données!B186</f>
        <v>Duillier</v>
      </c>
      <c r="C186" s="321">
        <f>VPI!R186</f>
        <v>60550.113787878792</v>
      </c>
      <c r="D186" s="465">
        <f>Données!AP186</f>
        <v>31.517191779927614</v>
      </c>
      <c r="E186" s="379">
        <f>VPI!Q186</f>
        <v>66</v>
      </c>
      <c r="F186" s="225">
        <f t="shared" si="8"/>
        <v>34.482808220072386</v>
      </c>
      <c r="G186" s="223">
        <f>Effort!I186+Aide!I186/Taux!C186+Effort!K186/Taux!C186</f>
        <v>29.360597637069112</v>
      </c>
      <c r="H186" s="83">
        <f t="shared" si="9"/>
        <v>63.843405857141498</v>
      </c>
      <c r="I186" s="208">
        <f t="shared" si="10"/>
        <v>0</v>
      </c>
      <c r="J186" s="42">
        <f t="shared" si="11"/>
        <v>0</v>
      </c>
      <c r="K186" s="5"/>
      <c r="L186" s="10"/>
      <c r="M186" s="11"/>
      <c r="R186" s="11"/>
    </row>
    <row r="187" spans="1:18" x14ac:dyDescent="0.25">
      <c r="A187" s="38">
        <f>Données!A187</f>
        <v>5716</v>
      </c>
      <c r="B187" s="184" t="str">
        <f>Données!B187</f>
        <v>Eysins</v>
      </c>
      <c r="C187" s="321">
        <f>VPI!R187</f>
        <v>232557.04084033609</v>
      </c>
      <c r="D187" s="465">
        <f>Données!AP187</f>
        <v>42.300609849685735</v>
      </c>
      <c r="E187" s="379">
        <f>VPI!Q187</f>
        <v>59.5</v>
      </c>
      <c r="F187" s="225">
        <f t="shared" si="8"/>
        <v>17.199390150314265</v>
      </c>
      <c r="G187" s="223">
        <f>Effort!I187+Aide!I187/Taux!C187+Effort!K187/Taux!C187</f>
        <v>44.088040299129268</v>
      </c>
      <c r="H187" s="83">
        <f t="shared" si="9"/>
        <v>61.287430449443534</v>
      </c>
      <c r="I187" s="208">
        <f t="shared" si="10"/>
        <v>0</v>
      </c>
      <c r="J187" s="42">
        <f t="shared" si="11"/>
        <v>0</v>
      </c>
      <c r="K187" s="5"/>
      <c r="L187" s="10"/>
      <c r="M187" s="11"/>
      <c r="R187" s="11"/>
    </row>
    <row r="188" spans="1:18" x14ac:dyDescent="0.25">
      <c r="A188" s="38">
        <f>Données!A188</f>
        <v>5717</v>
      </c>
      <c r="B188" s="184" t="str">
        <f>Données!B188</f>
        <v>Founex</v>
      </c>
      <c r="C188" s="321">
        <f>VPI!R188</f>
        <v>361582.97087719297</v>
      </c>
      <c r="D188" s="465">
        <f>Données!AP188</f>
        <v>38.117729228444745</v>
      </c>
      <c r="E188" s="379">
        <f>VPI!Q188</f>
        <v>57</v>
      </c>
      <c r="F188" s="225">
        <f t="shared" si="8"/>
        <v>18.882270771555255</v>
      </c>
      <c r="G188" s="223">
        <f>Effort!I188+Aide!I188/Taux!C188+Effort!K188/Taux!C188</f>
        <v>36.618012567773633</v>
      </c>
      <c r="H188" s="83">
        <f t="shared" si="9"/>
        <v>55.500283339328888</v>
      </c>
      <c r="I188" s="208">
        <f t="shared" si="10"/>
        <v>0</v>
      </c>
      <c r="J188" s="42">
        <f t="shared" si="11"/>
        <v>0</v>
      </c>
      <c r="K188" s="5"/>
      <c r="L188" s="10"/>
      <c r="M188" s="11"/>
      <c r="R188" s="11"/>
    </row>
    <row r="189" spans="1:18" x14ac:dyDescent="0.25">
      <c r="A189" s="38">
        <f>Données!A189</f>
        <v>5718</v>
      </c>
      <c r="B189" s="184" t="str">
        <f>Données!B189</f>
        <v>Genolier</v>
      </c>
      <c r="C189" s="321">
        <f>VPI!R189</f>
        <v>212699.2265454545</v>
      </c>
      <c r="D189" s="465">
        <f>Données!AP189</f>
        <v>37.191282319079278</v>
      </c>
      <c r="E189" s="379">
        <f>VPI!Q189</f>
        <v>55</v>
      </c>
      <c r="F189" s="225">
        <f t="shared" si="8"/>
        <v>17.808717680920722</v>
      </c>
      <c r="G189" s="223">
        <f>Effort!I189+Aide!I189/Taux!C189+Effort!K189/Taux!C189</f>
        <v>38.913344607510851</v>
      </c>
      <c r="H189" s="83">
        <f t="shared" si="9"/>
        <v>56.722062288431573</v>
      </c>
      <c r="I189" s="208">
        <f t="shared" si="10"/>
        <v>0</v>
      </c>
      <c r="J189" s="42">
        <f t="shared" si="11"/>
        <v>0</v>
      </c>
      <c r="K189" s="5"/>
      <c r="L189" s="10"/>
      <c r="M189" s="11"/>
      <c r="R189" s="11"/>
    </row>
    <row r="190" spans="1:18" x14ac:dyDescent="0.25">
      <c r="A190" s="38">
        <f>Données!A190</f>
        <v>5719</v>
      </c>
      <c r="B190" s="184" t="str">
        <f>Données!B190</f>
        <v>Gingins</v>
      </c>
      <c r="C190" s="321">
        <f>VPI!R190</f>
        <v>119943.29911111109</v>
      </c>
      <c r="D190" s="465">
        <f>Données!AP190</f>
        <v>43.150176058436685</v>
      </c>
      <c r="E190" s="379">
        <f>VPI!Q190</f>
        <v>60</v>
      </c>
      <c r="F190" s="225">
        <f t="shared" si="8"/>
        <v>16.849823941563315</v>
      </c>
      <c r="G190" s="223">
        <f>Effort!I190+Aide!I190/Taux!C190+Effort!K190/Taux!C190</f>
        <v>38.414106709798268</v>
      </c>
      <c r="H190" s="83">
        <f t="shared" si="9"/>
        <v>55.263930651361584</v>
      </c>
      <c r="I190" s="208">
        <f t="shared" si="10"/>
        <v>0</v>
      </c>
      <c r="J190" s="42">
        <f t="shared" si="11"/>
        <v>0</v>
      </c>
      <c r="K190" s="5"/>
      <c r="L190" s="10"/>
      <c r="M190" s="11"/>
      <c r="R190" s="11"/>
    </row>
    <row r="191" spans="1:18" x14ac:dyDescent="0.25">
      <c r="A191" s="38">
        <f>Données!A191</f>
        <v>5720</v>
      </c>
      <c r="B191" s="184" t="str">
        <f>Données!B191</f>
        <v>Givrins</v>
      </c>
      <c r="C191" s="321">
        <f>VPI!R191</f>
        <v>84868.432139303477</v>
      </c>
      <c r="D191" s="465">
        <f>Données!AP191</f>
        <v>35.35867391486471</v>
      </c>
      <c r="E191" s="379">
        <f>VPI!Q191</f>
        <v>67</v>
      </c>
      <c r="F191" s="225">
        <f t="shared" si="8"/>
        <v>31.64132608513529</v>
      </c>
      <c r="G191" s="223">
        <f>Effort!I191+Aide!I191/Taux!C191+Effort!K191/Taux!C191</f>
        <v>37.310821814596622</v>
      </c>
      <c r="H191" s="83">
        <f t="shared" si="9"/>
        <v>68.952147899731912</v>
      </c>
      <c r="I191" s="208">
        <f t="shared" si="10"/>
        <v>0</v>
      </c>
      <c r="J191" s="42">
        <f t="shared" si="11"/>
        <v>0</v>
      </c>
      <c r="K191" s="5"/>
      <c r="L191" s="10"/>
      <c r="M191" s="11"/>
      <c r="R191" s="11"/>
    </row>
    <row r="192" spans="1:18" x14ac:dyDescent="0.25">
      <c r="A192" s="38">
        <f>Données!A192</f>
        <v>5721</v>
      </c>
      <c r="B192" s="184" t="str">
        <f>Données!B192</f>
        <v>Gland</v>
      </c>
      <c r="C192" s="321">
        <f>VPI!R192</f>
        <v>688985.30491803284</v>
      </c>
      <c r="D192" s="465">
        <f>Données!AP192</f>
        <v>21.032440887060329</v>
      </c>
      <c r="E192" s="379">
        <f>VPI!Q192</f>
        <v>61</v>
      </c>
      <c r="F192" s="225">
        <f t="shared" si="8"/>
        <v>39.967559112939668</v>
      </c>
      <c r="G192" s="223">
        <f>Effort!I192+Aide!I192/Taux!C192+Effort!K192/Taux!C192</f>
        <v>18.553828181100826</v>
      </c>
      <c r="H192" s="83">
        <f t="shared" si="9"/>
        <v>58.521387294040494</v>
      </c>
      <c r="I192" s="208">
        <f t="shared" si="10"/>
        <v>0</v>
      </c>
      <c r="J192" s="42">
        <f t="shared" si="11"/>
        <v>0</v>
      </c>
      <c r="K192" s="5"/>
      <c r="L192" s="10"/>
      <c r="M192" s="11"/>
      <c r="R192" s="11"/>
    </row>
    <row r="193" spans="1:18" x14ac:dyDescent="0.25">
      <c r="A193" s="38">
        <f>Données!A193</f>
        <v>5722</v>
      </c>
      <c r="B193" s="184" t="str">
        <f>Données!B193</f>
        <v>Grens</v>
      </c>
      <c r="C193" s="321">
        <f>VPI!R193</f>
        <v>20912.723225806454</v>
      </c>
      <c r="D193" s="465">
        <f>Données!AP193</f>
        <v>30.22780518248096</v>
      </c>
      <c r="E193" s="379">
        <f>VPI!Q193</f>
        <v>62</v>
      </c>
      <c r="F193" s="225">
        <f t="shared" si="8"/>
        <v>31.77219481751904</v>
      </c>
      <c r="G193" s="223">
        <f>Effort!I193+Aide!I193/Taux!C193+Effort!K193/Taux!C193</f>
        <v>29.212020206164333</v>
      </c>
      <c r="H193" s="83">
        <f t="shared" si="9"/>
        <v>60.984215023683376</v>
      </c>
      <c r="I193" s="208">
        <f t="shared" si="10"/>
        <v>0</v>
      </c>
      <c r="J193" s="42">
        <f t="shared" si="11"/>
        <v>0</v>
      </c>
      <c r="K193" s="5"/>
      <c r="L193" s="10"/>
      <c r="M193" s="11"/>
      <c r="R193" s="11"/>
    </row>
    <row r="194" spans="1:18" x14ac:dyDescent="0.25">
      <c r="A194" s="38">
        <f>Données!A194</f>
        <v>5723</v>
      </c>
      <c r="B194" s="184" t="str">
        <f>Données!B194</f>
        <v>Mies</v>
      </c>
      <c r="C194" s="321">
        <f>VPI!R194</f>
        <v>253771.19326923077</v>
      </c>
      <c r="D194" s="465">
        <f>Données!AP194</f>
        <v>39.602707688370103</v>
      </c>
      <c r="E194" s="379">
        <f>VPI!Q194</f>
        <v>52</v>
      </c>
      <c r="F194" s="225">
        <f t="shared" si="8"/>
        <v>12.397292311629897</v>
      </c>
      <c r="G194" s="223">
        <f>Effort!I194+Aide!I194/Taux!C194+Effort!K194/Taux!C194</f>
        <v>39.709309261542899</v>
      </c>
      <c r="H194" s="83">
        <f t="shared" si="9"/>
        <v>52.106601573172796</v>
      </c>
      <c r="I194" s="208">
        <f t="shared" si="10"/>
        <v>0</v>
      </c>
      <c r="J194" s="42">
        <f t="shared" si="11"/>
        <v>0</v>
      </c>
      <c r="K194" s="5"/>
      <c r="L194" s="10"/>
      <c r="M194" s="11"/>
      <c r="R194" s="11"/>
    </row>
    <row r="195" spans="1:18" x14ac:dyDescent="0.25">
      <c r="A195" s="38">
        <f>Données!A195</f>
        <v>5724</v>
      </c>
      <c r="B195" s="184" t="str">
        <f>Données!B195</f>
        <v>Nyon</v>
      </c>
      <c r="C195" s="321">
        <f>VPI!R195</f>
        <v>1520148.6004918031</v>
      </c>
      <c r="D195" s="465">
        <f>Données!AP195</f>
        <v>23.076374267772266</v>
      </c>
      <c r="E195" s="379">
        <f>VPI!Q195</f>
        <v>61</v>
      </c>
      <c r="F195" s="225">
        <f t="shared" si="8"/>
        <v>37.923625732227734</v>
      </c>
      <c r="G195" s="223">
        <f>Effort!I195+Aide!I195/Taux!C195+Effort!K195/Taux!C195</f>
        <v>22.166834817432175</v>
      </c>
      <c r="H195" s="83">
        <f t="shared" si="9"/>
        <v>60.090460549659909</v>
      </c>
      <c r="I195" s="208">
        <f t="shared" si="10"/>
        <v>0</v>
      </c>
      <c r="J195" s="42">
        <f t="shared" si="11"/>
        <v>0</v>
      </c>
      <c r="K195" s="5"/>
      <c r="L195" s="10"/>
      <c r="M195" s="11"/>
      <c r="R195" s="11"/>
    </row>
    <row r="196" spans="1:18" x14ac:dyDescent="0.25">
      <c r="A196" s="38">
        <f>Données!A196</f>
        <v>5725</v>
      </c>
      <c r="B196" s="184" t="str">
        <f>Données!B196</f>
        <v>Prangins</v>
      </c>
      <c r="C196" s="321">
        <f>VPI!R196</f>
        <v>388958.996077922</v>
      </c>
      <c r="D196" s="465">
        <f>Données!AP196</f>
        <v>34.740421829830062</v>
      </c>
      <c r="E196" s="379">
        <f>VPI!Q196</f>
        <v>55</v>
      </c>
      <c r="F196" s="225">
        <f t="shared" si="8"/>
        <v>20.259578170169938</v>
      </c>
      <c r="G196" s="223">
        <f>Effort!I196+Aide!I196/Taux!C196+Effort!K196/Taux!C196</f>
        <v>35.114580984343441</v>
      </c>
      <c r="H196" s="83">
        <f t="shared" si="9"/>
        <v>55.374159154513379</v>
      </c>
      <c r="I196" s="208">
        <f t="shared" si="10"/>
        <v>0</v>
      </c>
      <c r="J196" s="42">
        <f t="shared" si="11"/>
        <v>0</v>
      </c>
      <c r="K196" s="5"/>
      <c r="L196" s="10"/>
      <c r="M196" s="11"/>
      <c r="R196" s="11"/>
    </row>
    <row r="197" spans="1:18" x14ac:dyDescent="0.25">
      <c r="A197" s="38">
        <f>Données!A197</f>
        <v>5726</v>
      </c>
      <c r="B197" s="184" t="str">
        <f>Données!B197</f>
        <v>La Rippe</v>
      </c>
      <c r="C197" s="321">
        <f>VPI!R197</f>
        <v>69785.913125000021</v>
      </c>
      <c r="D197" s="465">
        <f>Données!AP197</f>
        <v>31.051857605946381</v>
      </c>
      <c r="E197" s="379">
        <f>VPI!Q197</f>
        <v>64</v>
      </c>
      <c r="F197" s="225">
        <f t="shared" si="8"/>
        <v>32.948142394053619</v>
      </c>
      <c r="G197" s="223">
        <f>Effort!I197+Aide!I197/Taux!C197+Effort!K197/Taux!C197</f>
        <v>30.080380665858542</v>
      </c>
      <c r="H197" s="83">
        <f t="shared" si="9"/>
        <v>63.02852305991216</v>
      </c>
      <c r="I197" s="208">
        <f t="shared" si="10"/>
        <v>0</v>
      </c>
      <c r="J197" s="42">
        <f t="shared" si="11"/>
        <v>0</v>
      </c>
      <c r="K197" s="5"/>
      <c r="L197" s="10"/>
      <c r="M197" s="11"/>
      <c r="R197" s="11"/>
    </row>
    <row r="198" spans="1:18" x14ac:dyDescent="0.25">
      <c r="A198" s="38">
        <f>Données!A198</f>
        <v>5727</v>
      </c>
      <c r="B198" s="184" t="str">
        <f>Données!B198</f>
        <v>Saint-Cergue</v>
      </c>
      <c r="C198" s="321">
        <f>VPI!R198</f>
        <v>107048.1634848485</v>
      </c>
      <c r="D198" s="465">
        <f>Données!AP198</f>
        <v>19.455512067654794</v>
      </c>
      <c r="E198" s="379">
        <f>VPI!Q198</f>
        <v>66</v>
      </c>
      <c r="F198" s="225">
        <f t="shared" si="8"/>
        <v>46.544487932345206</v>
      </c>
      <c r="G198" s="223">
        <f>Effort!I198+Aide!I198/Taux!C198+Effort!K198/Taux!C198</f>
        <v>15.711513172774904</v>
      </c>
      <c r="H198" s="83">
        <f t="shared" si="9"/>
        <v>62.256001105120106</v>
      </c>
      <c r="I198" s="208">
        <f t="shared" si="10"/>
        <v>0</v>
      </c>
      <c r="J198" s="42">
        <f t="shared" si="11"/>
        <v>0</v>
      </c>
      <c r="K198" s="5"/>
      <c r="L198" s="10"/>
      <c r="M198" s="11"/>
      <c r="R198" s="11"/>
    </row>
    <row r="199" spans="1:18" x14ac:dyDescent="0.25">
      <c r="A199" s="38">
        <f>Données!A199</f>
        <v>5728</v>
      </c>
      <c r="B199" s="184" t="str">
        <f>Données!B199</f>
        <v>Signy-Avenex</v>
      </c>
      <c r="C199" s="321">
        <f>VPI!R199</f>
        <v>66000.760172413793</v>
      </c>
      <c r="D199" s="465">
        <f>Données!AP199</f>
        <v>39.121042377372483</v>
      </c>
      <c r="E199" s="379">
        <f>VPI!Q199</f>
        <v>58</v>
      </c>
      <c r="F199" s="225">
        <f t="shared" ref="F199:F262" si="12">E199-D199</f>
        <v>18.878957622627517</v>
      </c>
      <c r="G199" s="223">
        <f>Effort!I199+Aide!I199/Taux!C199+Effort!K199/Taux!C199</f>
        <v>41.998246179172696</v>
      </c>
      <c r="H199" s="83">
        <f t="shared" ref="H199:H262" si="13">F199+G199</f>
        <v>60.877203801800214</v>
      </c>
      <c r="I199" s="208">
        <f t="shared" ref="I199:I262" si="14">IF(H199&gt;$I$5,H199-$I$5,0)</f>
        <v>0</v>
      </c>
      <c r="J199" s="42">
        <f t="shared" ref="J199:J262" si="15">-I199*C199</f>
        <v>0</v>
      </c>
      <c r="K199" s="5"/>
      <c r="L199" s="10"/>
      <c r="M199" s="11"/>
      <c r="R199" s="11"/>
    </row>
    <row r="200" spans="1:18" x14ac:dyDescent="0.25">
      <c r="A200" s="38">
        <f>Données!A200</f>
        <v>5729</v>
      </c>
      <c r="B200" s="184" t="str">
        <f>Données!B200</f>
        <v>Tannay</v>
      </c>
      <c r="C200" s="321">
        <f>VPI!R200</f>
        <v>189085.86771349865</v>
      </c>
      <c r="D200" s="465">
        <f>Données!AP200</f>
        <v>38.994866513266651</v>
      </c>
      <c r="E200" s="379">
        <f>VPI!Q200</f>
        <v>60.5</v>
      </c>
      <c r="F200" s="225">
        <f t="shared" si="12"/>
        <v>21.505133486733349</v>
      </c>
      <c r="G200" s="223">
        <f>Effort!I200+Aide!I200/Taux!C200+Effort!K200/Taux!C200</f>
        <v>41.095743048560223</v>
      </c>
      <c r="H200" s="83">
        <f t="shared" si="13"/>
        <v>62.600876535293573</v>
      </c>
      <c r="I200" s="208">
        <f t="shared" si="14"/>
        <v>0</v>
      </c>
      <c r="J200" s="42">
        <f t="shared" si="15"/>
        <v>0</v>
      </c>
      <c r="K200" s="5"/>
      <c r="L200" s="10"/>
      <c r="M200" s="11"/>
      <c r="R200" s="11"/>
    </row>
    <row r="201" spans="1:18" x14ac:dyDescent="0.25">
      <c r="A201" s="38">
        <f>Données!A201</f>
        <v>5730</v>
      </c>
      <c r="B201" s="184" t="str">
        <f>Données!B201</f>
        <v>Trélex</v>
      </c>
      <c r="C201" s="321">
        <f>VPI!R201</f>
        <v>121414.34176176177</v>
      </c>
      <c r="D201" s="465">
        <f>Données!AP201</f>
        <v>36.306995366624541</v>
      </c>
      <c r="E201" s="379">
        <f>VPI!Q201</f>
        <v>55.5</v>
      </c>
      <c r="F201" s="225">
        <f t="shared" si="12"/>
        <v>19.193004633375459</v>
      </c>
      <c r="G201" s="223">
        <f>Effort!I201+Aide!I201/Taux!C201+Effort!K201/Taux!C201</f>
        <v>35.782577357546948</v>
      </c>
      <c r="H201" s="83">
        <f t="shared" si="13"/>
        <v>54.975581990922407</v>
      </c>
      <c r="I201" s="208">
        <f t="shared" si="14"/>
        <v>0</v>
      </c>
      <c r="J201" s="42">
        <f t="shared" si="15"/>
        <v>0</v>
      </c>
      <c r="K201" s="5"/>
      <c r="L201" s="10"/>
      <c r="M201" s="11"/>
      <c r="R201" s="11"/>
    </row>
    <row r="202" spans="1:18" x14ac:dyDescent="0.25">
      <c r="A202" s="38">
        <f>Données!A202</f>
        <v>5731</v>
      </c>
      <c r="B202" s="184" t="str">
        <f>Données!B202</f>
        <v>Le Vaud</v>
      </c>
      <c r="C202" s="321">
        <f>VPI!R202</f>
        <v>69610.558648648643</v>
      </c>
      <c r="D202" s="465">
        <f>Données!AP202</f>
        <v>27.643849329530372</v>
      </c>
      <c r="E202" s="379">
        <f>VPI!Q202</f>
        <v>74</v>
      </c>
      <c r="F202" s="225">
        <f t="shared" si="12"/>
        <v>46.356150670469631</v>
      </c>
      <c r="G202" s="223">
        <f>Effort!I202+Aide!I202/Taux!C202+Effort!K202/Taux!C202</f>
        <v>26.687278588744938</v>
      </c>
      <c r="H202" s="83">
        <f t="shared" si="13"/>
        <v>73.043429259214577</v>
      </c>
      <c r="I202" s="208">
        <f t="shared" si="14"/>
        <v>0</v>
      </c>
      <c r="J202" s="42">
        <f t="shared" si="15"/>
        <v>0</v>
      </c>
      <c r="K202" s="5"/>
      <c r="L202" s="10"/>
      <c r="M202" s="11"/>
      <c r="R202" s="11"/>
    </row>
    <row r="203" spans="1:18" x14ac:dyDescent="0.25">
      <c r="A203" s="38">
        <f>Données!A203</f>
        <v>5732</v>
      </c>
      <c r="B203" s="184" t="str">
        <f>Données!B203</f>
        <v>Vich</v>
      </c>
      <c r="C203" s="321">
        <f>VPI!R203</f>
        <v>79861.73920634923</v>
      </c>
      <c r="D203" s="465">
        <f>Données!AP203</f>
        <v>34.819557375944861</v>
      </c>
      <c r="E203" s="379">
        <f>VPI!Q203</f>
        <v>63</v>
      </c>
      <c r="F203" s="225">
        <f t="shared" si="12"/>
        <v>28.180442624055139</v>
      </c>
      <c r="G203" s="223">
        <f>Effort!I203+Aide!I203/Taux!C203+Effort!K203/Taux!C203</f>
        <v>33.143106773698563</v>
      </c>
      <c r="H203" s="83">
        <f t="shared" si="13"/>
        <v>61.323549397753702</v>
      </c>
      <c r="I203" s="208">
        <f t="shared" si="14"/>
        <v>0</v>
      </c>
      <c r="J203" s="42">
        <f t="shared" si="15"/>
        <v>0</v>
      </c>
      <c r="K203" s="5"/>
      <c r="L203" s="10"/>
      <c r="M203" s="11"/>
      <c r="R203" s="11"/>
    </row>
    <row r="204" spans="1:18" x14ac:dyDescent="0.25">
      <c r="A204" s="38">
        <f>Données!A204</f>
        <v>5741</v>
      </c>
      <c r="B204" s="184" t="str">
        <f>Données!B204</f>
        <v>L'Abergement</v>
      </c>
      <c r="C204" s="321">
        <f>VPI!R204</f>
        <v>10833.904395833331</v>
      </c>
      <c r="D204" s="465">
        <f>Données!AP204</f>
        <v>17.693972680900419</v>
      </c>
      <c r="E204" s="379">
        <f>VPI!Q204</f>
        <v>80</v>
      </c>
      <c r="F204" s="225">
        <f t="shared" si="12"/>
        <v>62.306027319099584</v>
      </c>
      <c r="G204" s="223">
        <f>Effort!I204+Aide!I204/Taux!C204+Effort!K204/Taux!C204</f>
        <v>13.003966846726909</v>
      </c>
      <c r="H204" s="83">
        <f t="shared" si="13"/>
        <v>75.309994165826495</v>
      </c>
      <c r="I204" s="208">
        <f t="shared" si="14"/>
        <v>0</v>
      </c>
      <c r="J204" s="42">
        <f t="shared" si="15"/>
        <v>0</v>
      </c>
      <c r="K204" s="5"/>
      <c r="L204" s="10"/>
      <c r="M204" s="11"/>
      <c r="R204" s="11"/>
    </row>
    <row r="205" spans="1:18" x14ac:dyDescent="0.25">
      <c r="A205" s="38">
        <f>Données!A205</f>
        <v>5742</v>
      </c>
      <c r="B205" s="184" t="str">
        <f>Données!B205</f>
        <v>Agiez</v>
      </c>
      <c r="C205" s="321">
        <f>VPI!R205</f>
        <v>9049.0364473684222</v>
      </c>
      <c r="D205" s="465">
        <f>Données!AP205</f>
        <v>8.1147105995731152</v>
      </c>
      <c r="E205" s="379">
        <f>VPI!Q205</f>
        <v>76</v>
      </c>
      <c r="F205" s="225">
        <f t="shared" si="12"/>
        <v>67.885289400426885</v>
      </c>
      <c r="G205" s="223">
        <f>Effort!I205+Aide!I205/Taux!C205+Effort!K205/Taux!C205</f>
        <v>-3.272966502468698</v>
      </c>
      <c r="H205" s="83">
        <f t="shared" si="13"/>
        <v>64.612322897958194</v>
      </c>
      <c r="I205" s="208">
        <f t="shared" si="14"/>
        <v>0</v>
      </c>
      <c r="J205" s="42">
        <f t="shared" si="15"/>
        <v>0</v>
      </c>
      <c r="K205" s="5"/>
      <c r="L205" s="10"/>
      <c r="M205" s="11"/>
      <c r="R205" s="11"/>
    </row>
    <row r="206" spans="1:18" x14ac:dyDescent="0.25">
      <c r="A206" s="38">
        <f>Données!A206</f>
        <v>5743</v>
      </c>
      <c r="B206" s="184" t="str">
        <f>Données!B206</f>
        <v>Arnex-sur-Orbe</v>
      </c>
      <c r="C206" s="321">
        <f>VPI!R206</f>
        <v>19423.544507042254</v>
      </c>
      <c r="D206" s="465">
        <f>Données!AP206</f>
        <v>11.551154018614382</v>
      </c>
      <c r="E206" s="379">
        <f>VPI!Q206</f>
        <v>71</v>
      </c>
      <c r="F206" s="225">
        <f t="shared" si="12"/>
        <v>59.448845981385617</v>
      </c>
      <c r="G206" s="223">
        <f>Effort!I206+Aide!I206/Taux!C206+Effort!K206/Taux!C206</f>
        <v>6.8119880003497215</v>
      </c>
      <c r="H206" s="83">
        <f t="shared" si="13"/>
        <v>66.260833981735345</v>
      </c>
      <c r="I206" s="208">
        <f t="shared" si="14"/>
        <v>0</v>
      </c>
      <c r="J206" s="42">
        <f t="shared" si="15"/>
        <v>0</v>
      </c>
      <c r="K206" s="5"/>
      <c r="L206" s="10"/>
      <c r="M206" s="11"/>
      <c r="R206" s="11"/>
    </row>
    <row r="207" spans="1:18" x14ac:dyDescent="0.25">
      <c r="A207" s="38">
        <f>Données!A207</f>
        <v>5744</v>
      </c>
      <c r="B207" s="184" t="str">
        <f>Données!B207</f>
        <v>Ballaigues</v>
      </c>
      <c r="C207" s="321">
        <f>VPI!R207</f>
        <v>54105.101538461538</v>
      </c>
      <c r="D207" s="465">
        <f>Données!AP207</f>
        <v>24.515662321226372</v>
      </c>
      <c r="E207" s="379">
        <f>VPI!Q207</f>
        <v>65</v>
      </c>
      <c r="F207" s="225">
        <f t="shared" si="12"/>
        <v>40.484337678773628</v>
      </c>
      <c r="G207" s="223">
        <f>Effort!I207+Aide!I207/Taux!C207+Effort!K207/Taux!C207</f>
        <v>20.953296590609654</v>
      </c>
      <c r="H207" s="83">
        <f t="shared" si="13"/>
        <v>61.437634269383281</v>
      </c>
      <c r="I207" s="208">
        <f t="shared" si="14"/>
        <v>0</v>
      </c>
      <c r="J207" s="42">
        <f t="shared" si="15"/>
        <v>0</v>
      </c>
      <c r="K207" s="5"/>
      <c r="L207" s="10"/>
      <c r="M207" s="11"/>
      <c r="R207" s="11"/>
    </row>
    <row r="208" spans="1:18" x14ac:dyDescent="0.25">
      <c r="A208" s="38">
        <f>Données!A208</f>
        <v>5745</v>
      </c>
      <c r="B208" s="184" t="str">
        <f>Données!B208</f>
        <v>Baulmes</v>
      </c>
      <c r="C208" s="321">
        <f>VPI!R208</f>
        <v>27705.104967320265</v>
      </c>
      <c r="D208" s="465">
        <f>Données!AP208</f>
        <v>3.5676346023429093</v>
      </c>
      <c r="E208" s="379">
        <f>VPI!Q208</f>
        <v>76.5</v>
      </c>
      <c r="F208" s="225">
        <f t="shared" si="12"/>
        <v>72.932365397657094</v>
      </c>
      <c r="G208" s="223">
        <f>Effort!I208+Aide!I208/Taux!C208+Effort!K208/Taux!C208</f>
        <v>-11.914551699050268</v>
      </c>
      <c r="H208" s="83">
        <f t="shared" si="13"/>
        <v>61.01781369860683</v>
      </c>
      <c r="I208" s="208">
        <f t="shared" si="14"/>
        <v>0</v>
      </c>
      <c r="J208" s="42">
        <f t="shared" si="15"/>
        <v>0</v>
      </c>
      <c r="K208" s="5"/>
      <c r="L208" s="10"/>
      <c r="M208" s="11"/>
      <c r="R208" s="11"/>
    </row>
    <row r="209" spans="1:18" x14ac:dyDescent="0.25">
      <c r="A209" s="38">
        <f>Données!A209</f>
        <v>5746</v>
      </c>
      <c r="B209" s="184" t="str">
        <f>Données!B209</f>
        <v>Bavois</v>
      </c>
      <c r="C209" s="321">
        <f>VPI!R209</f>
        <v>29513.59275462963</v>
      </c>
      <c r="D209" s="465">
        <f>Données!AP209</f>
        <v>10.933888880133827</v>
      </c>
      <c r="E209" s="379">
        <f>VPI!Q209</f>
        <v>72</v>
      </c>
      <c r="F209" s="225">
        <f t="shared" si="12"/>
        <v>61.066111119866171</v>
      </c>
      <c r="G209" s="223">
        <f>Effort!I209+Aide!I209/Taux!C209+Effort!K209/Taux!C209</f>
        <v>3.7668708356104936</v>
      </c>
      <c r="H209" s="83">
        <f t="shared" si="13"/>
        <v>64.832981955476669</v>
      </c>
      <c r="I209" s="208">
        <f t="shared" si="14"/>
        <v>0</v>
      </c>
      <c r="J209" s="42">
        <f t="shared" si="15"/>
        <v>0</v>
      </c>
      <c r="K209" s="5"/>
      <c r="L209" s="10"/>
      <c r="M209" s="11"/>
      <c r="R209" s="11"/>
    </row>
    <row r="210" spans="1:18" x14ac:dyDescent="0.25">
      <c r="A210" s="38">
        <f>Données!A210</f>
        <v>5747</v>
      </c>
      <c r="B210" s="184" t="str">
        <f>Données!B210</f>
        <v>Bofflens</v>
      </c>
      <c r="C210" s="321">
        <f>VPI!R210</f>
        <v>5778.0378260869547</v>
      </c>
      <c r="D210" s="465">
        <f>Données!AP210</f>
        <v>12.807572334153326</v>
      </c>
      <c r="E210" s="379">
        <f>VPI!Q210</f>
        <v>69</v>
      </c>
      <c r="F210" s="225">
        <f t="shared" si="12"/>
        <v>56.192427665846672</v>
      </c>
      <c r="G210" s="223">
        <f>Effort!I210+Aide!I210/Taux!C210+Effort!K210/Taux!C210</f>
        <v>9.1147716126191138</v>
      </c>
      <c r="H210" s="83">
        <f t="shared" si="13"/>
        <v>65.307199278465788</v>
      </c>
      <c r="I210" s="208">
        <f t="shared" si="14"/>
        <v>0</v>
      </c>
      <c r="J210" s="42">
        <f t="shared" si="15"/>
        <v>0</v>
      </c>
      <c r="K210" s="5"/>
      <c r="L210" s="10"/>
      <c r="M210" s="11"/>
      <c r="R210" s="11"/>
    </row>
    <row r="211" spans="1:18" x14ac:dyDescent="0.25">
      <c r="A211" s="38">
        <f>Données!A211</f>
        <v>5748</v>
      </c>
      <c r="B211" s="184" t="str">
        <f>Données!B211</f>
        <v>Bretonnières</v>
      </c>
      <c r="C211" s="321">
        <f>VPI!R211</f>
        <v>6762.4759338061467</v>
      </c>
      <c r="D211" s="465">
        <f>Données!AP211</f>
        <v>7.247871459037559</v>
      </c>
      <c r="E211" s="379">
        <f>VPI!Q211</f>
        <v>70.5</v>
      </c>
      <c r="F211" s="225">
        <f t="shared" si="12"/>
        <v>63.252128540962438</v>
      </c>
      <c r="G211" s="223">
        <f>Effort!I211+Aide!I211/Taux!C211+Effort!K211/Taux!C211</f>
        <v>-4.1448816293246828</v>
      </c>
      <c r="H211" s="83">
        <f t="shared" si="13"/>
        <v>59.107246911637759</v>
      </c>
      <c r="I211" s="208">
        <f t="shared" si="14"/>
        <v>0</v>
      </c>
      <c r="J211" s="42">
        <f t="shared" si="15"/>
        <v>0</v>
      </c>
      <c r="K211" s="5"/>
      <c r="L211" s="10"/>
      <c r="M211" s="11"/>
      <c r="R211" s="11"/>
    </row>
    <row r="212" spans="1:18" x14ac:dyDescent="0.25">
      <c r="A212" s="38">
        <f>Données!A212</f>
        <v>5749</v>
      </c>
      <c r="B212" s="184" t="str">
        <f>Données!B212</f>
        <v>Chavornay</v>
      </c>
      <c r="C212" s="321">
        <f>VPI!R212</f>
        <v>144692.07858156026</v>
      </c>
      <c r="D212" s="465">
        <f>Données!AP212</f>
        <v>3.7805989453686939</v>
      </c>
      <c r="E212" s="379">
        <f>VPI!Q212</f>
        <v>70.5</v>
      </c>
      <c r="F212" s="225">
        <f t="shared" si="12"/>
        <v>66.719401054631305</v>
      </c>
      <c r="G212" s="223">
        <f>Effort!I212+Aide!I212/Taux!C212+Effort!K212/Taux!C212</f>
        <v>-5.6386956729861453</v>
      </c>
      <c r="H212" s="83">
        <f t="shared" si="13"/>
        <v>61.08070538164516</v>
      </c>
      <c r="I212" s="208">
        <f t="shared" si="14"/>
        <v>0</v>
      </c>
      <c r="J212" s="42">
        <f t="shared" si="15"/>
        <v>0</v>
      </c>
      <c r="K212" s="5"/>
      <c r="L212" s="10"/>
      <c r="M212" s="11"/>
      <c r="R212" s="11"/>
    </row>
    <row r="213" spans="1:18" x14ac:dyDescent="0.25">
      <c r="A213" s="38">
        <f>Données!A213</f>
        <v>5750</v>
      </c>
      <c r="B213" s="184" t="str">
        <f>Données!B213</f>
        <v>Les Clées</v>
      </c>
      <c r="C213" s="321">
        <f>VPI!R213</f>
        <v>5460.4465833333343</v>
      </c>
      <c r="D213" s="465">
        <f>Données!AP213</f>
        <v>4.9959155003464781</v>
      </c>
      <c r="E213" s="379">
        <f>VPI!Q213</f>
        <v>80</v>
      </c>
      <c r="F213" s="225">
        <f t="shared" si="12"/>
        <v>75.004084499653516</v>
      </c>
      <c r="G213" s="223">
        <f>Effort!I213+Aide!I213/Taux!C213+Effort!K213/Taux!C213</f>
        <v>-0.16417513101947634</v>
      </c>
      <c r="H213" s="83">
        <f t="shared" si="13"/>
        <v>74.839909368634039</v>
      </c>
      <c r="I213" s="208">
        <f t="shared" si="14"/>
        <v>0</v>
      </c>
      <c r="J213" s="42">
        <f t="shared" si="15"/>
        <v>0</v>
      </c>
      <c r="K213" s="5"/>
      <c r="L213" s="10"/>
      <c r="M213" s="11"/>
      <c r="R213" s="11"/>
    </row>
    <row r="214" spans="1:18" x14ac:dyDescent="0.25">
      <c r="A214" s="38">
        <f>Données!A214</f>
        <v>5752</v>
      </c>
      <c r="B214" s="184" t="str">
        <f>Données!B214</f>
        <v>Croy</v>
      </c>
      <c r="C214" s="321">
        <f>VPI!R214</f>
        <v>10204.254034749034</v>
      </c>
      <c r="D214" s="465">
        <f>Données!AP214</f>
        <v>5.0132910192430282</v>
      </c>
      <c r="E214" s="379">
        <f>VPI!Q214</f>
        <v>74</v>
      </c>
      <c r="F214" s="225">
        <f t="shared" si="12"/>
        <v>68.986708980756973</v>
      </c>
      <c r="G214" s="223">
        <f>Effort!I214+Aide!I214/Taux!C214+Effort!K214/Taux!C214</f>
        <v>-17.694484666611057</v>
      </c>
      <c r="H214" s="83">
        <f t="shared" si="13"/>
        <v>51.292224314145912</v>
      </c>
      <c r="I214" s="208">
        <f t="shared" si="14"/>
        <v>0</v>
      </c>
      <c r="J214" s="42">
        <f t="shared" si="15"/>
        <v>0</v>
      </c>
      <c r="K214" s="5"/>
      <c r="L214" s="10"/>
      <c r="M214" s="11"/>
      <c r="R214" s="11"/>
    </row>
    <row r="215" spans="1:18" x14ac:dyDescent="0.25">
      <c r="A215" s="38">
        <f>Données!A215</f>
        <v>5754</v>
      </c>
      <c r="B215" s="184" t="str">
        <f>Données!B215</f>
        <v>Juriens</v>
      </c>
      <c r="C215" s="321">
        <f>VPI!R215</f>
        <v>8633.2483544303759</v>
      </c>
      <c r="D215" s="465">
        <f>Données!AP215</f>
        <v>4.7339596785839424</v>
      </c>
      <c r="E215" s="379">
        <f>VPI!Q215</f>
        <v>79</v>
      </c>
      <c r="F215" s="225">
        <f t="shared" si="12"/>
        <v>74.266040321416057</v>
      </c>
      <c r="G215" s="223">
        <f>Effort!I215+Aide!I215/Taux!C215+Effort!K215/Taux!C215</f>
        <v>-1.6496012518395951</v>
      </c>
      <c r="H215" s="83">
        <f t="shared" si="13"/>
        <v>72.616439069576458</v>
      </c>
      <c r="I215" s="208">
        <f t="shared" si="14"/>
        <v>0</v>
      </c>
      <c r="J215" s="42">
        <f t="shared" si="15"/>
        <v>0</v>
      </c>
      <c r="K215" s="5"/>
      <c r="L215" s="10"/>
      <c r="M215" s="11"/>
      <c r="R215" s="11"/>
    </row>
    <row r="216" spans="1:18" x14ac:dyDescent="0.25">
      <c r="A216" s="38">
        <f>Données!A216</f>
        <v>5755</v>
      </c>
      <c r="B216" s="184" t="str">
        <f>Données!B216</f>
        <v>Lignerolle</v>
      </c>
      <c r="C216" s="321">
        <f>VPI!R216</f>
        <v>10920.942602365787</v>
      </c>
      <c r="D216" s="465">
        <f>Données!AP216</f>
        <v>5.3905977718009375</v>
      </c>
      <c r="E216" s="379">
        <f>VPI!Q216</f>
        <v>78.5</v>
      </c>
      <c r="F216" s="225">
        <f t="shared" si="12"/>
        <v>73.109402228199059</v>
      </c>
      <c r="G216" s="223">
        <f>Effort!I216+Aide!I216/Taux!C216+Effort!K216/Taux!C216</f>
        <v>-9.9686125493170827</v>
      </c>
      <c r="H216" s="83">
        <f t="shared" si="13"/>
        <v>63.140789678881973</v>
      </c>
      <c r="I216" s="208">
        <f t="shared" si="14"/>
        <v>0</v>
      </c>
      <c r="J216" s="42">
        <f t="shared" si="15"/>
        <v>0</v>
      </c>
      <c r="K216" s="5"/>
      <c r="L216" s="10"/>
      <c r="M216" s="11"/>
      <c r="R216" s="11"/>
    </row>
    <row r="217" spans="1:18" x14ac:dyDescent="0.25">
      <c r="A217" s="38">
        <f>Données!A217</f>
        <v>5756</v>
      </c>
      <c r="B217" s="184" t="str">
        <f>Données!B217</f>
        <v>Montcherand</v>
      </c>
      <c r="C217" s="321">
        <f>VPI!R217</f>
        <v>17503.400416666664</v>
      </c>
      <c r="D217" s="465">
        <f>Données!AP217</f>
        <v>19.674151220552261</v>
      </c>
      <c r="E217" s="379">
        <f>VPI!Q217</f>
        <v>72</v>
      </c>
      <c r="F217" s="225">
        <f t="shared" si="12"/>
        <v>52.325848779447739</v>
      </c>
      <c r="G217" s="223">
        <f>Effort!I217+Aide!I217/Taux!C217+Effort!K217/Taux!C217</f>
        <v>16.20707088168248</v>
      </c>
      <c r="H217" s="83">
        <f t="shared" si="13"/>
        <v>68.532919661130222</v>
      </c>
      <c r="I217" s="208">
        <f t="shared" si="14"/>
        <v>0</v>
      </c>
      <c r="J217" s="42">
        <f t="shared" si="15"/>
        <v>0</v>
      </c>
      <c r="K217" s="5"/>
      <c r="L217" s="10"/>
      <c r="M217" s="11"/>
      <c r="R217" s="11"/>
    </row>
    <row r="218" spans="1:18" x14ac:dyDescent="0.25">
      <c r="A218" s="38">
        <f>Données!A218</f>
        <v>5757</v>
      </c>
      <c r="B218" s="184" t="str">
        <f>Données!B218</f>
        <v>Orbe</v>
      </c>
      <c r="C218" s="321">
        <f>VPI!R218</f>
        <v>217762.06927152316</v>
      </c>
      <c r="D218" s="465">
        <f>Données!AP218</f>
        <v>-0.50118151635812336</v>
      </c>
      <c r="E218" s="379">
        <f>VPI!Q218</f>
        <v>75.5</v>
      </c>
      <c r="F218" s="225">
        <f t="shared" si="12"/>
        <v>76.00118151635813</v>
      </c>
      <c r="G218" s="223">
        <f>Effort!I218+Aide!I218/Taux!C218+Effort!K218/Taux!C218</f>
        <v>-10.562454870997055</v>
      </c>
      <c r="H218" s="83">
        <f t="shared" si="13"/>
        <v>65.438726645361072</v>
      </c>
      <c r="I218" s="208">
        <f t="shared" si="14"/>
        <v>0</v>
      </c>
      <c r="J218" s="42">
        <f t="shared" si="15"/>
        <v>0</v>
      </c>
      <c r="K218" s="5"/>
      <c r="L218" s="10"/>
      <c r="M218" s="11"/>
      <c r="R218" s="11"/>
    </row>
    <row r="219" spans="1:18" x14ac:dyDescent="0.25">
      <c r="A219" s="38">
        <f>Données!A219</f>
        <v>5758</v>
      </c>
      <c r="B219" s="184" t="str">
        <f>Données!B219</f>
        <v>La Praz</v>
      </c>
      <c r="C219" s="321">
        <f>VPI!R219</f>
        <v>4500.7334939759048</v>
      </c>
      <c r="D219" s="465">
        <f>Données!AP219</f>
        <v>2.8283404123470066</v>
      </c>
      <c r="E219" s="379">
        <f>VPI!Q219</f>
        <v>83</v>
      </c>
      <c r="F219" s="225">
        <f t="shared" si="12"/>
        <v>80.171659587652996</v>
      </c>
      <c r="G219" s="223">
        <f>Effort!I219+Aide!I219/Taux!C219+Effort!K219/Taux!C219</f>
        <v>-15.894756197970107</v>
      </c>
      <c r="H219" s="83">
        <f t="shared" si="13"/>
        <v>64.276903389682886</v>
      </c>
      <c r="I219" s="208">
        <f t="shared" si="14"/>
        <v>0</v>
      </c>
      <c r="J219" s="42">
        <f t="shared" si="15"/>
        <v>0</v>
      </c>
      <c r="K219" s="5"/>
      <c r="L219" s="10"/>
      <c r="M219" s="11"/>
      <c r="R219" s="11"/>
    </row>
    <row r="220" spans="1:18" x14ac:dyDescent="0.25">
      <c r="A220" s="38">
        <f>Données!A220</f>
        <v>5759</v>
      </c>
      <c r="B220" s="184" t="str">
        <f>Données!B220</f>
        <v>Premier</v>
      </c>
      <c r="C220" s="321">
        <f>VPI!R220</f>
        <v>5667.0675471698114</v>
      </c>
      <c r="D220" s="465">
        <f>Données!AP220</f>
        <v>3.1585665605747488</v>
      </c>
      <c r="E220" s="379">
        <f>VPI!Q220</f>
        <v>79.5</v>
      </c>
      <c r="F220" s="225">
        <f t="shared" si="12"/>
        <v>76.341433439425245</v>
      </c>
      <c r="G220" s="223">
        <f>Effort!I220+Aide!I220/Taux!C220+Effort!K220/Taux!C220</f>
        <v>-6.6016574906164074</v>
      </c>
      <c r="H220" s="83">
        <f t="shared" si="13"/>
        <v>69.739775948808841</v>
      </c>
      <c r="I220" s="208">
        <f t="shared" si="14"/>
        <v>0</v>
      </c>
      <c r="J220" s="42">
        <f t="shared" si="15"/>
        <v>0</v>
      </c>
      <c r="K220" s="5"/>
      <c r="L220" s="10"/>
      <c r="M220" s="11"/>
      <c r="R220" s="11"/>
    </row>
    <row r="221" spans="1:18" x14ac:dyDescent="0.25">
      <c r="A221" s="38">
        <f>Données!A221</f>
        <v>5760</v>
      </c>
      <c r="B221" s="184" t="str">
        <f>Données!B221</f>
        <v>Rances</v>
      </c>
      <c r="C221" s="321">
        <f>VPI!R221</f>
        <v>16308.735686274507</v>
      </c>
      <c r="D221" s="465">
        <f>Données!AP221</f>
        <v>9.8276888365100525</v>
      </c>
      <c r="E221" s="379">
        <f>VPI!Q221</f>
        <v>76.5</v>
      </c>
      <c r="F221" s="225">
        <f t="shared" si="12"/>
        <v>66.672311163489951</v>
      </c>
      <c r="G221" s="223">
        <f>Effort!I221+Aide!I221/Taux!C221+Effort!K221/Taux!C221</f>
        <v>4.4071956196321693</v>
      </c>
      <c r="H221" s="83">
        <f t="shared" si="13"/>
        <v>71.079506783122127</v>
      </c>
      <c r="I221" s="208">
        <f t="shared" si="14"/>
        <v>0</v>
      </c>
      <c r="J221" s="42">
        <f t="shared" si="15"/>
        <v>0</v>
      </c>
      <c r="K221" s="5"/>
      <c r="L221" s="10"/>
      <c r="M221" s="11"/>
      <c r="R221" s="11"/>
    </row>
    <row r="222" spans="1:18" x14ac:dyDescent="0.25">
      <c r="A222" s="38">
        <f>Données!A222</f>
        <v>5761</v>
      </c>
      <c r="B222" s="184" t="str">
        <f>Données!B222</f>
        <v>Romainmôtier-Envy</v>
      </c>
      <c r="C222" s="321">
        <f>VPI!R222</f>
        <v>14407.779147025813</v>
      </c>
      <c r="D222" s="465">
        <f>Données!AP222</f>
        <v>-2.3685105470659078</v>
      </c>
      <c r="E222" s="379">
        <f>VPI!Q222</f>
        <v>81</v>
      </c>
      <c r="F222" s="225">
        <f t="shared" si="12"/>
        <v>83.36851054706591</v>
      </c>
      <c r="G222" s="223">
        <f>Effort!I222+Aide!I222/Taux!C222+Effort!K222/Taux!C222</f>
        <v>-10.594472678617532</v>
      </c>
      <c r="H222" s="83">
        <f t="shared" si="13"/>
        <v>72.774037868448374</v>
      </c>
      <c r="I222" s="208">
        <f t="shared" si="14"/>
        <v>0</v>
      </c>
      <c r="J222" s="42">
        <f t="shared" si="15"/>
        <v>0</v>
      </c>
      <c r="K222" s="5"/>
      <c r="L222" s="10"/>
      <c r="M222" s="11"/>
      <c r="R222" s="11"/>
    </row>
    <row r="223" spans="1:18" x14ac:dyDescent="0.25">
      <c r="A223" s="38">
        <f>Données!A223</f>
        <v>5762</v>
      </c>
      <c r="B223" s="184" t="str">
        <f>Données!B223</f>
        <v>Sergey</v>
      </c>
      <c r="C223" s="321">
        <f>VPI!R223</f>
        <v>3741.4505128205124</v>
      </c>
      <c r="D223" s="465">
        <f>Données!AP223</f>
        <v>7.5149836181393352</v>
      </c>
      <c r="E223" s="379">
        <f>VPI!Q223</f>
        <v>78</v>
      </c>
      <c r="F223" s="225">
        <f t="shared" si="12"/>
        <v>70.48501638186066</v>
      </c>
      <c r="G223" s="223">
        <f>Effort!I223+Aide!I223/Taux!C223+Effort!K223/Taux!C223</f>
        <v>-5.0214858162470186</v>
      </c>
      <c r="H223" s="83">
        <f t="shared" si="13"/>
        <v>65.463530565613638</v>
      </c>
      <c r="I223" s="208">
        <f t="shared" si="14"/>
        <v>0</v>
      </c>
      <c r="J223" s="42">
        <f t="shared" si="15"/>
        <v>0</v>
      </c>
      <c r="K223" s="5"/>
      <c r="L223" s="10"/>
      <c r="M223" s="11"/>
      <c r="R223" s="11"/>
    </row>
    <row r="224" spans="1:18" x14ac:dyDescent="0.25">
      <c r="A224" s="38">
        <f>Données!A224</f>
        <v>5763</v>
      </c>
      <c r="B224" s="184" t="str">
        <f>Données!B224</f>
        <v>Valeyres-sous-Rances</v>
      </c>
      <c r="C224" s="321">
        <f>VPI!R224</f>
        <v>22297.189859154929</v>
      </c>
      <c r="D224" s="465">
        <f>Données!AP224</f>
        <v>21.729278245401929</v>
      </c>
      <c r="E224" s="379">
        <f>VPI!Q224</f>
        <v>71</v>
      </c>
      <c r="F224" s="225">
        <f t="shared" si="12"/>
        <v>49.270721754598071</v>
      </c>
      <c r="G224" s="223">
        <f>Effort!I224+Aide!I224/Taux!C224+Effort!K224/Taux!C224</f>
        <v>17.718540748512261</v>
      </c>
      <c r="H224" s="83">
        <f t="shared" si="13"/>
        <v>66.989262503110325</v>
      </c>
      <c r="I224" s="208">
        <f t="shared" si="14"/>
        <v>0</v>
      </c>
      <c r="J224" s="42">
        <f t="shared" si="15"/>
        <v>0</v>
      </c>
      <c r="K224" s="5"/>
      <c r="L224" s="10"/>
      <c r="M224" s="11"/>
      <c r="R224" s="11"/>
    </row>
    <row r="225" spans="1:18" x14ac:dyDescent="0.25">
      <c r="A225" s="38">
        <f>Données!A225</f>
        <v>5764</v>
      </c>
      <c r="B225" s="184" t="str">
        <f>Données!B225</f>
        <v>Vallorbe</v>
      </c>
      <c r="C225" s="321">
        <f>VPI!R225</f>
        <v>83717.114965034954</v>
      </c>
      <c r="D225" s="465">
        <f>Données!AP225</f>
        <v>-10.408585820193373</v>
      </c>
      <c r="E225" s="379">
        <f>VPI!Q225</f>
        <v>71.5</v>
      </c>
      <c r="F225" s="225">
        <f t="shared" si="12"/>
        <v>81.908585820193366</v>
      </c>
      <c r="G225" s="223">
        <f>Effort!I225+Aide!I225/Taux!C225+Effort!K225/Taux!C225</f>
        <v>-38.376533215886198</v>
      </c>
      <c r="H225" s="83">
        <f t="shared" si="13"/>
        <v>43.532052604307168</v>
      </c>
      <c r="I225" s="208">
        <f t="shared" si="14"/>
        <v>0</v>
      </c>
      <c r="J225" s="42">
        <f t="shared" si="15"/>
        <v>0</v>
      </c>
      <c r="K225" s="5"/>
      <c r="L225" s="10"/>
      <c r="M225" s="11"/>
      <c r="R225" s="11"/>
    </row>
    <row r="226" spans="1:18" x14ac:dyDescent="0.25">
      <c r="A226" s="38">
        <f>Données!A226</f>
        <v>5765</v>
      </c>
      <c r="B226" s="184" t="str">
        <f>Données!B226</f>
        <v>Vaulion</v>
      </c>
      <c r="C226" s="321">
        <f>VPI!R226</f>
        <v>9628.0504938271606</v>
      </c>
      <c r="D226" s="465">
        <f>Données!AP226</f>
        <v>-9.6043755098594907</v>
      </c>
      <c r="E226" s="379">
        <f>VPI!Q226</f>
        <v>81</v>
      </c>
      <c r="F226" s="225">
        <f t="shared" si="12"/>
        <v>90.604375509859494</v>
      </c>
      <c r="G226" s="223">
        <f>Effort!I226+Aide!I226/Taux!C226+Effort!K226/Taux!C226</f>
        <v>-27.582598189274854</v>
      </c>
      <c r="H226" s="83">
        <f t="shared" si="13"/>
        <v>63.02177732058464</v>
      </c>
      <c r="I226" s="208">
        <f t="shared" si="14"/>
        <v>0</v>
      </c>
      <c r="J226" s="42">
        <f t="shared" si="15"/>
        <v>0</v>
      </c>
      <c r="K226" s="5"/>
      <c r="L226" s="10"/>
      <c r="M226" s="11"/>
      <c r="R226" s="11"/>
    </row>
    <row r="227" spans="1:18" x14ac:dyDescent="0.25">
      <c r="A227" s="38">
        <f>Données!A227</f>
        <v>5766</v>
      </c>
      <c r="B227" s="184" t="str">
        <f>Données!B227</f>
        <v>Vuiteboeuf</v>
      </c>
      <c r="C227" s="321">
        <f>VPI!R227</f>
        <v>15422.760361904762</v>
      </c>
      <c r="D227" s="465">
        <f>Données!AP227</f>
        <v>7.2711864730717792</v>
      </c>
      <c r="E227" s="379">
        <f>VPI!Q227</f>
        <v>75</v>
      </c>
      <c r="F227" s="225">
        <f t="shared" si="12"/>
        <v>67.728813526928221</v>
      </c>
      <c r="G227" s="223">
        <f>Effort!I227+Aide!I227/Taux!C227+Effort!K227/Taux!C227</f>
        <v>2.7643184925974715</v>
      </c>
      <c r="H227" s="83">
        <f t="shared" si="13"/>
        <v>70.493132019525689</v>
      </c>
      <c r="I227" s="208">
        <f t="shared" si="14"/>
        <v>0</v>
      </c>
      <c r="J227" s="42">
        <f t="shared" si="15"/>
        <v>0</v>
      </c>
      <c r="K227" s="5"/>
      <c r="L227" s="10"/>
      <c r="M227" s="11"/>
      <c r="R227" s="11"/>
    </row>
    <row r="228" spans="1:18" x14ac:dyDescent="0.25">
      <c r="A228" s="38">
        <f>Données!A228</f>
        <v>5785</v>
      </c>
      <c r="B228" s="184" t="str">
        <f>Données!B228</f>
        <v>Corcelles-le-Jorat</v>
      </c>
      <c r="C228" s="321">
        <f>VPI!R228</f>
        <v>15461.968933333332</v>
      </c>
      <c r="D228" s="465">
        <f>Données!AP228</f>
        <v>11.916290729056737</v>
      </c>
      <c r="E228" s="379">
        <f>VPI!Q228</f>
        <v>75</v>
      </c>
      <c r="F228" s="225">
        <f t="shared" si="12"/>
        <v>63.08370927094326</v>
      </c>
      <c r="G228" s="223">
        <f>Effort!I228+Aide!I228/Taux!C228+Effort!K228/Taux!C228</f>
        <v>9.8663956865675253</v>
      </c>
      <c r="H228" s="83">
        <f t="shared" si="13"/>
        <v>72.950104957510788</v>
      </c>
      <c r="I228" s="208">
        <f t="shared" si="14"/>
        <v>0</v>
      </c>
      <c r="J228" s="42">
        <f t="shared" si="15"/>
        <v>0</v>
      </c>
      <c r="K228" s="5"/>
      <c r="L228" s="10"/>
      <c r="M228" s="11"/>
      <c r="R228" s="11"/>
    </row>
    <row r="229" spans="1:18" x14ac:dyDescent="0.25">
      <c r="A229" s="38">
        <f>Données!A229</f>
        <v>5790</v>
      </c>
      <c r="B229" s="184" t="str">
        <f>Données!B229</f>
        <v>Maracon</v>
      </c>
      <c r="C229" s="321">
        <f>VPI!R229</f>
        <v>16326.697583892621</v>
      </c>
      <c r="D229" s="465">
        <f>Données!AP229</f>
        <v>9.8484141944074928</v>
      </c>
      <c r="E229" s="379">
        <f>VPI!Q229</f>
        <v>74.5</v>
      </c>
      <c r="F229" s="225">
        <f t="shared" si="12"/>
        <v>64.651585805592504</v>
      </c>
      <c r="G229" s="223">
        <f>Effort!I229+Aide!I229/Taux!C229+Effort!K229/Taux!C229</f>
        <v>9.4375967619106937</v>
      </c>
      <c r="H229" s="83">
        <f t="shared" si="13"/>
        <v>74.089182567503201</v>
      </c>
      <c r="I229" s="208">
        <f t="shared" si="14"/>
        <v>0</v>
      </c>
      <c r="J229" s="42">
        <f t="shared" si="15"/>
        <v>0</v>
      </c>
      <c r="K229" s="5"/>
      <c r="L229" s="10"/>
      <c r="M229" s="11"/>
      <c r="R229" s="11"/>
    </row>
    <row r="230" spans="1:18" x14ac:dyDescent="0.25">
      <c r="A230" s="38">
        <f>Données!A230</f>
        <v>5792</v>
      </c>
      <c r="B230" s="184" t="str">
        <f>Données!B230</f>
        <v>Montpreveyres</v>
      </c>
      <c r="C230" s="321">
        <f>VPI!R230</f>
        <v>19363.161854304632</v>
      </c>
      <c r="D230" s="465">
        <f>Données!AP230</f>
        <v>13.317909050337219</v>
      </c>
      <c r="E230" s="379">
        <f>VPI!Q230</f>
        <v>75.5</v>
      </c>
      <c r="F230" s="225">
        <f t="shared" si="12"/>
        <v>62.182090949662779</v>
      </c>
      <c r="G230" s="223">
        <f>Effort!I230+Aide!I230/Taux!C230+Effort!K230/Taux!C230</f>
        <v>3.153886518087452</v>
      </c>
      <c r="H230" s="83">
        <f t="shared" si="13"/>
        <v>65.335977467750226</v>
      </c>
      <c r="I230" s="208">
        <f t="shared" si="14"/>
        <v>0</v>
      </c>
      <c r="J230" s="42">
        <f t="shared" si="15"/>
        <v>0</v>
      </c>
      <c r="K230" s="5"/>
      <c r="L230" s="10"/>
      <c r="M230" s="11"/>
      <c r="R230" s="11"/>
    </row>
    <row r="231" spans="1:18" x14ac:dyDescent="0.25">
      <c r="A231" s="38">
        <f>Données!A231</f>
        <v>5798</v>
      </c>
      <c r="B231" s="184" t="str">
        <f>Données!B231</f>
        <v>Ropraz</v>
      </c>
      <c r="C231" s="321">
        <f>VPI!R231</f>
        <v>16208.351096774193</v>
      </c>
      <c r="D231" s="465">
        <f>Données!AP231</f>
        <v>15.488637686586149</v>
      </c>
      <c r="E231" s="379">
        <f>VPI!Q231</f>
        <v>77.5</v>
      </c>
      <c r="F231" s="225">
        <f t="shared" si="12"/>
        <v>62.011362313413855</v>
      </c>
      <c r="G231" s="223">
        <f>Effort!I231+Aide!I231/Taux!C231+Effort!K231/Taux!C231</f>
        <v>7.2366236112725275</v>
      </c>
      <c r="H231" s="83">
        <f t="shared" si="13"/>
        <v>69.24798592468639</v>
      </c>
      <c r="I231" s="208">
        <f t="shared" si="14"/>
        <v>0</v>
      </c>
      <c r="J231" s="42">
        <f t="shared" si="15"/>
        <v>0</v>
      </c>
      <c r="K231" s="5"/>
      <c r="L231" s="10"/>
      <c r="M231" s="11"/>
      <c r="R231" s="11"/>
    </row>
    <row r="232" spans="1:18" x14ac:dyDescent="0.25">
      <c r="A232" s="38">
        <f>Données!A232</f>
        <v>5799</v>
      </c>
      <c r="B232" s="184" t="str">
        <f>Données!B232</f>
        <v>Servion</v>
      </c>
      <c r="C232" s="321">
        <f>VPI!R232</f>
        <v>73170.718115942043</v>
      </c>
      <c r="D232" s="465">
        <f>Données!AP232</f>
        <v>15.715541187125192</v>
      </c>
      <c r="E232" s="379">
        <f>VPI!Q232</f>
        <v>69</v>
      </c>
      <c r="F232" s="225">
        <f t="shared" si="12"/>
        <v>53.28445881287481</v>
      </c>
      <c r="G232" s="223">
        <f>Effort!I232+Aide!I232/Taux!C232+Effort!K232/Taux!C232</f>
        <v>10.442713182738281</v>
      </c>
      <c r="H232" s="83">
        <f t="shared" si="13"/>
        <v>63.727171995613091</v>
      </c>
      <c r="I232" s="208">
        <f t="shared" si="14"/>
        <v>0</v>
      </c>
      <c r="J232" s="42">
        <f t="shared" si="15"/>
        <v>0</v>
      </c>
      <c r="K232" s="5"/>
      <c r="L232" s="10"/>
      <c r="M232" s="11"/>
      <c r="R232" s="11"/>
    </row>
    <row r="233" spans="1:18" x14ac:dyDescent="0.25">
      <c r="A233" s="38">
        <f>Données!A233</f>
        <v>5803</v>
      </c>
      <c r="B233" s="184" t="str">
        <f>Données!B233</f>
        <v>Vulliens</v>
      </c>
      <c r="C233" s="321">
        <f>VPI!R233</f>
        <v>16577.57405405405</v>
      </c>
      <c r="D233" s="465">
        <f>Données!AP233</f>
        <v>10.405914266366604</v>
      </c>
      <c r="E233" s="379">
        <f>VPI!Q233</f>
        <v>74</v>
      </c>
      <c r="F233" s="225">
        <f t="shared" si="12"/>
        <v>63.594085733633392</v>
      </c>
      <c r="G233" s="223">
        <f>Effort!I233+Aide!I233/Taux!C233+Effort!K233/Taux!C233</f>
        <v>1.1661695945984896</v>
      </c>
      <c r="H233" s="83">
        <f t="shared" si="13"/>
        <v>64.760255328231878</v>
      </c>
      <c r="I233" s="208">
        <f t="shared" si="14"/>
        <v>0</v>
      </c>
      <c r="J233" s="42">
        <f t="shared" si="15"/>
        <v>0</v>
      </c>
      <c r="K233" s="5"/>
      <c r="L233" s="10"/>
      <c r="M233" s="11"/>
      <c r="R233" s="11"/>
    </row>
    <row r="234" spans="1:18" x14ac:dyDescent="0.25">
      <c r="A234" s="38">
        <f>Données!A234</f>
        <v>5804</v>
      </c>
      <c r="B234" s="184" t="str">
        <f>Données!B234</f>
        <v>Jorat-Menthue</v>
      </c>
      <c r="C234" s="321">
        <f>VPI!R234</f>
        <v>45125.345957446807</v>
      </c>
      <c r="D234" s="465">
        <f>Données!AP234</f>
        <v>10.681123475194399</v>
      </c>
      <c r="E234" s="379">
        <f>VPI!Q234</f>
        <v>70.5</v>
      </c>
      <c r="F234" s="225">
        <f t="shared" si="12"/>
        <v>59.818876524805603</v>
      </c>
      <c r="G234" s="223">
        <f>Effort!I234+Aide!I234/Taux!C234+Effort!K234/Taux!C234</f>
        <v>0.49271356092987517</v>
      </c>
      <c r="H234" s="83">
        <f t="shared" si="13"/>
        <v>60.311590085735475</v>
      </c>
      <c r="I234" s="208">
        <f t="shared" si="14"/>
        <v>0</v>
      </c>
      <c r="J234" s="42">
        <f t="shared" si="15"/>
        <v>0</v>
      </c>
      <c r="K234" s="5"/>
      <c r="L234" s="10"/>
      <c r="M234" s="11"/>
      <c r="R234" s="11"/>
    </row>
    <row r="235" spans="1:18" x14ac:dyDescent="0.25">
      <c r="A235" s="38">
        <f>Données!A235</f>
        <v>5805</v>
      </c>
      <c r="B235" s="184" t="str">
        <f>Données!B235</f>
        <v>Oron</v>
      </c>
      <c r="C235" s="321">
        <f>VPI!R235</f>
        <v>174509.83123847167</v>
      </c>
      <c r="D235" s="465">
        <f>Données!AP235</f>
        <v>4.76</v>
      </c>
      <c r="E235" s="379">
        <f>VPI!Q235</f>
        <v>69</v>
      </c>
      <c r="F235" s="225">
        <f t="shared" si="12"/>
        <v>64.239999999999995</v>
      </c>
      <c r="G235" s="223">
        <f>Effort!I235+Aide!I235/Taux!C235+Effort!K235/Taux!C235</f>
        <v>-4.2851545891758533</v>
      </c>
      <c r="H235" s="83">
        <f t="shared" si="13"/>
        <v>59.954845410824142</v>
      </c>
      <c r="I235" s="208">
        <f t="shared" si="14"/>
        <v>0</v>
      </c>
      <c r="J235" s="42">
        <f t="shared" si="15"/>
        <v>0</v>
      </c>
      <c r="K235" s="5"/>
      <c r="L235" s="10"/>
      <c r="M235" s="11"/>
      <c r="R235" s="11"/>
    </row>
    <row r="236" spans="1:18" x14ac:dyDescent="0.25">
      <c r="A236" s="38">
        <f>Données!A236</f>
        <v>5806</v>
      </c>
      <c r="B236" s="184" t="str">
        <f>Données!B236</f>
        <v>Jorat-Mézières</v>
      </c>
      <c r="C236" s="321">
        <f>VPI!R236</f>
        <v>102977.86342465752</v>
      </c>
      <c r="D236" s="465">
        <f>Données!AP236</f>
        <v>12.37818528868133</v>
      </c>
      <c r="E236" s="379">
        <f>VPI!Q236</f>
        <v>73</v>
      </c>
      <c r="F236" s="225">
        <f t="shared" si="12"/>
        <v>60.62181471131867</v>
      </c>
      <c r="G236" s="223">
        <f>Effort!I236+Aide!I236/Taux!C236+Effort!K236/Taux!C236</f>
        <v>7.1432195073685421</v>
      </c>
      <c r="H236" s="83">
        <f t="shared" si="13"/>
        <v>67.765034218687219</v>
      </c>
      <c r="I236" s="208">
        <f t="shared" si="14"/>
        <v>0</v>
      </c>
      <c r="J236" s="42">
        <f t="shared" si="15"/>
        <v>0</v>
      </c>
      <c r="K236" s="5"/>
      <c r="L236" s="10"/>
      <c r="M236" s="11"/>
      <c r="R236" s="11"/>
    </row>
    <row r="237" spans="1:18" x14ac:dyDescent="0.25">
      <c r="A237" s="38">
        <f>Données!A237</f>
        <v>5812</v>
      </c>
      <c r="B237" s="184" t="str">
        <f>Données!B237</f>
        <v>Champtauroz</v>
      </c>
      <c r="C237" s="321">
        <f>VPI!R237</f>
        <v>3659.293116883116</v>
      </c>
      <c r="D237" s="465">
        <f>Données!AP237</f>
        <v>-9.5838895694061215</v>
      </c>
      <c r="E237" s="379">
        <f>VPI!Q237</f>
        <v>77</v>
      </c>
      <c r="F237" s="225">
        <f t="shared" si="12"/>
        <v>86.583889569406125</v>
      </c>
      <c r="G237" s="223">
        <f>Effort!I237+Aide!I237/Taux!C237+Effort!K237/Taux!C237</f>
        <v>-15.297268244832114</v>
      </c>
      <c r="H237" s="83">
        <f t="shared" si="13"/>
        <v>71.286621324574014</v>
      </c>
      <c r="I237" s="208">
        <f t="shared" si="14"/>
        <v>0</v>
      </c>
      <c r="J237" s="42">
        <f t="shared" si="15"/>
        <v>0</v>
      </c>
      <c r="K237" s="5"/>
      <c r="L237" s="10"/>
      <c r="M237" s="11"/>
      <c r="R237" s="11"/>
    </row>
    <row r="238" spans="1:18" x14ac:dyDescent="0.25">
      <c r="A238" s="38">
        <f>Données!A238</f>
        <v>5813</v>
      </c>
      <c r="B238" s="184" t="str">
        <f>Données!B238</f>
        <v>Chevroux</v>
      </c>
      <c r="C238" s="321">
        <f>VPI!R238</f>
        <v>17498.80282238443</v>
      </c>
      <c r="D238" s="465">
        <f>Données!AP238</f>
        <v>15.423649306347688</v>
      </c>
      <c r="E238" s="379">
        <f>VPI!Q238</f>
        <v>68.5</v>
      </c>
      <c r="F238" s="225">
        <f t="shared" si="12"/>
        <v>53.076350693652316</v>
      </c>
      <c r="G238" s="223">
        <f>Effort!I238+Aide!I238/Taux!C238+Effort!K238/Taux!C238</f>
        <v>8.8578190945225419</v>
      </c>
      <c r="H238" s="83">
        <f t="shared" si="13"/>
        <v>61.934169788174856</v>
      </c>
      <c r="I238" s="208">
        <f t="shared" si="14"/>
        <v>0</v>
      </c>
      <c r="J238" s="42">
        <f t="shared" si="15"/>
        <v>0</v>
      </c>
      <c r="K238" s="5"/>
      <c r="L238" s="10"/>
      <c r="M238" s="11"/>
      <c r="R238" s="11"/>
    </row>
    <row r="239" spans="1:18" x14ac:dyDescent="0.25">
      <c r="A239" s="38">
        <f>Données!A239</f>
        <v>5816</v>
      </c>
      <c r="B239" s="184" t="str">
        <f>Données!B239</f>
        <v>Corcelles-près-Payerne</v>
      </c>
      <c r="C239" s="321">
        <f>VPI!R239</f>
        <v>65701.749572471308</v>
      </c>
      <c r="D239" s="465">
        <f>Données!AP239</f>
        <v>0.93090117389282034</v>
      </c>
      <c r="E239" s="379">
        <f>VPI!Q239</f>
        <v>68.5</v>
      </c>
      <c r="F239" s="225">
        <f t="shared" si="12"/>
        <v>67.569098826107179</v>
      </c>
      <c r="G239" s="223">
        <f>Effort!I239+Aide!I239/Taux!C239+Effort!K239/Taux!C239</f>
        <v>-7.29247398364015</v>
      </c>
      <c r="H239" s="83">
        <f t="shared" si="13"/>
        <v>60.276624842467029</v>
      </c>
      <c r="I239" s="208">
        <f t="shared" si="14"/>
        <v>0</v>
      </c>
      <c r="J239" s="42">
        <f t="shared" si="15"/>
        <v>0</v>
      </c>
      <c r="K239" s="5"/>
      <c r="L239" s="10"/>
      <c r="M239" s="11"/>
      <c r="R239" s="11"/>
    </row>
    <row r="240" spans="1:18" x14ac:dyDescent="0.25">
      <c r="A240" s="38">
        <f>Données!A240</f>
        <v>5817</v>
      </c>
      <c r="B240" s="184" t="str">
        <f>Données!B240</f>
        <v>Grandcour</v>
      </c>
      <c r="C240" s="321">
        <f>VPI!R240</f>
        <v>25916.897414965984</v>
      </c>
      <c r="D240" s="465">
        <f>Données!AP240</f>
        <v>5.5769047828215514</v>
      </c>
      <c r="E240" s="379">
        <f>VPI!Q240</f>
        <v>73.5</v>
      </c>
      <c r="F240" s="225">
        <f t="shared" si="12"/>
        <v>67.923095217178442</v>
      </c>
      <c r="G240" s="223">
        <f>Effort!I240+Aide!I240/Taux!C240+Effort!K240/Taux!C240</f>
        <v>2.3236083930480298</v>
      </c>
      <c r="H240" s="83">
        <f t="shared" si="13"/>
        <v>70.246703610226476</v>
      </c>
      <c r="I240" s="208">
        <f t="shared" si="14"/>
        <v>0</v>
      </c>
      <c r="J240" s="42">
        <f t="shared" si="15"/>
        <v>0</v>
      </c>
      <c r="K240" s="5"/>
      <c r="L240" s="10"/>
      <c r="M240" s="11"/>
      <c r="R240" s="11"/>
    </row>
    <row r="241" spans="1:18" x14ac:dyDescent="0.25">
      <c r="A241" s="38">
        <f>Données!A241</f>
        <v>5819</v>
      </c>
      <c r="B241" s="184" t="str">
        <f>Données!B241</f>
        <v>Henniez</v>
      </c>
      <c r="C241" s="321">
        <f>VPI!R241</f>
        <v>10275.75579710145</v>
      </c>
      <c r="D241" s="465">
        <f>Données!AP241</f>
        <v>7.6061940100530867</v>
      </c>
      <c r="E241" s="379">
        <f>VPI!Q241</f>
        <v>69</v>
      </c>
      <c r="F241" s="225">
        <f t="shared" si="12"/>
        <v>61.393805989946912</v>
      </c>
      <c r="G241" s="223">
        <f>Effort!I241+Aide!I241/Taux!C241+Effort!K241/Taux!C241</f>
        <v>-2.5745435062064104</v>
      </c>
      <c r="H241" s="83">
        <f t="shared" si="13"/>
        <v>58.819262483740502</v>
      </c>
      <c r="I241" s="208">
        <f t="shared" si="14"/>
        <v>0</v>
      </c>
      <c r="J241" s="42">
        <f t="shared" si="15"/>
        <v>0</v>
      </c>
      <c r="K241" s="5"/>
      <c r="L241" s="10"/>
      <c r="M241" s="11"/>
      <c r="R241" s="11"/>
    </row>
    <row r="242" spans="1:18" x14ac:dyDescent="0.25">
      <c r="A242" s="38">
        <f>Données!A242</f>
        <v>5821</v>
      </c>
      <c r="B242" s="184" t="str">
        <f>Données!B242</f>
        <v>Missy</v>
      </c>
      <c r="C242" s="321">
        <f>VPI!R242</f>
        <v>8375.965000000002</v>
      </c>
      <c r="D242" s="465">
        <f>Données!AP242</f>
        <v>0.29917918232189084</v>
      </c>
      <c r="E242" s="379">
        <f>VPI!Q242</f>
        <v>72</v>
      </c>
      <c r="F242" s="225">
        <f t="shared" si="12"/>
        <v>71.700820817678107</v>
      </c>
      <c r="G242" s="223">
        <f>Effort!I242+Aide!I242/Taux!C242+Effort!K242/Taux!C242</f>
        <v>-6.3803252652648403</v>
      </c>
      <c r="H242" s="83">
        <f t="shared" si="13"/>
        <v>65.320495552413263</v>
      </c>
      <c r="I242" s="208">
        <f t="shared" si="14"/>
        <v>0</v>
      </c>
      <c r="J242" s="42">
        <f t="shared" si="15"/>
        <v>0</v>
      </c>
      <c r="K242" s="5"/>
      <c r="L242" s="10"/>
      <c r="M242" s="11"/>
      <c r="R242" s="11"/>
    </row>
    <row r="243" spans="1:18" x14ac:dyDescent="0.25">
      <c r="A243" s="38">
        <f>Données!A243</f>
        <v>5822</v>
      </c>
      <c r="B243" s="184" t="str">
        <f>Données!B243</f>
        <v>Payerne</v>
      </c>
      <c r="C243" s="321">
        <f>VPI!R243</f>
        <v>226844.26479452057</v>
      </c>
      <c r="D243" s="465">
        <f>Données!AP243</f>
        <v>-13.904021071596492</v>
      </c>
      <c r="E243" s="379">
        <f>VPI!Q243</f>
        <v>73</v>
      </c>
      <c r="F243" s="225">
        <f t="shared" si="12"/>
        <v>86.904021071596489</v>
      </c>
      <c r="G243" s="223">
        <f>Effort!I243+Aide!I243/Taux!C243+Effort!K243/Taux!C243</f>
        <v>-19.970898949958688</v>
      </c>
      <c r="H243" s="83">
        <f t="shared" si="13"/>
        <v>66.933122121637808</v>
      </c>
      <c r="I243" s="208">
        <f t="shared" si="14"/>
        <v>0</v>
      </c>
      <c r="J243" s="42">
        <f t="shared" si="15"/>
        <v>0</v>
      </c>
      <c r="K243" s="5"/>
      <c r="L243" s="10"/>
      <c r="M243" s="11"/>
      <c r="R243" s="11"/>
    </row>
    <row r="244" spans="1:18" x14ac:dyDescent="0.25">
      <c r="A244" s="38">
        <f>Données!A244</f>
        <v>5827</v>
      </c>
      <c r="B244" s="184" t="str">
        <f>Données!B244</f>
        <v>Trey</v>
      </c>
      <c r="C244" s="321">
        <f>VPI!R244</f>
        <v>7715.2558974358981</v>
      </c>
      <c r="D244" s="465">
        <f>Données!AP244</f>
        <v>1.2643892162738712</v>
      </c>
      <c r="E244" s="379">
        <f>VPI!Q244</f>
        <v>78</v>
      </c>
      <c r="F244" s="225">
        <f t="shared" si="12"/>
        <v>76.735610783726131</v>
      </c>
      <c r="G244" s="223">
        <f>Effort!I244+Aide!I244/Taux!C244+Effort!K244/Taux!C244</f>
        <v>-0.13970464395967142</v>
      </c>
      <c r="H244" s="83">
        <f t="shared" si="13"/>
        <v>76.595906139766456</v>
      </c>
      <c r="I244" s="208">
        <f t="shared" si="14"/>
        <v>0</v>
      </c>
      <c r="J244" s="42">
        <f t="shared" si="15"/>
        <v>0</v>
      </c>
      <c r="K244" s="5"/>
      <c r="L244" s="10"/>
      <c r="M244" s="11"/>
      <c r="R244" s="11"/>
    </row>
    <row r="245" spans="1:18" x14ac:dyDescent="0.25">
      <c r="A245" s="38">
        <f>Données!A245</f>
        <v>5828</v>
      </c>
      <c r="B245" s="184" t="str">
        <f>Données!B245</f>
        <v>Treytorrens (Payerne)</v>
      </c>
      <c r="C245" s="321">
        <f>VPI!R245</f>
        <v>2864.8065848670758</v>
      </c>
      <c r="D245" s="465">
        <f>Données!AP245</f>
        <v>3.3943479223529729</v>
      </c>
      <c r="E245" s="379">
        <f>VPI!Q245</f>
        <v>81.5</v>
      </c>
      <c r="F245" s="225">
        <f t="shared" si="12"/>
        <v>78.105652077647022</v>
      </c>
      <c r="G245" s="223">
        <f>Effort!I245+Aide!I245/Taux!C245+Effort!K245/Taux!C245</f>
        <v>-8.5543628306177624</v>
      </c>
      <c r="H245" s="83">
        <f t="shared" si="13"/>
        <v>69.55128924702926</v>
      </c>
      <c r="I245" s="208">
        <f t="shared" si="14"/>
        <v>0</v>
      </c>
      <c r="J245" s="42">
        <f t="shared" si="15"/>
        <v>0</v>
      </c>
      <c r="K245" s="5"/>
      <c r="L245" s="10"/>
      <c r="M245" s="11"/>
      <c r="R245" s="11"/>
    </row>
    <row r="246" spans="1:18" x14ac:dyDescent="0.25">
      <c r="A246" s="38">
        <f>Données!A246</f>
        <v>5830</v>
      </c>
      <c r="B246" s="184" t="str">
        <f>Données!B246</f>
        <v>Villarzel</v>
      </c>
      <c r="C246" s="321">
        <f>VPI!R246</f>
        <v>12474.180666666667</v>
      </c>
      <c r="D246" s="465">
        <f>Données!AP246</f>
        <v>4.4915492368597123</v>
      </c>
      <c r="E246" s="379">
        <f>VPI!Q246</f>
        <v>75</v>
      </c>
      <c r="F246" s="225">
        <f t="shared" si="12"/>
        <v>70.508450763140289</v>
      </c>
      <c r="G246" s="223">
        <f>Effort!I246+Aide!I246/Taux!C246+Effort!K246/Taux!C246</f>
        <v>-2.6629712769145222</v>
      </c>
      <c r="H246" s="83">
        <f t="shared" si="13"/>
        <v>67.84547948622577</v>
      </c>
      <c r="I246" s="208">
        <f t="shared" si="14"/>
        <v>0</v>
      </c>
      <c r="J246" s="42">
        <f t="shared" si="15"/>
        <v>0</v>
      </c>
      <c r="K246" s="5"/>
      <c r="L246" s="10"/>
      <c r="M246" s="11"/>
      <c r="R246" s="11"/>
    </row>
    <row r="247" spans="1:18" x14ac:dyDescent="0.25">
      <c r="A247" s="38">
        <f>Données!A247</f>
        <v>5831</v>
      </c>
      <c r="B247" s="184" t="str">
        <f>Données!B247</f>
        <v>Valbroye</v>
      </c>
      <c r="C247" s="321">
        <f>VPI!R247</f>
        <v>87470.557399527184</v>
      </c>
      <c r="D247" s="465">
        <f>Données!AP247</f>
        <v>-1.2835806652725137</v>
      </c>
      <c r="E247" s="379">
        <f>VPI!Q247</f>
        <v>70.5</v>
      </c>
      <c r="F247" s="225">
        <f t="shared" si="12"/>
        <v>71.78358066527251</v>
      </c>
      <c r="G247" s="223">
        <f>Effort!I247+Aide!I247/Taux!C247+Effort!K247/Taux!C247</f>
        <v>-9.2830036917703573</v>
      </c>
      <c r="H247" s="83">
        <f t="shared" si="13"/>
        <v>62.500576973502149</v>
      </c>
      <c r="I247" s="208">
        <f t="shared" si="14"/>
        <v>0</v>
      </c>
      <c r="J247" s="42">
        <f t="shared" si="15"/>
        <v>0</v>
      </c>
      <c r="K247" s="5"/>
      <c r="L247" s="10"/>
      <c r="M247" s="11"/>
      <c r="R247" s="11"/>
    </row>
    <row r="248" spans="1:18" x14ac:dyDescent="0.25">
      <c r="A248" s="38">
        <f>Données!A248</f>
        <v>5841</v>
      </c>
      <c r="B248" s="184" t="str">
        <f>Données!B248</f>
        <v>Château-d'Oex</v>
      </c>
      <c r="C248" s="321">
        <f>VPI!R248</f>
        <v>123828.98781186093</v>
      </c>
      <c r="D248" s="465">
        <f>Données!AP248</f>
        <v>6.385520132027378</v>
      </c>
      <c r="E248" s="379">
        <f>VPI!Q248</f>
        <v>81.5</v>
      </c>
      <c r="F248" s="225">
        <f t="shared" si="12"/>
        <v>75.114479867972619</v>
      </c>
      <c r="G248" s="223">
        <f>Effort!I248+Aide!I248/Taux!C248+Effort!K248/Taux!C248</f>
        <v>-6.2080853532568732</v>
      </c>
      <c r="H248" s="83">
        <f t="shared" si="13"/>
        <v>68.906394514715743</v>
      </c>
      <c r="I248" s="208">
        <f t="shared" si="14"/>
        <v>0</v>
      </c>
      <c r="J248" s="42">
        <f t="shared" si="15"/>
        <v>0</v>
      </c>
      <c r="K248" s="5"/>
      <c r="L248" s="10"/>
      <c r="M248" s="11"/>
      <c r="R248" s="11"/>
    </row>
    <row r="249" spans="1:18" x14ac:dyDescent="0.25">
      <c r="A249" s="38">
        <f>Données!A249</f>
        <v>5842</v>
      </c>
      <c r="B249" s="184" t="str">
        <f>Données!B249</f>
        <v>Rossinière</v>
      </c>
      <c r="C249" s="321">
        <f>VPI!R249</f>
        <v>16474.219053497945</v>
      </c>
      <c r="D249" s="465">
        <f>Données!AP249</f>
        <v>7.2903301724338467</v>
      </c>
      <c r="E249" s="379">
        <f>VPI!Q249</f>
        <v>81</v>
      </c>
      <c r="F249" s="225">
        <f t="shared" si="12"/>
        <v>73.709669827566159</v>
      </c>
      <c r="G249" s="223">
        <f>Effort!I249+Aide!I249/Taux!C249+Effort!K249/Taux!C249</f>
        <v>-7.7687359258213569</v>
      </c>
      <c r="H249" s="83">
        <f t="shared" si="13"/>
        <v>65.940933901744799</v>
      </c>
      <c r="I249" s="208">
        <f t="shared" si="14"/>
        <v>0</v>
      </c>
      <c r="J249" s="42">
        <f t="shared" si="15"/>
        <v>0</v>
      </c>
      <c r="K249" s="5"/>
      <c r="L249" s="10"/>
      <c r="M249" s="11"/>
      <c r="R249" s="11"/>
    </row>
    <row r="250" spans="1:18" x14ac:dyDescent="0.25">
      <c r="A250" s="38">
        <f>Données!A250</f>
        <v>5843</v>
      </c>
      <c r="B250" s="184" t="str">
        <f>Données!B250</f>
        <v>Rougemont</v>
      </c>
      <c r="C250" s="321">
        <f>VPI!R250</f>
        <v>89736.824345991568</v>
      </c>
      <c r="D250" s="465">
        <f>Données!AP250</f>
        <v>45.442833562218411</v>
      </c>
      <c r="E250" s="379">
        <f>VPI!Q250</f>
        <v>79</v>
      </c>
      <c r="F250" s="225">
        <f t="shared" si="12"/>
        <v>33.557166437781589</v>
      </c>
      <c r="G250" s="223">
        <f>Effort!I250+Aide!I250/Taux!C250+Effort!K250/Taux!C250</f>
        <v>44.343785367847332</v>
      </c>
      <c r="H250" s="83">
        <f t="shared" si="13"/>
        <v>77.900951805628921</v>
      </c>
      <c r="I250" s="208">
        <f t="shared" si="14"/>
        <v>0</v>
      </c>
      <c r="J250" s="42">
        <f t="shared" si="15"/>
        <v>0</v>
      </c>
      <c r="K250" s="5"/>
      <c r="L250" s="10"/>
      <c r="M250" s="11"/>
      <c r="R250" s="11"/>
    </row>
    <row r="251" spans="1:18" x14ac:dyDescent="0.25">
      <c r="A251" s="38">
        <f>Données!A251</f>
        <v>5851</v>
      </c>
      <c r="B251" s="184" t="str">
        <f>Données!B251</f>
        <v>Allaman</v>
      </c>
      <c r="C251" s="321">
        <f>VPI!R251</f>
        <v>24651.765025641023</v>
      </c>
      <c r="D251" s="465">
        <f>Données!AP251</f>
        <v>30.657222249186244</v>
      </c>
      <c r="E251" s="379">
        <f>VPI!Q251</f>
        <v>65</v>
      </c>
      <c r="F251" s="225">
        <f t="shared" si="12"/>
        <v>34.342777750813752</v>
      </c>
      <c r="G251" s="223">
        <f>Effort!I251+Aide!I251/Taux!C251+Effort!K251/Taux!C251</f>
        <v>30.598468881741489</v>
      </c>
      <c r="H251" s="83">
        <f t="shared" si="13"/>
        <v>64.941246632555249</v>
      </c>
      <c r="I251" s="208">
        <f t="shared" si="14"/>
        <v>0</v>
      </c>
      <c r="J251" s="42">
        <f t="shared" si="15"/>
        <v>0</v>
      </c>
      <c r="K251" s="5"/>
      <c r="L251" s="10"/>
      <c r="M251" s="11"/>
      <c r="R251" s="11"/>
    </row>
    <row r="252" spans="1:18" x14ac:dyDescent="0.25">
      <c r="A252" s="38">
        <f>Données!A252</f>
        <v>5852</v>
      </c>
      <c r="B252" s="184" t="str">
        <f>Données!B252</f>
        <v>Bursinel</v>
      </c>
      <c r="C252" s="321">
        <f>VPI!R252</f>
        <v>35649.594677419358</v>
      </c>
      <c r="D252" s="465">
        <f>Données!AP252</f>
        <v>33.321693419210249</v>
      </c>
      <c r="E252" s="379">
        <f>VPI!Q252</f>
        <v>62</v>
      </c>
      <c r="F252" s="225">
        <f t="shared" si="12"/>
        <v>28.678306580789751</v>
      </c>
      <c r="G252" s="223">
        <f>Effort!I252+Aide!I252/Taux!C252+Effort!K252/Taux!C252</f>
        <v>33.986920752741163</v>
      </c>
      <c r="H252" s="83">
        <f t="shared" si="13"/>
        <v>62.665227333530915</v>
      </c>
      <c r="I252" s="208">
        <f t="shared" si="14"/>
        <v>0</v>
      </c>
      <c r="J252" s="42">
        <f t="shared" si="15"/>
        <v>0</v>
      </c>
      <c r="K252" s="5"/>
      <c r="L252" s="10"/>
      <c r="M252" s="11"/>
      <c r="R252" s="11"/>
    </row>
    <row r="253" spans="1:18" x14ac:dyDescent="0.25">
      <c r="A253" s="38">
        <f>Données!A253</f>
        <v>5853</v>
      </c>
      <c r="B253" s="184" t="str">
        <f>Données!B253</f>
        <v>Bursins</v>
      </c>
      <c r="C253" s="321">
        <f>VPI!R253</f>
        <v>47536.23239436619</v>
      </c>
      <c r="D253" s="465">
        <f>Données!AP253</f>
        <v>30.943739487095645</v>
      </c>
      <c r="E253" s="379">
        <f>VPI!Q253</f>
        <v>71</v>
      </c>
      <c r="F253" s="225">
        <f t="shared" si="12"/>
        <v>40.056260512904359</v>
      </c>
      <c r="G253" s="223">
        <f>Effort!I253+Aide!I253/Taux!C253+Effort!K253/Taux!C253</f>
        <v>32.251230600408562</v>
      </c>
      <c r="H253" s="83">
        <f t="shared" si="13"/>
        <v>72.307491113312921</v>
      </c>
      <c r="I253" s="208">
        <f t="shared" si="14"/>
        <v>0</v>
      </c>
      <c r="J253" s="42">
        <f t="shared" si="15"/>
        <v>0</v>
      </c>
      <c r="K253" s="5"/>
      <c r="L253" s="10"/>
      <c r="M253" s="11"/>
      <c r="R253" s="11"/>
    </row>
    <row r="254" spans="1:18" x14ac:dyDescent="0.25">
      <c r="A254" s="38">
        <f>Données!A254</f>
        <v>5854</v>
      </c>
      <c r="B254" s="184" t="str">
        <f>Données!B254</f>
        <v>Burtigny</v>
      </c>
      <c r="C254" s="321">
        <f>VPI!R254</f>
        <v>15260.883397027597</v>
      </c>
      <c r="D254" s="465">
        <f>Données!AP254</f>
        <v>19.283542136804243</v>
      </c>
      <c r="E254" s="379">
        <f>VPI!Q254</f>
        <v>78.5</v>
      </c>
      <c r="F254" s="225">
        <f t="shared" si="12"/>
        <v>59.216457863195757</v>
      </c>
      <c r="G254" s="223">
        <f>Effort!I254+Aide!I254/Taux!C254+Effort!K254/Taux!C254</f>
        <v>17.371247887874311</v>
      </c>
      <c r="H254" s="83">
        <f t="shared" si="13"/>
        <v>76.587705751070075</v>
      </c>
      <c r="I254" s="208">
        <f t="shared" si="14"/>
        <v>0</v>
      </c>
      <c r="J254" s="42">
        <f t="shared" si="15"/>
        <v>0</v>
      </c>
      <c r="K254" s="5"/>
      <c r="L254" s="10"/>
      <c r="M254" s="11"/>
      <c r="R254" s="11"/>
    </row>
    <row r="255" spans="1:18" x14ac:dyDescent="0.25">
      <c r="A255" s="38">
        <f>Données!A255</f>
        <v>5855</v>
      </c>
      <c r="B255" s="184" t="str">
        <f>Données!B255</f>
        <v>Dully</v>
      </c>
      <c r="C255" s="321">
        <f>VPI!R255</f>
        <v>82571.89</v>
      </c>
      <c r="D255" s="465">
        <f>Données!AP255</f>
        <v>43.842206024665565</v>
      </c>
      <c r="E255" s="379">
        <f>VPI!Q255</f>
        <v>53</v>
      </c>
      <c r="F255" s="225">
        <f t="shared" si="12"/>
        <v>9.1577939753344353</v>
      </c>
      <c r="G255" s="223">
        <f>Effort!I255+Aide!I255/Taux!C255+Effort!K255/Taux!C255</f>
        <v>43.136924225992772</v>
      </c>
      <c r="H255" s="83">
        <f t="shared" si="13"/>
        <v>52.294718201327207</v>
      </c>
      <c r="I255" s="208">
        <f t="shared" si="14"/>
        <v>0</v>
      </c>
      <c r="J255" s="42">
        <f t="shared" si="15"/>
        <v>0</v>
      </c>
      <c r="K255" s="5"/>
      <c r="L255" s="10"/>
      <c r="M255" s="11"/>
      <c r="R255" s="11"/>
    </row>
    <row r="256" spans="1:18" x14ac:dyDescent="0.25">
      <c r="A256" s="38">
        <f>Données!A256</f>
        <v>5856</v>
      </c>
      <c r="B256" s="184" t="str">
        <f>Données!B256</f>
        <v>Essertines-sur-Rolle</v>
      </c>
      <c r="C256" s="321">
        <f>VPI!R256</f>
        <v>36460.812481203015</v>
      </c>
      <c r="D256" s="465">
        <f>Données!AP256</f>
        <v>30.395880353325364</v>
      </c>
      <c r="E256" s="379">
        <f>VPI!Q256</f>
        <v>66.5</v>
      </c>
      <c r="F256" s="225">
        <f t="shared" si="12"/>
        <v>36.104119646674633</v>
      </c>
      <c r="G256" s="223">
        <f>Effort!I256+Aide!I256/Taux!C256+Effort!K256/Taux!C256</f>
        <v>28.18248044429712</v>
      </c>
      <c r="H256" s="83">
        <f t="shared" si="13"/>
        <v>64.286600090971746</v>
      </c>
      <c r="I256" s="208">
        <f t="shared" si="14"/>
        <v>0</v>
      </c>
      <c r="J256" s="42">
        <f t="shared" si="15"/>
        <v>0</v>
      </c>
      <c r="K256" s="5"/>
      <c r="L256" s="10"/>
      <c r="M256" s="11"/>
      <c r="R256" s="11"/>
    </row>
    <row r="257" spans="1:18" x14ac:dyDescent="0.25">
      <c r="A257" s="38">
        <f>Données!A257</f>
        <v>5857</v>
      </c>
      <c r="B257" s="184" t="str">
        <f>Données!B257</f>
        <v>Gilly</v>
      </c>
      <c r="C257" s="321">
        <f>VPI!R257</f>
        <v>86828.689767441872</v>
      </c>
      <c r="D257" s="465">
        <f>Données!AP257</f>
        <v>30.914347949082504</v>
      </c>
      <c r="E257" s="379">
        <f>VPI!Q257</f>
        <v>64.5</v>
      </c>
      <c r="F257" s="225">
        <f t="shared" si="12"/>
        <v>33.585652050917496</v>
      </c>
      <c r="G257" s="223">
        <f>Effort!I257+Aide!I257/Taux!C257+Effort!K257/Taux!C257</f>
        <v>30.123606941159196</v>
      </c>
      <c r="H257" s="83">
        <f t="shared" si="13"/>
        <v>63.709258992076691</v>
      </c>
      <c r="I257" s="208">
        <f t="shared" si="14"/>
        <v>0</v>
      </c>
      <c r="J257" s="42">
        <f t="shared" si="15"/>
        <v>0</v>
      </c>
      <c r="K257" s="5"/>
      <c r="L257" s="10"/>
      <c r="M257" s="11"/>
      <c r="R257" s="11"/>
    </row>
    <row r="258" spans="1:18" x14ac:dyDescent="0.25">
      <c r="A258" s="38">
        <f>Données!A258</f>
        <v>5858</v>
      </c>
      <c r="B258" s="184" t="str">
        <f>Données!B258</f>
        <v>Luins</v>
      </c>
      <c r="C258" s="321">
        <f>VPI!R258</f>
        <v>41161.285925925928</v>
      </c>
      <c r="D258" s="465">
        <f>Données!AP258</f>
        <v>31.428078368315767</v>
      </c>
      <c r="E258" s="379">
        <f>VPI!Q258</f>
        <v>58.5</v>
      </c>
      <c r="F258" s="225">
        <f t="shared" si="12"/>
        <v>27.071921631684233</v>
      </c>
      <c r="G258" s="223">
        <f>Effort!I258+Aide!I258/Taux!C258+Effort!K258/Taux!C258</f>
        <v>32.76541624800798</v>
      </c>
      <c r="H258" s="83">
        <f t="shared" si="13"/>
        <v>59.837337879692214</v>
      </c>
      <c r="I258" s="208">
        <f t="shared" si="14"/>
        <v>0</v>
      </c>
      <c r="J258" s="42">
        <f t="shared" si="15"/>
        <v>0</v>
      </c>
      <c r="K258" s="5"/>
      <c r="L258" s="10"/>
      <c r="M258" s="11"/>
      <c r="R258" s="11"/>
    </row>
    <row r="259" spans="1:18" x14ac:dyDescent="0.25">
      <c r="A259" s="38">
        <f>Données!A259</f>
        <v>5859</v>
      </c>
      <c r="B259" s="184" t="str">
        <f>Données!B259</f>
        <v>Mont-sur-Rolle</v>
      </c>
      <c r="C259" s="321">
        <f>VPI!R259</f>
        <v>158436.40771653541</v>
      </c>
      <c r="D259" s="465">
        <f>Données!AP259</f>
        <v>28.613893428282903</v>
      </c>
      <c r="E259" s="379">
        <f>VPI!Q259</f>
        <v>63.5</v>
      </c>
      <c r="F259" s="225">
        <f t="shared" si="12"/>
        <v>34.886106571717093</v>
      </c>
      <c r="G259" s="223">
        <f>Effort!I259+Aide!I259/Taux!C259+Effort!K259/Taux!C259</f>
        <v>26.480977555222246</v>
      </c>
      <c r="H259" s="83">
        <f t="shared" si="13"/>
        <v>61.367084126939339</v>
      </c>
      <c r="I259" s="208">
        <f t="shared" si="14"/>
        <v>0</v>
      </c>
      <c r="J259" s="42">
        <f t="shared" si="15"/>
        <v>0</v>
      </c>
      <c r="K259" s="5"/>
      <c r="L259" s="10"/>
      <c r="M259" s="11"/>
      <c r="R259" s="11"/>
    </row>
    <row r="260" spans="1:18" x14ac:dyDescent="0.25">
      <c r="A260" s="38">
        <f>Données!A260</f>
        <v>5860</v>
      </c>
      <c r="B260" s="184" t="str">
        <f>Données!B260</f>
        <v>Perroy</v>
      </c>
      <c r="C260" s="321">
        <f>VPI!R260</f>
        <v>132374.98733727811</v>
      </c>
      <c r="D260" s="465">
        <f>Données!AP260</f>
        <v>35.589111334884009</v>
      </c>
      <c r="E260" s="379">
        <f>VPI!Q260</f>
        <v>58.5</v>
      </c>
      <c r="F260" s="225">
        <f t="shared" si="12"/>
        <v>22.910888665115991</v>
      </c>
      <c r="G260" s="223">
        <f>Effort!I260+Aide!I260/Taux!C260+Effort!K260/Taux!C260</f>
        <v>36.197819184760021</v>
      </c>
      <c r="H260" s="83">
        <f t="shared" si="13"/>
        <v>59.108707849876012</v>
      </c>
      <c r="I260" s="208">
        <f t="shared" si="14"/>
        <v>0</v>
      </c>
      <c r="J260" s="42">
        <f t="shared" si="15"/>
        <v>0</v>
      </c>
      <c r="K260" s="5"/>
      <c r="L260" s="10"/>
      <c r="M260" s="11"/>
      <c r="R260" s="11"/>
    </row>
    <row r="261" spans="1:18" x14ac:dyDescent="0.25">
      <c r="A261" s="38">
        <f>Données!A261</f>
        <v>5861</v>
      </c>
      <c r="B261" s="184" t="str">
        <f>Données!B261</f>
        <v>Rolle</v>
      </c>
      <c r="C261" s="321">
        <f>VPI!R261</f>
        <v>897513.79815126071</v>
      </c>
      <c r="D261" s="465">
        <f>Données!AP261</f>
        <v>37.518156761907811</v>
      </c>
      <c r="E261" s="379">
        <f>VPI!Q261</f>
        <v>59.5</v>
      </c>
      <c r="F261" s="225">
        <f t="shared" si="12"/>
        <v>21.981843238092189</v>
      </c>
      <c r="G261" s="223">
        <f>Effort!I261+Aide!I261/Taux!C261+Effort!K261/Taux!C261</f>
        <v>43.906909104975782</v>
      </c>
      <c r="H261" s="83">
        <f t="shared" si="13"/>
        <v>65.888752343067978</v>
      </c>
      <c r="I261" s="208">
        <f t="shared" si="14"/>
        <v>0</v>
      </c>
      <c r="J261" s="42">
        <f t="shared" si="15"/>
        <v>0</v>
      </c>
      <c r="K261" s="5"/>
      <c r="L261" s="10"/>
      <c r="M261" s="11"/>
      <c r="R261" s="11"/>
    </row>
    <row r="262" spans="1:18" x14ac:dyDescent="0.25">
      <c r="A262" s="38">
        <f>Données!A262</f>
        <v>5862</v>
      </c>
      <c r="B262" s="184" t="str">
        <f>Données!B262</f>
        <v>Tartegnin</v>
      </c>
      <c r="C262" s="321">
        <f>VPI!R262</f>
        <v>10371.497468354431</v>
      </c>
      <c r="D262" s="465">
        <f>Données!AP262</f>
        <v>15.13036296141965</v>
      </c>
      <c r="E262" s="379">
        <f>VPI!Q262</f>
        <v>79</v>
      </c>
      <c r="F262" s="225">
        <f t="shared" si="12"/>
        <v>63.86963703858035</v>
      </c>
      <c r="G262" s="223">
        <f>Effort!I262+Aide!I262/Taux!C262+Effort!K262/Taux!C262</f>
        <v>23.595315356740535</v>
      </c>
      <c r="H262" s="83">
        <f t="shared" si="13"/>
        <v>87.464952395320893</v>
      </c>
      <c r="I262" s="208">
        <f t="shared" si="14"/>
        <v>0</v>
      </c>
      <c r="J262" s="42">
        <f t="shared" si="15"/>
        <v>0</v>
      </c>
      <c r="K262" s="5"/>
      <c r="L262" s="10"/>
      <c r="M262" s="11"/>
      <c r="R262" s="11"/>
    </row>
    <row r="263" spans="1:18" x14ac:dyDescent="0.25">
      <c r="A263" s="38">
        <f>Données!A263</f>
        <v>5863</v>
      </c>
      <c r="B263" s="184" t="str">
        <f>Données!B263</f>
        <v>Vinzel</v>
      </c>
      <c r="C263" s="321">
        <f>VPI!R263</f>
        <v>23661.929552238806</v>
      </c>
      <c r="D263" s="465">
        <f>Données!AP263</f>
        <v>30.934327384796951</v>
      </c>
      <c r="E263" s="379">
        <f>VPI!Q263</f>
        <v>67</v>
      </c>
      <c r="F263" s="225">
        <f t="shared" ref="F263:F300" si="16">E263-D263</f>
        <v>36.065672615203049</v>
      </c>
      <c r="G263" s="223">
        <f>Effort!I263+Aide!I263/Taux!C263+Effort!K263/Taux!C263</f>
        <v>32.213366104440581</v>
      </c>
      <c r="H263" s="83">
        <f t="shared" ref="H263:H300" si="17">F263+G263</f>
        <v>68.279038719643637</v>
      </c>
      <c r="I263" s="208">
        <f t="shared" ref="I263:I305" si="18">IF(H263&gt;$I$5,H263-$I$5,0)</f>
        <v>0</v>
      </c>
      <c r="J263" s="42">
        <f t="shared" ref="J263:J300" si="19">-I263*C263</f>
        <v>0</v>
      </c>
      <c r="K263" s="5"/>
      <c r="L263" s="10"/>
      <c r="M263" s="11"/>
      <c r="R263" s="11"/>
    </row>
    <row r="264" spans="1:18" x14ac:dyDescent="0.25">
      <c r="A264" s="38">
        <f>Données!A264</f>
        <v>5871</v>
      </c>
      <c r="B264" s="184" t="str">
        <f>Données!B264</f>
        <v>L'Abbaye</v>
      </c>
      <c r="C264" s="321">
        <f>VPI!R264</f>
        <v>50236.516429495467</v>
      </c>
      <c r="D264" s="465">
        <f>Données!AP264</f>
        <v>15.055100369087794</v>
      </c>
      <c r="E264" s="379">
        <f>VPI!Q264</f>
        <v>77.3</v>
      </c>
      <c r="F264" s="225">
        <f t="shared" si="16"/>
        <v>62.244899630912201</v>
      </c>
      <c r="G264" s="223">
        <f>Effort!I264+Aide!I264/Taux!C264+Effort!K264/Taux!C264</f>
        <v>4.3637692802255295</v>
      </c>
      <c r="H264" s="83">
        <f t="shared" si="17"/>
        <v>66.608668911137727</v>
      </c>
      <c r="I264" s="208">
        <f t="shared" si="18"/>
        <v>0</v>
      </c>
      <c r="J264" s="42">
        <f t="shared" si="19"/>
        <v>0</v>
      </c>
      <c r="K264" s="5"/>
      <c r="L264" s="10"/>
      <c r="M264" s="11"/>
      <c r="R264" s="11"/>
    </row>
    <row r="265" spans="1:18" x14ac:dyDescent="0.25">
      <c r="A265" s="38">
        <f>Données!A265</f>
        <v>5872</v>
      </c>
      <c r="B265" s="184" t="str">
        <f>Données!B265</f>
        <v>Le Chenit</v>
      </c>
      <c r="C265" s="321">
        <f>VPI!R265</f>
        <v>317064.3538829867</v>
      </c>
      <c r="D265" s="465">
        <f>Données!AP265</f>
        <v>20.810475895438987</v>
      </c>
      <c r="E265" s="379">
        <f>VPI!Q265</f>
        <v>66.83</v>
      </c>
      <c r="F265" s="225">
        <f t="shared" si="16"/>
        <v>46.019524104561015</v>
      </c>
      <c r="G265" s="223">
        <f>Effort!I265+Aide!I265/Taux!C265+Effort!K265/Taux!C265</f>
        <v>26.664176934501409</v>
      </c>
      <c r="H265" s="83">
        <f t="shared" si="17"/>
        <v>72.683701039062427</v>
      </c>
      <c r="I265" s="208">
        <f t="shared" si="18"/>
        <v>0</v>
      </c>
      <c r="J265" s="42">
        <f t="shared" si="19"/>
        <v>0</v>
      </c>
      <c r="K265" s="5"/>
      <c r="L265" s="10"/>
      <c r="M265" s="11"/>
      <c r="R265" s="11"/>
    </row>
    <row r="266" spans="1:18" x14ac:dyDescent="0.25">
      <c r="A266" s="38">
        <f>Données!A266</f>
        <v>5873</v>
      </c>
      <c r="B266" s="184" t="str">
        <f>Données!B266</f>
        <v>Le Lieu</v>
      </c>
      <c r="C266" s="321">
        <f>VPI!R266</f>
        <v>35207.025785714286</v>
      </c>
      <c r="D266" s="465">
        <f>Données!AP266</f>
        <v>20.423181488188558</v>
      </c>
      <c r="E266" s="379">
        <f>VPI!Q266</f>
        <v>70</v>
      </c>
      <c r="F266" s="225">
        <f t="shared" si="16"/>
        <v>49.576818511811439</v>
      </c>
      <c r="G266" s="223">
        <f>Effort!I266+Aide!I266/Taux!C266+Effort!K266/Taux!C266</f>
        <v>4.4159871511657247</v>
      </c>
      <c r="H266" s="83">
        <f t="shared" si="17"/>
        <v>53.992805662977162</v>
      </c>
      <c r="I266" s="208">
        <f t="shared" si="18"/>
        <v>0</v>
      </c>
      <c r="J266" s="42">
        <f t="shared" si="19"/>
        <v>0</v>
      </c>
      <c r="K266" s="5"/>
      <c r="L266" s="10"/>
      <c r="M266" s="11"/>
      <c r="R266" s="11"/>
    </row>
    <row r="267" spans="1:18" x14ac:dyDescent="0.25">
      <c r="A267" s="38">
        <f>Données!A267</f>
        <v>5882</v>
      </c>
      <c r="B267" s="184" t="str">
        <f>Données!B267</f>
        <v>Chardonne</v>
      </c>
      <c r="C267" s="321">
        <f>VPI!R267</f>
        <v>201756.91955882352</v>
      </c>
      <c r="D267" s="465">
        <f>Données!AP267</f>
        <v>29.30275136030145</v>
      </c>
      <c r="E267" s="379">
        <f>VPI!Q267</f>
        <v>68</v>
      </c>
      <c r="F267" s="225">
        <f t="shared" si="16"/>
        <v>38.69724863969855</v>
      </c>
      <c r="G267" s="223">
        <f>Effort!I267+Aide!I267/Taux!C267+Effort!K267/Taux!C267</f>
        <v>28.434047889588655</v>
      </c>
      <c r="H267" s="83">
        <f t="shared" si="17"/>
        <v>67.131296529287198</v>
      </c>
      <c r="I267" s="208">
        <f t="shared" si="18"/>
        <v>0</v>
      </c>
      <c r="J267" s="42">
        <f t="shared" si="19"/>
        <v>0</v>
      </c>
      <c r="K267" s="5"/>
      <c r="L267" s="10"/>
      <c r="M267" s="11"/>
      <c r="R267" s="11"/>
    </row>
    <row r="268" spans="1:18" x14ac:dyDescent="0.25">
      <c r="A268" s="38">
        <f>Données!A268</f>
        <v>5883</v>
      </c>
      <c r="B268" s="184" t="str">
        <f>Données!B268</f>
        <v>Corseaux</v>
      </c>
      <c r="C268" s="321">
        <f>VPI!R268</f>
        <v>180896.25407407407</v>
      </c>
      <c r="D268" s="465">
        <f>Données!AP268</f>
        <v>36.275256969073332</v>
      </c>
      <c r="E268" s="379">
        <f>VPI!Q268</f>
        <v>67.5</v>
      </c>
      <c r="F268" s="225">
        <f t="shared" si="16"/>
        <v>31.224743030926668</v>
      </c>
      <c r="G268" s="223">
        <f>Effort!I268+Aide!I268/Taux!C268+Effort!K268/Taux!C268</f>
        <v>34.841543964465373</v>
      </c>
      <c r="H268" s="83">
        <f t="shared" si="17"/>
        <v>66.066286995392034</v>
      </c>
      <c r="I268" s="208">
        <f t="shared" si="18"/>
        <v>0</v>
      </c>
      <c r="J268" s="42">
        <f t="shared" si="19"/>
        <v>0</v>
      </c>
      <c r="K268" s="5"/>
      <c r="L268" s="10"/>
      <c r="M268" s="11"/>
      <c r="R268" s="11"/>
    </row>
    <row r="269" spans="1:18" x14ac:dyDescent="0.25">
      <c r="A269" s="38">
        <f>Données!A269</f>
        <v>5884</v>
      </c>
      <c r="B269" s="184" t="str">
        <f>Données!B269</f>
        <v>Corsier-sur-Vevey</v>
      </c>
      <c r="C269" s="321">
        <f>VPI!R269</f>
        <v>128051.27881136951</v>
      </c>
      <c r="D269" s="465">
        <f>Données!AP269</f>
        <v>22.324724300311384</v>
      </c>
      <c r="E269" s="379">
        <f>VPI!Q269</f>
        <v>64.5</v>
      </c>
      <c r="F269" s="225">
        <f t="shared" si="16"/>
        <v>42.175275699688612</v>
      </c>
      <c r="G269" s="223">
        <f>Effort!I269+Aide!I269/Taux!C269+Effort!K269/Taux!C269</f>
        <v>7.0536930800303459</v>
      </c>
      <c r="H269" s="83">
        <f t="shared" si="17"/>
        <v>49.228968779718954</v>
      </c>
      <c r="I269" s="208">
        <f t="shared" si="18"/>
        <v>0</v>
      </c>
      <c r="J269" s="42">
        <f t="shared" si="19"/>
        <v>0</v>
      </c>
      <c r="K269" s="5"/>
      <c r="L269" s="10"/>
      <c r="M269" s="11"/>
      <c r="R269" s="11"/>
    </row>
    <row r="270" spans="1:18" x14ac:dyDescent="0.25">
      <c r="A270" s="38">
        <f>Données!A270</f>
        <v>5885</v>
      </c>
      <c r="B270" s="184" t="str">
        <f>Données!B270</f>
        <v>Jongny</v>
      </c>
      <c r="C270" s="321">
        <f>VPI!R270</f>
        <v>104091.36242206233</v>
      </c>
      <c r="D270" s="465">
        <f>Données!AP270</f>
        <v>28.063287040546395</v>
      </c>
      <c r="E270" s="379">
        <f>VPI!Q270</f>
        <v>69.5</v>
      </c>
      <c r="F270" s="225">
        <f t="shared" si="16"/>
        <v>41.436712959453601</v>
      </c>
      <c r="G270" s="223">
        <f>Effort!I270+Aide!I270/Taux!C270+Effort!K270/Taux!C270</f>
        <v>27.998095788510337</v>
      </c>
      <c r="H270" s="83">
        <f t="shared" si="17"/>
        <v>69.434808747963942</v>
      </c>
      <c r="I270" s="208">
        <f t="shared" si="18"/>
        <v>0</v>
      </c>
      <c r="J270" s="42">
        <f t="shared" si="19"/>
        <v>0</v>
      </c>
      <c r="K270" s="5"/>
      <c r="L270" s="10"/>
      <c r="M270" s="11"/>
      <c r="R270" s="11"/>
    </row>
    <row r="271" spans="1:18" x14ac:dyDescent="0.25">
      <c r="A271" s="38">
        <f>Données!A271</f>
        <v>5886</v>
      </c>
      <c r="B271" s="184" t="str">
        <f>Données!B271</f>
        <v>Montreux</v>
      </c>
      <c r="C271" s="321">
        <f>VPI!R271</f>
        <v>1153112.7161538461</v>
      </c>
      <c r="D271" s="465">
        <f>Données!AP271</f>
        <v>12.958235649939589</v>
      </c>
      <c r="E271" s="379">
        <f>VPI!Q271</f>
        <v>65</v>
      </c>
      <c r="F271" s="225">
        <f t="shared" si="16"/>
        <v>52.041764350060411</v>
      </c>
      <c r="G271" s="223">
        <f>Effort!I271+Aide!I271/Taux!C271+Effort!K271/Taux!C271</f>
        <v>4.2704278531271029</v>
      </c>
      <c r="H271" s="83">
        <f t="shared" si="17"/>
        <v>56.312192203187514</v>
      </c>
      <c r="I271" s="208">
        <f t="shared" si="18"/>
        <v>0</v>
      </c>
      <c r="J271" s="42">
        <f t="shared" si="19"/>
        <v>0</v>
      </c>
      <c r="K271" s="5"/>
      <c r="L271" s="10"/>
      <c r="M271" s="11"/>
      <c r="R271" s="11"/>
    </row>
    <row r="272" spans="1:18" x14ac:dyDescent="0.25">
      <c r="A272" s="38">
        <f>Données!A272</f>
        <v>5889</v>
      </c>
      <c r="B272" s="184" t="str">
        <f>Données!B272</f>
        <v>La Tour-de-Peilz</v>
      </c>
      <c r="C272" s="321">
        <f>VPI!R272</f>
        <v>709179.36611979152</v>
      </c>
      <c r="D272" s="465">
        <f>Données!AP272</f>
        <v>24.265636382822109</v>
      </c>
      <c r="E272" s="379">
        <f>VPI!Q272</f>
        <v>64</v>
      </c>
      <c r="F272" s="225">
        <f t="shared" si="16"/>
        <v>39.734363617177891</v>
      </c>
      <c r="G272" s="223">
        <f>Effort!I272+Aide!I272/Taux!C272+Effort!K272/Taux!C272</f>
        <v>21.20796859892144</v>
      </c>
      <c r="H272" s="83">
        <f t="shared" si="17"/>
        <v>60.942332216099331</v>
      </c>
      <c r="I272" s="208">
        <f t="shared" si="18"/>
        <v>0</v>
      </c>
      <c r="J272" s="42">
        <f t="shared" si="19"/>
        <v>0</v>
      </c>
      <c r="K272" s="5"/>
      <c r="L272" s="10"/>
      <c r="M272" s="11"/>
      <c r="R272" s="11"/>
    </row>
    <row r="273" spans="1:18" x14ac:dyDescent="0.25">
      <c r="A273" s="38">
        <f>Données!A273</f>
        <v>5890</v>
      </c>
      <c r="B273" s="184" t="str">
        <f>Données!B273</f>
        <v>Vevey</v>
      </c>
      <c r="C273" s="321">
        <f>VPI!R273</f>
        <v>945087.70393736032</v>
      </c>
      <c r="D273" s="465">
        <f>Données!AP273</f>
        <v>15.928494566429267</v>
      </c>
      <c r="E273" s="379">
        <f>VPI!Q273</f>
        <v>74.5</v>
      </c>
      <c r="F273" s="225">
        <f t="shared" si="16"/>
        <v>58.571505433570735</v>
      </c>
      <c r="G273" s="223">
        <f>Effort!I273+Aide!I273/Taux!C273+Effort!K273/Taux!C273</f>
        <v>10.487482338940891</v>
      </c>
      <c r="H273" s="83">
        <f t="shared" si="17"/>
        <v>69.058987772511628</v>
      </c>
      <c r="I273" s="208">
        <f t="shared" si="18"/>
        <v>0</v>
      </c>
      <c r="J273" s="42">
        <f t="shared" si="19"/>
        <v>0</v>
      </c>
      <c r="K273" s="5"/>
      <c r="L273" s="10"/>
      <c r="M273" s="11"/>
      <c r="R273" s="11"/>
    </row>
    <row r="274" spans="1:18" x14ac:dyDescent="0.25">
      <c r="A274" s="38">
        <f>Données!A274</f>
        <v>5891</v>
      </c>
      <c r="B274" s="184" t="str">
        <f>Données!B274</f>
        <v>Veytaux</v>
      </c>
      <c r="C274" s="321">
        <f>VPI!R274</f>
        <v>41113.316211031175</v>
      </c>
      <c r="D274" s="465">
        <f>Données!AP274</f>
        <v>24.391996183670738</v>
      </c>
      <c r="E274" s="379">
        <f>VPI!Q274</f>
        <v>69.5</v>
      </c>
      <c r="F274" s="225">
        <f t="shared" si="16"/>
        <v>45.108003816329258</v>
      </c>
      <c r="G274" s="223">
        <f>Effort!I274+Aide!I274/Taux!C274+Effort!K274/Taux!C274</f>
        <v>7.9260814436990081</v>
      </c>
      <c r="H274" s="83">
        <f t="shared" si="17"/>
        <v>53.034085260028263</v>
      </c>
      <c r="I274" s="208">
        <f t="shared" si="18"/>
        <v>0</v>
      </c>
      <c r="J274" s="42">
        <f t="shared" si="19"/>
        <v>0</v>
      </c>
      <c r="K274" s="5"/>
      <c r="L274" s="10"/>
      <c r="M274" s="11"/>
      <c r="R274" s="11"/>
    </row>
    <row r="275" spans="1:18" x14ac:dyDescent="0.25">
      <c r="A275" s="38">
        <f>Données!A275</f>
        <v>5892</v>
      </c>
      <c r="B275" s="184" t="str">
        <f>Données!B275</f>
        <v>Blonay-Saint-Légier</v>
      </c>
      <c r="C275" s="321">
        <f>VPI!R275</f>
        <v>749734.6567883211</v>
      </c>
      <c r="D275" s="465">
        <f>Données!AP275</f>
        <v>26.67</v>
      </c>
      <c r="E275" s="379">
        <f>VPI!Q275</f>
        <v>68.5</v>
      </c>
      <c r="F275" s="225">
        <f t="shared" si="16"/>
        <v>41.83</v>
      </c>
      <c r="G275" s="223">
        <f>Effort!I275+Aide!I275/Taux!C275+Effort!K275/Taux!C275</f>
        <v>21.910953394019835</v>
      </c>
      <c r="H275" s="83">
        <f t="shared" si="17"/>
        <v>63.740953394019833</v>
      </c>
      <c r="I275" s="208">
        <f t="shared" si="18"/>
        <v>0</v>
      </c>
      <c r="J275" s="42">
        <f t="shared" si="19"/>
        <v>0</v>
      </c>
      <c r="K275" s="5"/>
      <c r="L275" s="10"/>
      <c r="M275" s="11"/>
      <c r="R275" s="11"/>
    </row>
    <row r="276" spans="1:18" x14ac:dyDescent="0.25">
      <c r="A276" s="38">
        <f>Données!A276</f>
        <v>5902</v>
      </c>
      <c r="B276" s="184" t="str">
        <f>Données!B276</f>
        <v>Belmont-sur-Yverdon</v>
      </c>
      <c r="C276" s="321">
        <f>VPI!R276</f>
        <v>11918.01</v>
      </c>
      <c r="D276" s="465">
        <f>Données!AP276</f>
        <v>13.691373647738539</v>
      </c>
      <c r="E276" s="379">
        <f>VPI!Q276</f>
        <v>70</v>
      </c>
      <c r="F276" s="225">
        <f t="shared" si="16"/>
        <v>56.308626352261463</v>
      </c>
      <c r="G276" s="223">
        <f>Effort!I276+Aide!I276/Taux!C276+Effort!K276/Taux!C276</f>
        <v>10.561751159043816</v>
      </c>
      <c r="H276" s="83">
        <f t="shared" si="17"/>
        <v>66.870377511305279</v>
      </c>
      <c r="I276" s="208">
        <f t="shared" si="18"/>
        <v>0</v>
      </c>
      <c r="J276" s="42">
        <f t="shared" si="19"/>
        <v>0</v>
      </c>
      <c r="K276" s="5"/>
      <c r="L276" s="10"/>
      <c r="M276" s="11"/>
      <c r="R276" s="11"/>
    </row>
    <row r="277" spans="1:18" x14ac:dyDescent="0.25">
      <c r="A277" s="38">
        <f>Données!A277</f>
        <v>5903</v>
      </c>
      <c r="B277" s="184" t="str">
        <f>Données!B277</f>
        <v>Bioley-Magnoux</v>
      </c>
      <c r="C277" s="321">
        <f>VPI!R277</f>
        <v>6275.4313293650803</v>
      </c>
      <c r="D277" s="465">
        <f>Données!AP277</f>
        <v>8.0468215659746409</v>
      </c>
      <c r="E277" s="379">
        <f>VPI!Q277</f>
        <v>72</v>
      </c>
      <c r="F277" s="225">
        <f t="shared" si="16"/>
        <v>63.953178434025361</v>
      </c>
      <c r="G277" s="223">
        <f>Effort!I277+Aide!I277/Taux!C277+Effort!K277/Taux!C277</f>
        <v>-15.952419107581253</v>
      </c>
      <c r="H277" s="83">
        <f t="shared" si="17"/>
        <v>48.000759326444111</v>
      </c>
      <c r="I277" s="208">
        <f t="shared" si="18"/>
        <v>0</v>
      </c>
      <c r="J277" s="42">
        <f t="shared" si="19"/>
        <v>0</v>
      </c>
      <c r="K277" s="5"/>
      <c r="L277" s="10"/>
      <c r="M277" s="11"/>
      <c r="R277" s="11"/>
    </row>
    <row r="278" spans="1:18" x14ac:dyDescent="0.25">
      <c r="A278" s="38">
        <f>Données!A278</f>
        <v>5904</v>
      </c>
      <c r="B278" s="184" t="str">
        <f>Données!B278</f>
        <v>Chamblon</v>
      </c>
      <c r="C278" s="321">
        <f>VPI!R278</f>
        <v>18890.250303030305</v>
      </c>
      <c r="D278" s="465">
        <f>Données!AP278</f>
        <v>23.798419643528607</v>
      </c>
      <c r="E278" s="379">
        <f>VPI!Q278</f>
        <v>66</v>
      </c>
      <c r="F278" s="225">
        <f t="shared" si="16"/>
        <v>42.201580356471396</v>
      </c>
      <c r="G278" s="223">
        <f>Effort!I278+Aide!I278/Taux!C278+Effort!K278/Taux!C278</f>
        <v>18.984025305530889</v>
      </c>
      <c r="H278" s="83">
        <f t="shared" si="17"/>
        <v>61.185605662002288</v>
      </c>
      <c r="I278" s="208">
        <f t="shared" si="18"/>
        <v>0</v>
      </c>
      <c r="J278" s="42">
        <f t="shared" si="19"/>
        <v>0</v>
      </c>
      <c r="K278" s="5"/>
      <c r="L278" s="10"/>
      <c r="M278" s="11"/>
      <c r="R278" s="11"/>
    </row>
    <row r="279" spans="1:18" x14ac:dyDescent="0.25">
      <c r="A279" s="38">
        <f>Données!A279</f>
        <v>5905</v>
      </c>
      <c r="B279" s="184" t="str">
        <f>Données!B279</f>
        <v>Champvent</v>
      </c>
      <c r="C279" s="321">
        <f>VPI!R279</f>
        <v>21534.177714285714</v>
      </c>
      <c r="D279" s="465">
        <f>Données!AP279</f>
        <v>17.668941625173851</v>
      </c>
      <c r="E279" s="379">
        <f>VPI!Q279</f>
        <v>70</v>
      </c>
      <c r="F279" s="225">
        <f t="shared" si="16"/>
        <v>52.331058374826149</v>
      </c>
      <c r="G279" s="223">
        <f>Effort!I279+Aide!I279/Taux!C279+Effort!K279/Taux!C279</f>
        <v>9.7739196188258095</v>
      </c>
      <c r="H279" s="83">
        <f t="shared" si="17"/>
        <v>62.104977993651957</v>
      </c>
      <c r="I279" s="208">
        <f t="shared" si="18"/>
        <v>0</v>
      </c>
      <c r="J279" s="42">
        <f t="shared" si="19"/>
        <v>0</v>
      </c>
      <c r="K279" s="5"/>
      <c r="L279" s="10"/>
      <c r="M279" s="11"/>
      <c r="R279" s="11"/>
    </row>
    <row r="280" spans="1:18" x14ac:dyDescent="0.25">
      <c r="A280" s="38">
        <f>Données!A280</f>
        <v>5907</v>
      </c>
      <c r="B280" s="184" t="str">
        <f>Données!B280</f>
        <v>Chavannes-le-Chêne</v>
      </c>
      <c r="C280" s="321">
        <f>VPI!R280</f>
        <v>8453.4726666666666</v>
      </c>
      <c r="D280" s="465">
        <f>Données!AP280</f>
        <v>2.9418971883276925</v>
      </c>
      <c r="E280" s="379">
        <f>VPI!Q280</f>
        <v>75</v>
      </c>
      <c r="F280" s="225">
        <f t="shared" si="16"/>
        <v>72.058102811672313</v>
      </c>
      <c r="G280" s="223">
        <f>Effort!I280+Aide!I280/Taux!C280+Effort!K280/Taux!C280</f>
        <v>2.2601536469743202</v>
      </c>
      <c r="H280" s="83">
        <f t="shared" si="17"/>
        <v>74.31825645864663</v>
      </c>
      <c r="I280" s="208">
        <f t="shared" si="18"/>
        <v>0</v>
      </c>
      <c r="J280" s="42">
        <f t="shared" si="19"/>
        <v>0</v>
      </c>
      <c r="K280" s="5"/>
      <c r="L280" s="10"/>
      <c r="M280" s="11"/>
      <c r="R280" s="11"/>
    </row>
    <row r="281" spans="1:18" x14ac:dyDescent="0.25">
      <c r="A281" s="38">
        <f>Données!A281</f>
        <v>5908</v>
      </c>
      <c r="B281" s="184" t="str">
        <f>Données!B281</f>
        <v>Chêne-Pâquier</v>
      </c>
      <c r="C281" s="321">
        <f>VPI!R281</f>
        <v>4917.9366666666683</v>
      </c>
      <c r="D281" s="465">
        <f>Données!AP281</f>
        <v>9.6439397837711045</v>
      </c>
      <c r="E281" s="379">
        <f>VPI!Q281</f>
        <v>75</v>
      </c>
      <c r="F281" s="225">
        <f t="shared" si="16"/>
        <v>65.356060216228897</v>
      </c>
      <c r="G281" s="223">
        <f>Effort!I281+Aide!I281/Taux!C281+Effort!K281/Taux!C281</f>
        <v>4.8217082914983607</v>
      </c>
      <c r="H281" s="83">
        <f t="shared" si="17"/>
        <v>70.177768507727251</v>
      </c>
      <c r="I281" s="208">
        <f t="shared" si="18"/>
        <v>0</v>
      </c>
      <c r="J281" s="42">
        <f t="shared" si="19"/>
        <v>0</v>
      </c>
      <c r="K281" s="5"/>
      <c r="L281" s="10"/>
      <c r="M281" s="11"/>
      <c r="R281" s="11"/>
    </row>
    <row r="282" spans="1:18" x14ac:dyDescent="0.25">
      <c r="A282" s="38">
        <f>Données!A282</f>
        <v>5909</v>
      </c>
      <c r="B282" s="184" t="str">
        <f>Données!B282</f>
        <v>Cheseaux-Noréaz</v>
      </c>
      <c r="C282" s="321">
        <f>VPI!R282</f>
        <v>34179.649850746275</v>
      </c>
      <c r="D282" s="465">
        <f>Données!AP282</f>
        <v>28.996674749597883</v>
      </c>
      <c r="E282" s="379">
        <f>VPI!Q282</f>
        <v>67</v>
      </c>
      <c r="F282" s="225">
        <f t="shared" si="16"/>
        <v>38.003325250402114</v>
      </c>
      <c r="G282" s="223">
        <f>Effort!I282+Aide!I282/Taux!C282+Effort!K282/Taux!C282</f>
        <v>25.764445608664104</v>
      </c>
      <c r="H282" s="83">
        <f t="shared" si="17"/>
        <v>63.767770859066218</v>
      </c>
      <c r="I282" s="208">
        <f t="shared" si="18"/>
        <v>0</v>
      </c>
      <c r="J282" s="42">
        <f t="shared" si="19"/>
        <v>0</v>
      </c>
      <c r="K282" s="5"/>
      <c r="L282" s="10"/>
      <c r="M282" s="11"/>
      <c r="R282" s="11"/>
    </row>
    <row r="283" spans="1:18" x14ac:dyDescent="0.25">
      <c r="A283" s="38">
        <f>Données!A283</f>
        <v>5910</v>
      </c>
      <c r="B283" s="184" t="str">
        <f>Données!B283</f>
        <v>Cronay</v>
      </c>
      <c r="C283" s="321">
        <f>VPI!R283</f>
        <v>10620.023506493504</v>
      </c>
      <c r="D283" s="465">
        <f>Données!AP283</f>
        <v>6.2263747605558128</v>
      </c>
      <c r="E283" s="379">
        <f>VPI!Q283</f>
        <v>77</v>
      </c>
      <c r="F283" s="225">
        <f t="shared" si="16"/>
        <v>70.773625239444186</v>
      </c>
      <c r="G283" s="223">
        <f>Effort!I283+Aide!I283/Taux!C283+Effort!K283/Taux!C283</f>
        <v>-6.8500269912693312E-2</v>
      </c>
      <c r="H283" s="83">
        <f t="shared" si="17"/>
        <v>70.705124969531497</v>
      </c>
      <c r="I283" s="208">
        <f t="shared" si="18"/>
        <v>0</v>
      </c>
      <c r="J283" s="42">
        <f t="shared" si="19"/>
        <v>0</v>
      </c>
      <c r="K283" s="5"/>
      <c r="L283" s="10"/>
      <c r="M283" s="11"/>
      <c r="R283" s="11"/>
    </row>
    <row r="284" spans="1:18" x14ac:dyDescent="0.25">
      <c r="A284" s="38">
        <f>Données!A284</f>
        <v>5911</v>
      </c>
      <c r="B284" s="184" t="str">
        <f>Données!B284</f>
        <v>Cuarny</v>
      </c>
      <c r="C284" s="321">
        <f>VPI!R284</f>
        <v>7630.7251948051926</v>
      </c>
      <c r="D284" s="465">
        <f>Données!AP284</f>
        <v>13.046897042038109</v>
      </c>
      <c r="E284" s="379">
        <f>VPI!Q284</f>
        <v>77</v>
      </c>
      <c r="F284" s="225">
        <f t="shared" si="16"/>
        <v>63.953102957961889</v>
      </c>
      <c r="G284" s="223">
        <f>Effort!I284+Aide!I284/Taux!C284+Effort!K284/Taux!C284</f>
        <v>13.880338124561662</v>
      </c>
      <c r="H284" s="83">
        <f t="shared" si="17"/>
        <v>77.833441082523549</v>
      </c>
      <c r="I284" s="208">
        <f t="shared" si="18"/>
        <v>0</v>
      </c>
      <c r="J284" s="42">
        <f t="shared" si="19"/>
        <v>0</v>
      </c>
      <c r="K284" s="5"/>
      <c r="L284" s="10"/>
      <c r="M284" s="11"/>
      <c r="R284" s="11"/>
    </row>
    <row r="285" spans="1:18" s="202" customFormat="1" x14ac:dyDescent="0.25">
      <c r="A285" s="38">
        <f>Données!A285</f>
        <v>5912</v>
      </c>
      <c r="B285" s="184" t="str">
        <f>Données!B285</f>
        <v>Démoret</v>
      </c>
      <c r="C285" s="321">
        <f>VPI!R285</f>
        <v>3035.5994871794869</v>
      </c>
      <c r="D285" s="465">
        <f>Données!AP285</f>
        <v>8.6897736972399944</v>
      </c>
      <c r="E285" s="379">
        <f>VPI!Q285</f>
        <v>78</v>
      </c>
      <c r="F285" s="225">
        <f t="shared" si="16"/>
        <v>69.31022630276</v>
      </c>
      <c r="G285" s="223">
        <f>Effort!I285+Aide!I285/Taux!C285+Effort!K285/Taux!C285</f>
        <v>-19.830020268881121</v>
      </c>
      <c r="H285" s="83">
        <f t="shared" si="17"/>
        <v>49.480206033878879</v>
      </c>
      <c r="I285" s="208">
        <f t="shared" si="18"/>
        <v>0</v>
      </c>
      <c r="J285" s="42">
        <f t="shared" si="19"/>
        <v>0</v>
      </c>
      <c r="K285" s="5"/>
      <c r="L285" s="10"/>
    </row>
    <row r="286" spans="1:18" s="202" customFormat="1" x14ac:dyDescent="0.25">
      <c r="A286" s="38">
        <f>Données!A286</f>
        <v>5913</v>
      </c>
      <c r="B286" s="184" t="str">
        <f>Données!B286</f>
        <v>Donneloye</v>
      </c>
      <c r="C286" s="321">
        <f>VPI!R286</f>
        <v>21868.165342465756</v>
      </c>
      <c r="D286" s="465">
        <f>Données!AP286</f>
        <v>9.0773392157388439</v>
      </c>
      <c r="E286" s="379">
        <f>VPI!Q286</f>
        <v>73</v>
      </c>
      <c r="F286" s="225">
        <f t="shared" si="16"/>
        <v>63.922660784261154</v>
      </c>
      <c r="G286" s="223">
        <f>Effort!I286+Aide!I286/Taux!C286+Effort!K286/Taux!C286</f>
        <v>-0.27960266560048197</v>
      </c>
      <c r="H286" s="83">
        <f t="shared" si="17"/>
        <v>63.643058118660676</v>
      </c>
      <c r="I286" s="208">
        <f t="shared" si="18"/>
        <v>0</v>
      </c>
      <c r="J286" s="42">
        <f t="shared" si="19"/>
        <v>0</v>
      </c>
      <c r="K286" s="5"/>
      <c r="L286" s="10"/>
    </row>
    <row r="287" spans="1:18" s="202" customFormat="1" x14ac:dyDescent="0.25">
      <c r="A287" s="38">
        <f>Données!A287</f>
        <v>5914</v>
      </c>
      <c r="B287" s="184" t="str">
        <f>Données!B287</f>
        <v>Ependes</v>
      </c>
      <c r="C287" s="321">
        <f>VPI!R287</f>
        <v>9826.1438095238063</v>
      </c>
      <c r="D287" s="465">
        <f>Données!AP287</f>
        <v>7.1237883632554047</v>
      </c>
      <c r="E287" s="379">
        <f>VPI!Q287</f>
        <v>73.5</v>
      </c>
      <c r="F287" s="225">
        <f t="shared" si="16"/>
        <v>66.3762116367446</v>
      </c>
      <c r="G287" s="223">
        <f>Effort!I287+Aide!I287/Taux!C287+Effort!K287/Taux!C287</f>
        <v>0.38299808972083582</v>
      </c>
      <c r="H287" s="83">
        <f t="shared" si="17"/>
        <v>66.759209726465429</v>
      </c>
      <c r="I287" s="208">
        <f t="shared" si="18"/>
        <v>0</v>
      </c>
      <c r="J287" s="42">
        <f t="shared" si="19"/>
        <v>0</v>
      </c>
      <c r="K287" s="5"/>
      <c r="L287" s="10"/>
    </row>
    <row r="288" spans="1:18" s="202" customFormat="1" x14ac:dyDescent="0.25">
      <c r="A288" s="38">
        <f>Données!A288</f>
        <v>5919</v>
      </c>
      <c r="B288" s="184" t="str">
        <f>Données!B288</f>
        <v>Mathod</v>
      </c>
      <c r="C288" s="321">
        <f>VPI!R288</f>
        <v>20854.383912037036</v>
      </c>
      <c r="D288" s="465">
        <f>Données!AP288</f>
        <v>12.061962787574767</v>
      </c>
      <c r="E288" s="379">
        <f>VPI!Q288</f>
        <v>72</v>
      </c>
      <c r="F288" s="225">
        <f t="shared" si="16"/>
        <v>59.938037212425229</v>
      </c>
      <c r="G288" s="223">
        <f>Effort!I288+Aide!I288/Taux!C288+Effort!K288/Taux!C288</f>
        <v>9.5870233508446425</v>
      </c>
      <c r="H288" s="83">
        <f t="shared" si="17"/>
        <v>69.525060563269875</v>
      </c>
      <c r="I288" s="208">
        <f t="shared" si="18"/>
        <v>0</v>
      </c>
      <c r="J288" s="42">
        <f t="shared" si="19"/>
        <v>0</v>
      </c>
      <c r="K288" s="5"/>
      <c r="L288" s="10"/>
    </row>
    <row r="289" spans="1:18" s="202" customFormat="1" x14ac:dyDescent="0.25">
      <c r="A289" s="38">
        <f>Données!A289</f>
        <v>5921</v>
      </c>
      <c r="B289" s="184" t="str">
        <f>Données!B289</f>
        <v>Molondin</v>
      </c>
      <c r="C289" s="321">
        <f>VPI!R289</f>
        <v>5090.9675308641981</v>
      </c>
      <c r="D289" s="465">
        <f>Données!AP289</f>
        <v>0.39753570561138601</v>
      </c>
      <c r="E289" s="379">
        <f>VPI!Q289</f>
        <v>81</v>
      </c>
      <c r="F289" s="225">
        <f t="shared" si="16"/>
        <v>80.602464294388611</v>
      </c>
      <c r="G289" s="223">
        <f>Effort!I289+Aide!I289/Taux!C289+Effort!K289/Taux!C289</f>
        <v>-12.972989714269305</v>
      </c>
      <c r="H289" s="83">
        <f t="shared" si="17"/>
        <v>67.629474580119307</v>
      </c>
      <c r="I289" s="208">
        <f t="shared" si="18"/>
        <v>0</v>
      </c>
      <c r="J289" s="42">
        <f t="shared" si="19"/>
        <v>0</v>
      </c>
      <c r="K289" s="5"/>
      <c r="L289" s="10"/>
    </row>
    <row r="290" spans="1:18" s="202" customFormat="1" x14ac:dyDescent="0.25">
      <c r="A290" s="38">
        <f>Données!A290</f>
        <v>5922</v>
      </c>
      <c r="B290" s="184" t="str">
        <f>Données!B290</f>
        <v>Montagny-près-Yverdon</v>
      </c>
      <c r="C290" s="321">
        <f>VPI!R290</f>
        <v>39799.996472868217</v>
      </c>
      <c r="D290" s="465">
        <f>Données!AP290</f>
        <v>29.098328756621406</v>
      </c>
      <c r="E290" s="379">
        <f>VPI!Q290</f>
        <v>64.5</v>
      </c>
      <c r="F290" s="225">
        <f t="shared" si="16"/>
        <v>35.401671243378594</v>
      </c>
      <c r="G290" s="223">
        <f>Effort!I290+Aide!I290/Taux!C290+Effort!K290/Taux!C290</f>
        <v>25.044168296402447</v>
      </c>
      <c r="H290" s="83">
        <f t="shared" si="17"/>
        <v>60.445839539781041</v>
      </c>
      <c r="I290" s="208">
        <f t="shared" si="18"/>
        <v>0</v>
      </c>
      <c r="J290" s="42">
        <f t="shared" si="19"/>
        <v>0</v>
      </c>
      <c r="K290" s="5"/>
      <c r="L290" s="10"/>
    </row>
    <row r="291" spans="1:18" s="202" customFormat="1" x14ac:dyDescent="0.25">
      <c r="A291" s="38">
        <f>Données!A291</f>
        <v>5923</v>
      </c>
      <c r="B291" s="184" t="str">
        <f>Données!B291</f>
        <v>Oppens</v>
      </c>
      <c r="C291" s="321">
        <f>VPI!R291</f>
        <v>4459.4095061728403</v>
      </c>
      <c r="D291" s="465">
        <f>Données!AP291</f>
        <v>2.1094364201705265</v>
      </c>
      <c r="E291" s="379">
        <f>VPI!Q291</f>
        <v>81</v>
      </c>
      <c r="F291" s="225">
        <f t="shared" si="16"/>
        <v>78.890563579829475</v>
      </c>
      <c r="G291" s="223">
        <f>Effort!I291+Aide!I291/Taux!C291+Effort!K291/Taux!C291</f>
        <v>-15.490471444534418</v>
      </c>
      <c r="H291" s="83">
        <f t="shared" si="17"/>
        <v>63.400092135295054</v>
      </c>
      <c r="I291" s="208">
        <f t="shared" si="18"/>
        <v>0</v>
      </c>
      <c r="J291" s="42">
        <f t="shared" si="19"/>
        <v>0</v>
      </c>
      <c r="K291" s="5"/>
      <c r="L291" s="10"/>
    </row>
    <row r="292" spans="1:18" s="202" customFormat="1" x14ac:dyDescent="0.25">
      <c r="A292" s="38">
        <f>Données!A292</f>
        <v>5924</v>
      </c>
      <c r="B292" s="184" t="str">
        <f>Données!B292</f>
        <v>Orges</v>
      </c>
      <c r="C292" s="321">
        <f>VPI!R292</f>
        <v>11637.592027027025</v>
      </c>
      <c r="D292" s="465">
        <f>Données!AP292</f>
        <v>19.604113810476523</v>
      </c>
      <c r="E292" s="379">
        <f>VPI!Q292</f>
        <v>74</v>
      </c>
      <c r="F292" s="225">
        <f t="shared" si="16"/>
        <v>54.39588618952348</v>
      </c>
      <c r="G292" s="223">
        <f>Effort!I292+Aide!I292/Taux!C292+Effort!K292/Taux!C292</f>
        <v>8.1661679210475402</v>
      </c>
      <c r="H292" s="83">
        <f t="shared" si="17"/>
        <v>62.562054110571019</v>
      </c>
      <c r="I292" s="208">
        <f t="shared" si="18"/>
        <v>0</v>
      </c>
      <c r="J292" s="42">
        <f t="shared" si="19"/>
        <v>0</v>
      </c>
      <c r="K292" s="5"/>
      <c r="L292" s="10"/>
    </row>
    <row r="293" spans="1:18" x14ac:dyDescent="0.25">
      <c r="A293" s="38">
        <f>Données!A293</f>
        <v>5925</v>
      </c>
      <c r="B293" s="184" t="str">
        <f>Données!B293</f>
        <v>Orzens</v>
      </c>
      <c r="C293" s="321">
        <f>VPI!R293</f>
        <v>5255.7360759493668</v>
      </c>
      <c r="D293" s="465">
        <f>Données!AP293</f>
        <v>4.379456119725619</v>
      </c>
      <c r="E293" s="379">
        <f>VPI!Q293</f>
        <v>79</v>
      </c>
      <c r="F293" s="225">
        <f t="shared" si="16"/>
        <v>74.620543880274383</v>
      </c>
      <c r="G293" s="223">
        <f>Effort!I293+Aide!I293/Taux!C293+Effort!K293/Taux!C293</f>
        <v>-8.1285504608446857</v>
      </c>
      <c r="H293" s="83">
        <f t="shared" si="17"/>
        <v>66.49199341942969</v>
      </c>
      <c r="I293" s="208">
        <f t="shared" si="18"/>
        <v>0</v>
      </c>
      <c r="J293" s="42">
        <f t="shared" si="19"/>
        <v>0</v>
      </c>
      <c r="K293" s="5"/>
      <c r="L293" s="10"/>
      <c r="M293" s="11"/>
      <c r="R293" s="11"/>
    </row>
    <row r="294" spans="1:18" x14ac:dyDescent="0.25">
      <c r="A294" s="38">
        <f>Données!A294</f>
        <v>5926</v>
      </c>
      <c r="B294" s="184" t="str">
        <f>Données!B294</f>
        <v>Pomy</v>
      </c>
      <c r="C294" s="321">
        <f>VPI!R294</f>
        <v>26782.680140845066</v>
      </c>
      <c r="D294" s="465">
        <f>Données!AP294</f>
        <v>17.946168935028922</v>
      </c>
      <c r="E294" s="379">
        <f>VPI!Q294</f>
        <v>71</v>
      </c>
      <c r="F294" s="225">
        <f t="shared" si="16"/>
        <v>53.053831064971078</v>
      </c>
      <c r="G294" s="223">
        <f>Effort!I294+Aide!I294/Taux!C294+Effort!K294/Taux!C294</f>
        <v>13.081643350085233</v>
      </c>
      <c r="H294" s="83">
        <f t="shared" si="17"/>
        <v>66.135474415056308</v>
      </c>
      <c r="I294" s="208">
        <f t="shared" si="18"/>
        <v>0</v>
      </c>
      <c r="J294" s="42">
        <f t="shared" si="19"/>
        <v>0</v>
      </c>
      <c r="K294" s="5"/>
      <c r="L294" s="10"/>
      <c r="M294" s="11"/>
      <c r="R294" s="11"/>
    </row>
    <row r="295" spans="1:18" x14ac:dyDescent="0.25">
      <c r="A295" s="38">
        <f>Données!A295</f>
        <v>5928</v>
      </c>
      <c r="B295" s="184" t="str">
        <f>Données!B295</f>
        <v>Rovray</v>
      </c>
      <c r="C295" s="321">
        <f>VPI!R295</f>
        <v>5095.519580419581</v>
      </c>
      <c r="D295" s="465">
        <f>Données!AP295</f>
        <v>9.2819917240754659</v>
      </c>
      <c r="E295" s="379">
        <f>VPI!Q295</f>
        <v>71.5</v>
      </c>
      <c r="F295" s="225">
        <f t="shared" si="16"/>
        <v>62.218008275924532</v>
      </c>
      <c r="G295" s="223">
        <f>Effort!I295+Aide!I295/Taux!C295+Effort!K295/Taux!C295</f>
        <v>6.8186790947295766</v>
      </c>
      <c r="H295" s="83">
        <f t="shared" si="17"/>
        <v>69.036687370654107</v>
      </c>
      <c r="I295" s="208">
        <f t="shared" si="18"/>
        <v>0</v>
      </c>
      <c r="J295" s="42">
        <f t="shared" si="19"/>
        <v>0</v>
      </c>
      <c r="K295" s="5"/>
      <c r="L295" s="10"/>
      <c r="M295" s="11"/>
      <c r="R295" s="11"/>
    </row>
    <row r="296" spans="1:18" x14ac:dyDescent="0.25">
      <c r="A296" s="38">
        <f>Données!A296</f>
        <v>5929</v>
      </c>
      <c r="B296" s="184" t="str">
        <f>Données!B296</f>
        <v>Suchy</v>
      </c>
      <c r="C296" s="321">
        <f>VPI!R296</f>
        <v>21603.071857142855</v>
      </c>
      <c r="D296" s="465">
        <f>Données!AP296</f>
        <v>15.731623991753112</v>
      </c>
      <c r="E296" s="379">
        <f>VPI!Q296</f>
        <v>70</v>
      </c>
      <c r="F296" s="225">
        <f t="shared" si="16"/>
        <v>54.268376008246889</v>
      </c>
      <c r="G296" s="223">
        <f>Effort!I296+Aide!I296/Taux!C296+Effort!K296/Taux!C296</f>
        <v>16.30965597639479</v>
      </c>
      <c r="H296" s="83">
        <f t="shared" si="17"/>
        <v>70.578031984641683</v>
      </c>
      <c r="I296" s="208">
        <f t="shared" si="18"/>
        <v>0</v>
      </c>
      <c r="J296" s="42">
        <f t="shared" si="19"/>
        <v>0</v>
      </c>
      <c r="K296" s="5"/>
      <c r="L296" s="10"/>
      <c r="M296" s="11"/>
      <c r="R296" s="11"/>
    </row>
    <row r="297" spans="1:18" x14ac:dyDescent="0.25">
      <c r="A297" s="38">
        <f>Données!A297</f>
        <v>5930</v>
      </c>
      <c r="B297" s="184" t="str">
        <f>Données!B297</f>
        <v>Suscévaz</v>
      </c>
      <c r="C297" s="321">
        <f>VPI!R297</f>
        <v>5749.1651388888886</v>
      </c>
      <c r="D297" s="465">
        <f>Données!AP297</f>
        <v>15.195735512050128</v>
      </c>
      <c r="E297" s="379">
        <f>VPI!Q297</f>
        <v>72</v>
      </c>
      <c r="F297" s="225">
        <f t="shared" si="16"/>
        <v>56.804264487949872</v>
      </c>
      <c r="G297" s="223">
        <f>Effort!I297+Aide!I297/Taux!C297+Effort!K297/Taux!C297</f>
        <v>1.6237275221046552</v>
      </c>
      <c r="H297" s="83">
        <f t="shared" si="17"/>
        <v>58.427992010054524</v>
      </c>
      <c r="I297" s="208">
        <f t="shared" si="18"/>
        <v>0</v>
      </c>
      <c r="J297" s="42">
        <f t="shared" si="19"/>
        <v>0</v>
      </c>
      <c r="K297" s="5"/>
      <c r="L297" s="10"/>
      <c r="M297" s="11"/>
      <c r="R297" s="11"/>
    </row>
    <row r="298" spans="1:18" x14ac:dyDescent="0.25">
      <c r="A298" s="38">
        <f>Données!A298</f>
        <v>5931</v>
      </c>
      <c r="B298" s="184" t="str">
        <f>Données!B298</f>
        <v>Treycovagnes</v>
      </c>
      <c r="C298" s="321">
        <f>VPI!R298</f>
        <v>16306.743466666663</v>
      </c>
      <c r="D298" s="465">
        <f>Données!AP298</f>
        <v>14.432757288151009</v>
      </c>
      <c r="E298" s="379">
        <f>VPI!Q298</f>
        <v>75</v>
      </c>
      <c r="F298" s="225">
        <f t="shared" si="16"/>
        <v>60.567242711848991</v>
      </c>
      <c r="G298" s="223">
        <f>Effort!I298+Aide!I298/Taux!C298+Effort!K298/Taux!C298</f>
        <v>11.204235825755399</v>
      </c>
      <c r="H298" s="83">
        <f t="shared" si="17"/>
        <v>71.771478537604395</v>
      </c>
      <c r="I298" s="208">
        <f t="shared" si="18"/>
        <v>0</v>
      </c>
      <c r="J298" s="42">
        <f t="shared" si="19"/>
        <v>0</v>
      </c>
      <c r="K298" s="5"/>
      <c r="L298" s="10"/>
      <c r="M298" s="11"/>
      <c r="R298" s="11"/>
    </row>
    <row r="299" spans="1:18" x14ac:dyDescent="0.25">
      <c r="A299" s="38">
        <f>Données!A299</f>
        <v>5932</v>
      </c>
      <c r="B299" s="184" t="str">
        <f>Données!B299</f>
        <v>Ursins</v>
      </c>
      <c r="C299" s="321">
        <f>VPI!R299</f>
        <v>7945.6340000000009</v>
      </c>
      <c r="D299" s="465">
        <f>Données!AP299</f>
        <v>17.449227239360354</v>
      </c>
      <c r="E299" s="379">
        <f>VPI!Q299</f>
        <v>75</v>
      </c>
      <c r="F299" s="225">
        <f t="shared" si="16"/>
        <v>57.550772760639646</v>
      </c>
      <c r="G299" s="223">
        <f>Effort!I299+Aide!I299/Taux!C299+Effort!K299/Taux!C299</f>
        <v>16.94475593262009</v>
      </c>
      <c r="H299" s="83">
        <f t="shared" si="17"/>
        <v>74.495528693259729</v>
      </c>
      <c r="I299" s="208">
        <f t="shared" si="18"/>
        <v>0</v>
      </c>
      <c r="J299" s="42">
        <f t="shared" si="19"/>
        <v>0</v>
      </c>
      <c r="K299" s="5"/>
      <c r="L299" s="10"/>
      <c r="M299" s="11"/>
      <c r="R299" s="11"/>
    </row>
    <row r="300" spans="1:18" x14ac:dyDescent="0.25">
      <c r="A300" s="38">
        <f>Données!A300</f>
        <v>5933</v>
      </c>
      <c r="B300" s="184" t="str">
        <f>Données!B300</f>
        <v>Valeyres-sous-Montagny</v>
      </c>
      <c r="C300" s="321">
        <f>VPI!R300</f>
        <v>23478.314609929079</v>
      </c>
      <c r="D300" s="465">
        <f>Données!AP300</f>
        <v>12.120948554390793</v>
      </c>
      <c r="E300" s="379">
        <f>VPI!Q300</f>
        <v>70.5</v>
      </c>
      <c r="F300" s="225">
        <f t="shared" si="16"/>
        <v>58.379051445609207</v>
      </c>
      <c r="G300" s="223">
        <f>Effort!I300+Aide!I300/Taux!C300+Effort!K300/Taux!C300</f>
        <v>3.4875339561609859</v>
      </c>
      <c r="H300" s="83">
        <f t="shared" si="17"/>
        <v>61.866585401770195</v>
      </c>
      <c r="I300" s="208">
        <f t="shared" si="18"/>
        <v>0</v>
      </c>
      <c r="J300" s="42">
        <f t="shared" si="19"/>
        <v>0</v>
      </c>
      <c r="K300" s="5"/>
      <c r="L300" s="10"/>
      <c r="M300" s="11"/>
      <c r="R300" s="11"/>
    </row>
    <row r="301" spans="1:18" x14ac:dyDescent="0.25">
      <c r="A301" s="38">
        <f>Données!A301</f>
        <v>5934</v>
      </c>
      <c r="B301" s="184" t="str">
        <f>Données!B301</f>
        <v>Valeyres-sous-Ursins</v>
      </c>
      <c r="C301" s="321">
        <f>VPI!R301</f>
        <v>16787.585844155841</v>
      </c>
      <c r="D301" s="465">
        <f>Données!AP301</f>
        <v>9.8140131664116517</v>
      </c>
      <c r="E301" s="379">
        <f>VPI!Q301</f>
        <v>77</v>
      </c>
      <c r="F301" s="225">
        <f t="shared" ref="F301:F305" si="20">E301-D301</f>
        <v>67.185986833588345</v>
      </c>
      <c r="G301" s="223">
        <f>Effort!I301+Aide!I301/Taux!C301+Effort!K301/Taux!C301</f>
        <v>34.878271139280486</v>
      </c>
      <c r="H301" s="83">
        <v>77</v>
      </c>
      <c r="I301" s="208">
        <f t="shared" ref="I301" si="21">IF(H301&gt;$I$5,H301-$I$5,0)</f>
        <v>0</v>
      </c>
      <c r="J301" s="42">
        <f t="shared" ref="J301:J305" si="22">-I301*C301</f>
        <v>0</v>
      </c>
      <c r="K301" s="5"/>
      <c r="L301" s="10"/>
      <c r="M301" s="11"/>
      <c r="R301" s="11"/>
    </row>
    <row r="302" spans="1:18" x14ac:dyDescent="0.25">
      <c r="A302" s="38">
        <f>Données!A302</f>
        <v>5935</v>
      </c>
      <c r="B302" s="184" t="str">
        <f>Données!B302</f>
        <v>Villars-Epeney</v>
      </c>
      <c r="C302" s="321">
        <f>VPI!R302</f>
        <v>6724.4138235294122</v>
      </c>
      <c r="D302" s="465">
        <f>Données!AP302</f>
        <v>22.624285300478334</v>
      </c>
      <c r="E302" s="379">
        <f>VPI!Q302</f>
        <v>68</v>
      </c>
      <c r="F302" s="225">
        <f t="shared" si="20"/>
        <v>45.375714699521666</v>
      </c>
      <c r="G302" s="223">
        <f>Effort!I302+Aide!I302/Taux!C302+Effort!K302/Taux!C302</f>
        <v>34.526591109276453</v>
      </c>
      <c r="H302" s="83">
        <f t="shared" ref="H302:H305" si="23">F302+G302</f>
        <v>79.902305808798118</v>
      </c>
      <c r="I302" s="208">
        <f t="shared" si="18"/>
        <v>0</v>
      </c>
      <c r="J302" s="42">
        <f t="shared" si="22"/>
        <v>0</v>
      </c>
      <c r="K302" s="5"/>
      <c r="L302" s="10"/>
      <c r="M302" s="11"/>
      <c r="R302" s="11"/>
    </row>
    <row r="303" spans="1:18" x14ac:dyDescent="0.25">
      <c r="A303" s="38">
        <f>Données!A303</f>
        <v>5937</v>
      </c>
      <c r="B303" s="184" t="str">
        <f>Données!B303</f>
        <v>Vugelles-La Mothe</v>
      </c>
      <c r="C303" s="321">
        <f>VPI!R303</f>
        <v>3343.8941428571434</v>
      </c>
      <c r="D303" s="465">
        <f>Données!AP303</f>
        <v>7.3029066388922566</v>
      </c>
      <c r="E303" s="379">
        <f>VPI!Q303</f>
        <v>70</v>
      </c>
      <c r="F303" s="225">
        <f t="shared" si="20"/>
        <v>62.697093361107747</v>
      </c>
      <c r="G303" s="223">
        <f>Effort!I303+Aide!I303/Taux!C303+Effort!K303/Taux!C303</f>
        <v>-0.76609216905066191</v>
      </c>
      <c r="H303" s="83">
        <f t="shared" si="23"/>
        <v>61.931001192057082</v>
      </c>
      <c r="I303" s="208">
        <f t="shared" si="18"/>
        <v>0</v>
      </c>
      <c r="J303" s="42">
        <f t="shared" si="22"/>
        <v>0</v>
      </c>
      <c r="K303" s="5"/>
      <c r="L303" s="10"/>
      <c r="M303" s="11"/>
      <c r="R303" s="11"/>
    </row>
    <row r="304" spans="1:18" x14ac:dyDescent="0.25">
      <c r="A304" s="38">
        <f>Données!A304</f>
        <v>5938</v>
      </c>
      <c r="B304" s="184" t="str">
        <f>Données!B304</f>
        <v>Yverdon-les-Bains</v>
      </c>
      <c r="C304" s="321">
        <f>VPI!R304</f>
        <v>780594.69946666679</v>
      </c>
      <c r="D304" s="465">
        <f>Données!AP304</f>
        <v>-22.023420610335986</v>
      </c>
      <c r="E304" s="379">
        <f>VPI!Q304</f>
        <v>75</v>
      </c>
      <c r="F304" s="225">
        <f t="shared" si="20"/>
        <v>97.02342061033599</v>
      </c>
      <c r="G304" s="223">
        <f>Effort!I304+Aide!I304/Taux!C304+Effort!K304/Taux!C304</f>
        <v>-26.451798209802035</v>
      </c>
      <c r="H304" s="83">
        <f t="shared" si="23"/>
        <v>70.571622400533954</v>
      </c>
      <c r="I304" s="208">
        <f t="shared" si="18"/>
        <v>0</v>
      </c>
      <c r="J304" s="42">
        <f t="shared" si="22"/>
        <v>0</v>
      </c>
      <c r="K304" s="5"/>
      <c r="L304" s="10"/>
      <c r="M304" s="11"/>
      <c r="R304" s="11"/>
    </row>
    <row r="305" spans="1:18" x14ac:dyDescent="0.25">
      <c r="A305" s="38">
        <f>Données!A305</f>
        <v>5939</v>
      </c>
      <c r="B305" s="184" t="str">
        <f>Données!B305</f>
        <v>Yvonand</v>
      </c>
      <c r="C305" s="321">
        <f>VPI!R305</f>
        <v>97394.348251748248</v>
      </c>
      <c r="D305" s="465">
        <f>Données!AP305</f>
        <v>8.0867344347771031</v>
      </c>
      <c r="E305" s="379">
        <f>VPI!Q305</f>
        <v>71.5</v>
      </c>
      <c r="F305" s="225">
        <f t="shared" si="20"/>
        <v>63.4132655652229</v>
      </c>
      <c r="G305" s="223">
        <f>Effort!I305+Aide!I305/Taux!C305+Effort!K305/Taux!C305</f>
        <v>-1.9396485722047565</v>
      </c>
      <c r="H305" s="83">
        <f t="shared" si="23"/>
        <v>61.47361699301814</v>
      </c>
      <c r="I305" s="208">
        <f t="shared" si="18"/>
        <v>0</v>
      </c>
      <c r="J305" s="42">
        <f t="shared" si="22"/>
        <v>0</v>
      </c>
      <c r="K305" s="5"/>
      <c r="L305" s="10"/>
      <c r="M305" s="11"/>
      <c r="R305" s="11"/>
    </row>
    <row r="306" spans="1:18" x14ac:dyDescent="0.25">
      <c r="A306" s="25"/>
      <c r="B306" s="74">
        <f>COUNTA(B6:B305)</f>
        <v>300</v>
      </c>
      <c r="C306" s="61">
        <f>SUM(C6:C305)</f>
        <v>40269073.341943532</v>
      </c>
      <c r="D306" s="549"/>
      <c r="E306" s="380">
        <f>VPI!Q306</f>
        <v>67.55515617849629</v>
      </c>
      <c r="F306" s="550">
        <f t="shared" ref="F306" si="24">E306-D306</f>
        <v>67.55515617849629</v>
      </c>
      <c r="G306" s="17">
        <f>Effort!I306+Aide!I306/Taux!C306+Effort!K306/Taux!C306</f>
        <v>14.899789939542782</v>
      </c>
      <c r="H306" s="551">
        <f t="shared" ref="H306" si="25">F306+G306</f>
        <v>82.454946118039075</v>
      </c>
      <c r="I306" s="322"/>
      <c r="J306" s="65">
        <f>SUM(J6:J305)</f>
        <v>0</v>
      </c>
      <c r="K306" s="5"/>
      <c r="L306" s="11"/>
      <c r="M306" s="11"/>
      <c r="R306" s="11"/>
    </row>
    <row r="307" spans="1:18" x14ac:dyDescent="0.25">
      <c r="Q307" s="18"/>
    </row>
    <row r="308" spans="1:18" s="5" customFormat="1" x14ac:dyDescent="0.25">
      <c r="M308" s="13"/>
    </row>
    <row r="311" spans="1:18" s="5" customFormat="1" x14ac:dyDescent="0.25">
      <c r="L311" s="162"/>
      <c r="M311" s="13"/>
      <c r="N311" s="162"/>
      <c r="O311" s="162"/>
    </row>
  </sheetData>
  <sheetProtection sheet="1" objects="1" scenarios="1"/>
  <mergeCells count="7">
    <mergeCell ref="B4:B5"/>
    <mergeCell ref="A4:A5"/>
    <mergeCell ref="C4:C5"/>
    <mergeCell ref="J4:J5"/>
    <mergeCell ref="H4:H5"/>
    <mergeCell ref="F4:F5"/>
    <mergeCell ref="E4:E5"/>
  </mergeCells>
  <phoneticPr fontId="0" type="noConversion"/>
  <hyperlinks>
    <hyperlink ref="C1" location="Aide!A1" display="← Précédent" xr:uid="{00D85FBE-C9A1-4DAD-8388-6665A16184A7}"/>
    <hyperlink ref="E1" location="'Facture policière'!A1" display="Suivant →" xr:uid="{1A29BF59-48EA-4027-B528-0BD68DA04860}"/>
    <hyperlink ref="D1" location="'Table des matières'!A1" display="Table des             matières" xr:uid="{BAADEC0A-8BF6-4BD9-A62A-9F972EA7EC07}"/>
  </hyperlinks>
  <printOptions horizontalCentered="1"/>
  <pageMargins left="0" right="0" top="0" bottom="0" header="0.51181102362204722" footer="0.51181102362204722"/>
  <pageSetup paperSize="9" scale="63" orientation="landscape" horizontalDpi="4294967292" verticalDpi="4294967292"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6">
    <tabColor theme="7" tint="-0.249977111117893"/>
    <pageSetUpPr fitToPage="1"/>
  </sheetPr>
  <dimension ref="A1:T308"/>
  <sheetViews>
    <sheetView workbookViewId="0">
      <pane ySplit="5" topLeftCell="A6" activePane="bottomLeft" state="frozen"/>
      <selection activeCell="D32" sqref="D32"/>
      <selection pane="bottomLeft" activeCell="A6" sqref="A6"/>
    </sheetView>
  </sheetViews>
  <sheetFormatPr baseColWidth="10" defaultColWidth="9.375" defaultRowHeight="15" x14ac:dyDescent="0.25"/>
  <cols>
    <col min="1" max="1" width="8.125" style="124" customWidth="1"/>
    <col min="2" max="2" width="22" style="124" customWidth="1"/>
    <col min="3" max="3" width="11.625" style="124" customWidth="1"/>
    <col min="4" max="4" width="11.375" style="124" customWidth="1"/>
    <col min="5" max="5" width="6.625" style="124" customWidth="1"/>
    <col min="6" max="6" width="12" style="124" bestFit="1" customWidth="1"/>
    <col min="7" max="7" width="19.625" style="124" customWidth="1"/>
    <col min="8" max="8" width="14.25" style="124" customWidth="1"/>
    <col min="9" max="9" width="20" style="124" customWidth="1"/>
    <col min="10" max="10" width="16.625" style="124" customWidth="1"/>
    <col min="11" max="11" width="14.5" style="124" customWidth="1"/>
    <col min="12" max="12" width="13" style="124" customWidth="1"/>
    <col min="13" max="13" width="10.75" style="124" bestFit="1" customWidth="1"/>
    <col min="14" max="14" width="13.125" style="126" customWidth="1"/>
    <col min="15" max="15" width="9.375" style="125"/>
    <col min="16" max="16" width="9.875" style="126" customWidth="1"/>
    <col min="17" max="17" width="11.75" style="126" bestFit="1" customWidth="1"/>
    <col min="18" max="20" width="9.375" style="125"/>
    <col min="21" max="247" width="9.375" style="124"/>
    <col min="248" max="248" width="5" style="124" customWidth="1"/>
    <col min="249" max="249" width="17.875" style="124" bestFit="1" customWidth="1"/>
    <col min="250" max="250" width="9.875" style="124" customWidth="1"/>
    <col min="251" max="251" width="8.875" style="124" customWidth="1"/>
    <col min="252" max="252" width="7.375" style="124" bestFit="1" customWidth="1"/>
    <col min="253" max="253" width="10.125" style="124" bestFit="1" customWidth="1"/>
    <col min="254" max="254" width="9.375" style="124"/>
    <col min="255" max="255" width="10.125" style="124" bestFit="1" customWidth="1"/>
    <col min="256" max="256" width="10.75" style="124" customWidth="1"/>
    <col min="257" max="259" width="9.375" style="124"/>
    <col min="260" max="261" width="10.75" style="124" customWidth="1"/>
    <col min="262" max="266" width="9.375" style="124"/>
    <col min="267" max="267" width="1.625" style="124" bestFit="1" customWidth="1"/>
    <col min="268" max="268" width="9.375" style="124"/>
    <col min="269" max="269" width="8.875" style="124" customWidth="1"/>
    <col min="270" max="270" width="13.125" style="124" customWidth="1"/>
    <col min="271" max="271" width="9.375" style="124"/>
    <col min="272" max="272" width="9.875" style="124" customWidth="1"/>
    <col min="273" max="273" width="11.75" style="124" bestFit="1" customWidth="1"/>
    <col min="274" max="503" width="9.375" style="124"/>
    <col min="504" max="504" width="5" style="124" customWidth="1"/>
    <col min="505" max="505" width="17.875" style="124" bestFit="1" customWidth="1"/>
    <col min="506" max="506" width="9.875" style="124" customWidth="1"/>
    <col min="507" max="507" width="8.875" style="124" customWidth="1"/>
    <col min="508" max="508" width="7.375" style="124" bestFit="1" customWidth="1"/>
    <col min="509" max="509" width="10.125" style="124" bestFit="1" customWidth="1"/>
    <col min="510" max="510" width="9.375" style="124"/>
    <col min="511" max="511" width="10.125" style="124" bestFit="1" customWidth="1"/>
    <col min="512" max="512" width="10.75" style="124" customWidth="1"/>
    <col min="513" max="515" width="9.375" style="124"/>
    <col min="516" max="517" width="10.75" style="124" customWidth="1"/>
    <col min="518" max="522" width="9.375" style="124"/>
    <col min="523" max="523" width="1.625" style="124" bestFit="1" customWidth="1"/>
    <col min="524" max="524" width="9.375" style="124"/>
    <col min="525" max="525" width="8.875" style="124" customWidth="1"/>
    <col min="526" max="526" width="13.125" style="124" customWidth="1"/>
    <col min="527" max="527" width="9.375" style="124"/>
    <col min="528" max="528" width="9.875" style="124" customWidth="1"/>
    <col min="529" max="529" width="11.75" style="124" bestFit="1" customWidth="1"/>
    <col min="530" max="759" width="9.375" style="124"/>
    <col min="760" max="760" width="5" style="124" customWidth="1"/>
    <col min="761" max="761" width="17.875" style="124" bestFit="1" customWidth="1"/>
    <col min="762" max="762" width="9.875" style="124" customWidth="1"/>
    <col min="763" max="763" width="8.875" style="124" customWidth="1"/>
    <col min="764" max="764" width="7.375" style="124" bestFit="1" customWidth="1"/>
    <col min="765" max="765" width="10.125" style="124" bestFit="1" customWidth="1"/>
    <col min="766" max="766" width="9.375" style="124"/>
    <col min="767" max="767" width="10.125" style="124" bestFit="1" customWidth="1"/>
    <col min="768" max="768" width="10.75" style="124" customWidth="1"/>
    <col min="769" max="771" width="9.375" style="124"/>
    <col min="772" max="773" width="10.75" style="124" customWidth="1"/>
    <col min="774" max="778" width="9.375" style="124"/>
    <col min="779" max="779" width="1.625" style="124" bestFit="1" customWidth="1"/>
    <col min="780" max="780" width="9.375" style="124"/>
    <col min="781" max="781" width="8.875" style="124" customWidth="1"/>
    <col min="782" max="782" width="13.125" style="124" customWidth="1"/>
    <col min="783" max="783" width="9.375" style="124"/>
    <col min="784" max="784" width="9.875" style="124" customWidth="1"/>
    <col min="785" max="785" width="11.75" style="124" bestFit="1" customWidth="1"/>
    <col min="786" max="1015" width="9.375" style="124"/>
    <col min="1016" max="1016" width="5" style="124" customWidth="1"/>
    <col min="1017" max="1017" width="17.875" style="124" bestFit="1" customWidth="1"/>
    <col min="1018" max="1018" width="9.875" style="124" customWidth="1"/>
    <col min="1019" max="1019" width="8.875" style="124" customWidth="1"/>
    <col min="1020" max="1020" width="7.375" style="124" bestFit="1" customWidth="1"/>
    <col min="1021" max="1021" width="10.125" style="124" bestFit="1" customWidth="1"/>
    <col min="1022" max="1022" width="9.375" style="124"/>
    <col min="1023" max="1023" width="10.125" style="124" bestFit="1" customWidth="1"/>
    <col min="1024" max="1024" width="10.75" style="124" customWidth="1"/>
    <col min="1025" max="1027" width="9.375" style="124"/>
    <col min="1028" max="1029" width="10.75" style="124" customWidth="1"/>
    <col min="1030" max="1034" width="9.375" style="124"/>
    <col min="1035" max="1035" width="1.625" style="124" bestFit="1" customWidth="1"/>
    <col min="1036" max="1036" width="9.375" style="124"/>
    <col min="1037" max="1037" width="8.875" style="124" customWidth="1"/>
    <col min="1038" max="1038" width="13.125" style="124" customWidth="1"/>
    <col min="1039" max="1039" width="9.375" style="124"/>
    <col min="1040" max="1040" width="9.875" style="124" customWidth="1"/>
    <col min="1041" max="1041" width="11.75" style="124" bestFit="1" customWidth="1"/>
    <col min="1042" max="1271" width="9.375" style="124"/>
    <col min="1272" max="1272" width="5" style="124" customWidth="1"/>
    <col min="1273" max="1273" width="17.875" style="124" bestFit="1" customWidth="1"/>
    <col min="1274" max="1274" width="9.875" style="124" customWidth="1"/>
    <col min="1275" max="1275" width="8.875" style="124" customWidth="1"/>
    <col min="1276" max="1276" width="7.375" style="124" bestFit="1" customWidth="1"/>
    <col min="1277" max="1277" width="10.125" style="124" bestFit="1" customWidth="1"/>
    <col min="1278" max="1278" width="9.375" style="124"/>
    <col min="1279" max="1279" width="10.125" style="124" bestFit="1" customWidth="1"/>
    <col min="1280" max="1280" width="10.75" style="124" customWidth="1"/>
    <col min="1281" max="1283" width="9.375" style="124"/>
    <col min="1284" max="1285" width="10.75" style="124" customWidth="1"/>
    <col min="1286" max="1290" width="9.375" style="124"/>
    <col min="1291" max="1291" width="1.625" style="124" bestFit="1" customWidth="1"/>
    <col min="1292" max="1292" width="9.375" style="124"/>
    <col min="1293" max="1293" width="8.875" style="124" customWidth="1"/>
    <col min="1294" max="1294" width="13.125" style="124" customWidth="1"/>
    <col min="1295" max="1295" width="9.375" style="124"/>
    <col min="1296" max="1296" width="9.875" style="124" customWidth="1"/>
    <col min="1297" max="1297" width="11.75" style="124" bestFit="1" customWidth="1"/>
    <col min="1298" max="1527" width="9.375" style="124"/>
    <col min="1528" max="1528" width="5" style="124" customWidth="1"/>
    <col min="1529" max="1529" width="17.875" style="124" bestFit="1" customWidth="1"/>
    <col min="1530" max="1530" width="9.875" style="124" customWidth="1"/>
    <col min="1531" max="1531" width="8.875" style="124" customWidth="1"/>
    <col min="1532" max="1532" width="7.375" style="124" bestFit="1" customWidth="1"/>
    <col min="1533" max="1533" width="10.125" style="124" bestFit="1" customWidth="1"/>
    <col min="1534" max="1534" width="9.375" style="124"/>
    <col min="1535" max="1535" width="10.125" style="124" bestFit="1" customWidth="1"/>
    <col min="1536" max="1536" width="10.75" style="124" customWidth="1"/>
    <col min="1537" max="1539" width="9.375" style="124"/>
    <col min="1540" max="1541" width="10.75" style="124" customWidth="1"/>
    <col min="1542" max="1546" width="9.375" style="124"/>
    <col min="1547" max="1547" width="1.625" style="124" bestFit="1" customWidth="1"/>
    <col min="1548" max="1548" width="9.375" style="124"/>
    <col min="1549" max="1549" width="8.875" style="124" customWidth="1"/>
    <col min="1550" max="1550" width="13.125" style="124" customWidth="1"/>
    <col min="1551" max="1551" width="9.375" style="124"/>
    <col min="1552" max="1552" width="9.875" style="124" customWidth="1"/>
    <col min="1553" max="1553" width="11.75" style="124" bestFit="1" customWidth="1"/>
    <col min="1554" max="1783" width="9.375" style="124"/>
    <col min="1784" max="1784" width="5" style="124" customWidth="1"/>
    <col min="1785" max="1785" width="17.875" style="124" bestFit="1" customWidth="1"/>
    <col min="1786" max="1786" width="9.875" style="124" customWidth="1"/>
    <col min="1787" max="1787" width="8.875" style="124" customWidth="1"/>
    <col min="1788" max="1788" width="7.375" style="124" bestFit="1" customWidth="1"/>
    <col min="1789" max="1789" width="10.125" style="124" bestFit="1" customWidth="1"/>
    <col min="1790" max="1790" width="9.375" style="124"/>
    <col min="1791" max="1791" width="10.125" style="124" bestFit="1" customWidth="1"/>
    <col min="1792" max="1792" width="10.75" style="124" customWidth="1"/>
    <col min="1793" max="1795" width="9.375" style="124"/>
    <col min="1796" max="1797" width="10.75" style="124" customWidth="1"/>
    <col min="1798" max="1802" width="9.375" style="124"/>
    <col min="1803" max="1803" width="1.625" style="124" bestFit="1" customWidth="1"/>
    <col min="1804" max="1804" width="9.375" style="124"/>
    <col min="1805" max="1805" width="8.875" style="124" customWidth="1"/>
    <col min="1806" max="1806" width="13.125" style="124" customWidth="1"/>
    <col min="1807" max="1807" width="9.375" style="124"/>
    <col min="1808" max="1808" width="9.875" style="124" customWidth="1"/>
    <col min="1809" max="1809" width="11.75" style="124" bestFit="1" customWidth="1"/>
    <col min="1810" max="2039" width="9.375" style="124"/>
    <col min="2040" max="2040" width="5" style="124" customWidth="1"/>
    <col min="2041" max="2041" width="17.875" style="124" bestFit="1" customWidth="1"/>
    <col min="2042" max="2042" width="9.875" style="124" customWidth="1"/>
    <col min="2043" max="2043" width="8.875" style="124" customWidth="1"/>
    <col min="2044" max="2044" width="7.375" style="124" bestFit="1" customWidth="1"/>
    <col min="2045" max="2045" width="10.125" style="124" bestFit="1" customWidth="1"/>
    <col min="2046" max="2046" width="9.375" style="124"/>
    <col min="2047" max="2047" width="10.125" style="124" bestFit="1" customWidth="1"/>
    <col min="2048" max="2048" width="10.75" style="124" customWidth="1"/>
    <col min="2049" max="2051" width="9.375" style="124"/>
    <col min="2052" max="2053" width="10.75" style="124" customWidth="1"/>
    <col min="2054" max="2058" width="9.375" style="124"/>
    <col min="2059" max="2059" width="1.625" style="124" bestFit="1" customWidth="1"/>
    <col min="2060" max="2060" width="9.375" style="124"/>
    <col min="2061" max="2061" width="8.875" style="124" customWidth="1"/>
    <col min="2062" max="2062" width="13.125" style="124" customWidth="1"/>
    <col min="2063" max="2063" width="9.375" style="124"/>
    <col min="2064" max="2064" width="9.875" style="124" customWidth="1"/>
    <col min="2065" max="2065" width="11.75" style="124" bestFit="1" customWidth="1"/>
    <col min="2066" max="2295" width="9.375" style="124"/>
    <col min="2296" max="2296" width="5" style="124" customWidth="1"/>
    <col min="2297" max="2297" width="17.875" style="124" bestFit="1" customWidth="1"/>
    <col min="2298" max="2298" width="9.875" style="124" customWidth="1"/>
    <col min="2299" max="2299" width="8.875" style="124" customWidth="1"/>
    <col min="2300" max="2300" width="7.375" style="124" bestFit="1" customWidth="1"/>
    <col min="2301" max="2301" width="10.125" style="124" bestFit="1" customWidth="1"/>
    <col min="2302" max="2302" width="9.375" style="124"/>
    <col min="2303" max="2303" width="10.125" style="124" bestFit="1" customWidth="1"/>
    <col min="2304" max="2304" width="10.75" style="124" customWidth="1"/>
    <col min="2305" max="2307" width="9.375" style="124"/>
    <col min="2308" max="2309" width="10.75" style="124" customWidth="1"/>
    <col min="2310" max="2314" width="9.375" style="124"/>
    <col min="2315" max="2315" width="1.625" style="124" bestFit="1" customWidth="1"/>
    <col min="2316" max="2316" width="9.375" style="124"/>
    <col min="2317" max="2317" width="8.875" style="124" customWidth="1"/>
    <col min="2318" max="2318" width="13.125" style="124" customWidth="1"/>
    <col min="2319" max="2319" width="9.375" style="124"/>
    <col min="2320" max="2320" width="9.875" style="124" customWidth="1"/>
    <col min="2321" max="2321" width="11.75" style="124" bestFit="1" customWidth="1"/>
    <col min="2322" max="2551" width="9.375" style="124"/>
    <col min="2552" max="2552" width="5" style="124" customWidth="1"/>
    <col min="2553" max="2553" width="17.875" style="124" bestFit="1" customWidth="1"/>
    <col min="2554" max="2554" width="9.875" style="124" customWidth="1"/>
    <col min="2555" max="2555" width="8.875" style="124" customWidth="1"/>
    <col min="2556" max="2556" width="7.375" style="124" bestFit="1" customWidth="1"/>
    <col min="2557" max="2557" width="10.125" style="124" bestFit="1" customWidth="1"/>
    <col min="2558" max="2558" width="9.375" style="124"/>
    <col min="2559" max="2559" width="10.125" style="124" bestFit="1" customWidth="1"/>
    <col min="2560" max="2560" width="10.75" style="124" customWidth="1"/>
    <col min="2561" max="2563" width="9.375" style="124"/>
    <col min="2564" max="2565" width="10.75" style="124" customWidth="1"/>
    <col min="2566" max="2570" width="9.375" style="124"/>
    <col min="2571" max="2571" width="1.625" style="124" bestFit="1" customWidth="1"/>
    <col min="2572" max="2572" width="9.375" style="124"/>
    <col min="2573" max="2573" width="8.875" style="124" customWidth="1"/>
    <col min="2574" max="2574" width="13.125" style="124" customWidth="1"/>
    <col min="2575" max="2575" width="9.375" style="124"/>
    <col min="2576" max="2576" width="9.875" style="124" customWidth="1"/>
    <col min="2577" max="2577" width="11.75" style="124" bestFit="1" customWidth="1"/>
    <col min="2578" max="2807" width="9.375" style="124"/>
    <col min="2808" max="2808" width="5" style="124" customWidth="1"/>
    <col min="2809" max="2809" width="17.875" style="124" bestFit="1" customWidth="1"/>
    <col min="2810" max="2810" width="9.875" style="124" customWidth="1"/>
    <col min="2811" max="2811" width="8.875" style="124" customWidth="1"/>
    <col min="2812" max="2812" width="7.375" style="124" bestFit="1" customWidth="1"/>
    <col min="2813" max="2813" width="10.125" style="124" bestFit="1" customWidth="1"/>
    <col min="2814" max="2814" width="9.375" style="124"/>
    <col min="2815" max="2815" width="10.125" style="124" bestFit="1" customWidth="1"/>
    <col min="2816" max="2816" width="10.75" style="124" customWidth="1"/>
    <col min="2817" max="2819" width="9.375" style="124"/>
    <col min="2820" max="2821" width="10.75" style="124" customWidth="1"/>
    <col min="2822" max="2826" width="9.375" style="124"/>
    <col min="2827" max="2827" width="1.625" style="124" bestFit="1" customWidth="1"/>
    <col min="2828" max="2828" width="9.375" style="124"/>
    <col min="2829" max="2829" width="8.875" style="124" customWidth="1"/>
    <col min="2830" max="2830" width="13.125" style="124" customWidth="1"/>
    <col min="2831" max="2831" width="9.375" style="124"/>
    <col min="2832" max="2832" width="9.875" style="124" customWidth="1"/>
    <col min="2833" max="2833" width="11.75" style="124" bestFit="1" customWidth="1"/>
    <col min="2834" max="3063" width="9.375" style="124"/>
    <col min="3064" max="3064" width="5" style="124" customWidth="1"/>
    <col min="3065" max="3065" width="17.875" style="124" bestFit="1" customWidth="1"/>
    <col min="3066" max="3066" width="9.875" style="124" customWidth="1"/>
    <col min="3067" max="3067" width="8.875" style="124" customWidth="1"/>
    <col min="3068" max="3068" width="7.375" style="124" bestFit="1" customWidth="1"/>
    <col min="3069" max="3069" width="10.125" style="124" bestFit="1" customWidth="1"/>
    <col min="3070" max="3070" width="9.375" style="124"/>
    <col min="3071" max="3071" width="10.125" style="124" bestFit="1" customWidth="1"/>
    <col min="3072" max="3072" width="10.75" style="124" customWidth="1"/>
    <col min="3073" max="3075" width="9.375" style="124"/>
    <col min="3076" max="3077" width="10.75" style="124" customWidth="1"/>
    <col min="3078" max="3082" width="9.375" style="124"/>
    <col min="3083" max="3083" width="1.625" style="124" bestFit="1" customWidth="1"/>
    <col min="3084" max="3084" width="9.375" style="124"/>
    <col min="3085" max="3085" width="8.875" style="124" customWidth="1"/>
    <col min="3086" max="3086" width="13.125" style="124" customWidth="1"/>
    <col min="3087" max="3087" width="9.375" style="124"/>
    <col min="3088" max="3088" width="9.875" style="124" customWidth="1"/>
    <col min="3089" max="3089" width="11.75" style="124" bestFit="1" customWidth="1"/>
    <col min="3090" max="3319" width="9.375" style="124"/>
    <col min="3320" max="3320" width="5" style="124" customWidth="1"/>
    <col min="3321" max="3321" width="17.875" style="124" bestFit="1" customWidth="1"/>
    <col min="3322" max="3322" width="9.875" style="124" customWidth="1"/>
    <col min="3323" max="3323" width="8.875" style="124" customWidth="1"/>
    <col min="3324" max="3324" width="7.375" style="124" bestFit="1" customWidth="1"/>
    <col min="3325" max="3325" width="10.125" style="124" bestFit="1" customWidth="1"/>
    <col min="3326" max="3326" width="9.375" style="124"/>
    <col min="3327" max="3327" width="10.125" style="124" bestFit="1" customWidth="1"/>
    <col min="3328" max="3328" width="10.75" style="124" customWidth="1"/>
    <col min="3329" max="3331" width="9.375" style="124"/>
    <col min="3332" max="3333" width="10.75" style="124" customWidth="1"/>
    <col min="3334" max="3338" width="9.375" style="124"/>
    <col min="3339" max="3339" width="1.625" style="124" bestFit="1" customWidth="1"/>
    <col min="3340" max="3340" width="9.375" style="124"/>
    <col min="3341" max="3341" width="8.875" style="124" customWidth="1"/>
    <col min="3342" max="3342" width="13.125" style="124" customWidth="1"/>
    <col min="3343" max="3343" width="9.375" style="124"/>
    <col min="3344" max="3344" width="9.875" style="124" customWidth="1"/>
    <col min="3345" max="3345" width="11.75" style="124" bestFit="1" customWidth="1"/>
    <col min="3346" max="3575" width="9.375" style="124"/>
    <col min="3576" max="3576" width="5" style="124" customWidth="1"/>
    <col min="3577" max="3577" width="17.875" style="124" bestFit="1" customWidth="1"/>
    <col min="3578" max="3578" width="9.875" style="124" customWidth="1"/>
    <col min="3579" max="3579" width="8.875" style="124" customWidth="1"/>
    <col min="3580" max="3580" width="7.375" style="124" bestFit="1" customWidth="1"/>
    <col min="3581" max="3581" width="10.125" style="124" bestFit="1" customWidth="1"/>
    <col min="3582" max="3582" width="9.375" style="124"/>
    <col min="3583" max="3583" width="10.125" style="124" bestFit="1" customWidth="1"/>
    <col min="3584" max="3584" width="10.75" style="124" customWidth="1"/>
    <col min="3585" max="3587" width="9.375" style="124"/>
    <col min="3588" max="3589" width="10.75" style="124" customWidth="1"/>
    <col min="3590" max="3594" width="9.375" style="124"/>
    <col min="3595" max="3595" width="1.625" style="124" bestFit="1" customWidth="1"/>
    <col min="3596" max="3596" width="9.375" style="124"/>
    <col min="3597" max="3597" width="8.875" style="124" customWidth="1"/>
    <col min="3598" max="3598" width="13.125" style="124" customWidth="1"/>
    <col min="3599" max="3599" width="9.375" style="124"/>
    <col min="3600" max="3600" width="9.875" style="124" customWidth="1"/>
    <col min="3601" max="3601" width="11.75" style="124" bestFit="1" customWidth="1"/>
    <col min="3602" max="3831" width="9.375" style="124"/>
    <col min="3832" max="3832" width="5" style="124" customWidth="1"/>
    <col min="3833" max="3833" width="17.875" style="124" bestFit="1" customWidth="1"/>
    <col min="3834" max="3834" width="9.875" style="124" customWidth="1"/>
    <col min="3835" max="3835" width="8.875" style="124" customWidth="1"/>
    <col min="3836" max="3836" width="7.375" style="124" bestFit="1" customWidth="1"/>
    <col min="3837" max="3837" width="10.125" style="124" bestFit="1" customWidth="1"/>
    <col min="3838" max="3838" width="9.375" style="124"/>
    <col min="3839" max="3839" width="10.125" style="124" bestFit="1" customWidth="1"/>
    <col min="3840" max="3840" width="10.75" style="124" customWidth="1"/>
    <col min="3841" max="3843" width="9.375" style="124"/>
    <col min="3844" max="3845" width="10.75" style="124" customWidth="1"/>
    <col min="3846" max="3850" width="9.375" style="124"/>
    <col min="3851" max="3851" width="1.625" style="124" bestFit="1" customWidth="1"/>
    <col min="3852" max="3852" width="9.375" style="124"/>
    <col min="3853" max="3853" width="8.875" style="124" customWidth="1"/>
    <col min="3854" max="3854" width="13.125" style="124" customWidth="1"/>
    <col min="3855" max="3855" width="9.375" style="124"/>
    <col min="3856" max="3856" width="9.875" style="124" customWidth="1"/>
    <col min="3857" max="3857" width="11.75" style="124" bestFit="1" customWidth="1"/>
    <col min="3858" max="4087" width="9.375" style="124"/>
    <col min="4088" max="4088" width="5" style="124" customWidth="1"/>
    <col min="4089" max="4089" width="17.875" style="124" bestFit="1" customWidth="1"/>
    <col min="4090" max="4090" width="9.875" style="124" customWidth="1"/>
    <col min="4091" max="4091" width="8.875" style="124" customWidth="1"/>
    <col min="4092" max="4092" width="7.375" style="124" bestFit="1" customWidth="1"/>
    <col min="4093" max="4093" width="10.125" style="124" bestFit="1" customWidth="1"/>
    <col min="4094" max="4094" width="9.375" style="124"/>
    <col min="4095" max="4095" width="10.125" style="124" bestFit="1" customWidth="1"/>
    <col min="4096" max="4096" width="10.75" style="124" customWidth="1"/>
    <col min="4097" max="4099" width="9.375" style="124"/>
    <col min="4100" max="4101" width="10.75" style="124" customWidth="1"/>
    <col min="4102" max="4106" width="9.375" style="124"/>
    <col min="4107" max="4107" width="1.625" style="124" bestFit="1" customWidth="1"/>
    <col min="4108" max="4108" width="9.375" style="124"/>
    <col min="4109" max="4109" width="8.875" style="124" customWidth="1"/>
    <col min="4110" max="4110" width="13.125" style="124" customWidth="1"/>
    <col min="4111" max="4111" width="9.375" style="124"/>
    <col min="4112" max="4112" width="9.875" style="124" customWidth="1"/>
    <col min="4113" max="4113" width="11.75" style="124" bestFit="1" customWidth="1"/>
    <col min="4114" max="4343" width="9.375" style="124"/>
    <col min="4344" max="4344" width="5" style="124" customWidth="1"/>
    <col min="4345" max="4345" width="17.875" style="124" bestFit="1" customWidth="1"/>
    <col min="4346" max="4346" width="9.875" style="124" customWidth="1"/>
    <col min="4347" max="4347" width="8.875" style="124" customWidth="1"/>
    <col min="4348" max="4348" width="7.375" style="124" bestFit="1" customWidth="1"/>
    <col min="4349" max="4349" width="10.125" style="124" bestFit="1" customWidth="1"/>
    <col min="4350" max="4350" width="9.375" style="124"/>
    <col min="4351" max="4351" width="10.125" style="124" bestFit="1" customWidth="1"/>
    <col min="4352" max="4352" width="10.75" style="124" customWidth="1"/>
    <col min="4353" max="4355" width="9.375" style="124"/>
    <col min="4356" max="4357" width="10.75" style="124" customWidth="1"/>
    <col min="4358" max="4362" width="9.375" style="124"/>
    <col min="4363" max="4363" width="1.625" style="124" bestFit="1" customWidth="1"/>
    <col min="4364" max="4364" width="9.375" style="124"/>
    <col min="4365" max="4365" width="8.875" style="124" customWidth="1"/>
    <col min="4366" max="4366" width="13.125" style="124" customWidth="1"/>
    <col min="4367" max="4367" width="9.375" style="124"/>
    <col min="4368" max="4368" width="9.875" style="124" customWidth="1"/>
    <col min="4369" max="4369" width="11.75" style="124" bestFit="1" customWidth="1"/>
    <col min="4370" max="4599" width="9.375" style="124"/>
    <col min="4600" max="4600" width="5" style="124" customWidth="1"/>
    <col min="4601" max="4601" width="17.875" style="124" bestFit="1" customWidth="1"/>
    <col min="4602" max="4602" width="9.875" style="124" customWidth="1"/>
    <col min="4603" max="4603" width="8.875" style="124" customWidth="1"/>
    <col min="4604" max="4604" width="7.375" style="124" bestFit="1" customWidth="1"/>
    <col min="4605" max="4605" width="10.125" style="124" bestFit="1" customWidth="1"/>
    <col min="4606" max="4606" width="9.375" style="124"/>
    <col min="4607" max="4607" width="10.125" style="124" bestFit="1" customWidth="1"/>
    <col min="4608" max="4608" width="10.75" style="124" customWidth="1"/>
    <col min="4609" max="4611" width="9.375" style="124"/>
    <col min="4612" max="4613" width="10.75" style="124" customWidth="1"/>
    <col min="4614" max="4618" width="9.375" style="124"/>
    <col min="4619" max="4619" width="1.625" style="124" bestFit="1" customWidth="1"/>
    <col min="4620" max="4620" width="9.375" style="124"/>
    <col min="4621" max="4621" width="8.875" style="124" customWidth="1"/>
    <col min="4622" max="4622" width="13.125" style="124" customWidth="1"/>
    <col min="4623" max="4623" width="9.375" style="124"/>
    <col min="4624" max="4624" width="9.875" style="124" customWidth="1"/>
    <col min="4625" max="4625" width="11.75" style="124" bestFit="1" customWidth="1"/>
    <col min="4626" max="4855" width="9.375" style="124"/>
    <col min="4856" max="4856" width="5" style="124" customWidth="1"/>
    <col min="4857" max="4857" width="17.875" style="124" bestFit="1" customWidth="1"/>
    <col min="4858" max="4858" width="9.875" style="124" customWidth="1"/>
    <col min="4859" max="4859" width="8.875" style="124" customWidth="1"/>
    <col min="4860" max="4860" width="7.375" style="124" bestFit="1" customWidth="1"/>
    <col min="4861" max="4861" width="10.125" style="124" bestFit="1" customWidth="1"/>
    <col min="4862" max="4862" width="9.375" style="124"/>
    <col min="4863" max="4863" width="10.125" style="124" bestFit="1" customWidth="1"/>
    <col min="4864" max="4864" width="10.75" style="124" customWidth="1"/>
    <col min="4865" max="4867" width="9.375" style="124"/>
    <col min="4868" max="4869" width="10.75" style="124" customWidth="1"/>
    <col min="4870" max="4874" width="9.375" style="124"/>
    <col min="4875" max="4875" width="1.625" style="124" bestFit="1" customWidth="1"/>
    <col min="4876" max="4876" width="9.375" style="124"/>
    <col min="4877" max="4877" width="8.875" style="124" customWidth="1"/>
    <col min="4878" max="4878" width="13.125" style="124" customWidth="1"/>
    <col min="4879" max="4879" width="9.375" style="124"/>
    <col min="4880" max="4880" width="9.875" style="124" customWidth="1"/>
    <col min="4881" max="4881" width="11.75" style="124" bestFit="1" customWidth="1"/>
    <col min="4882" max="5111" width="9.375" style="124"/>
    <col min="5112" max="5112" width="5" style="124" customWidth="1"/>
    <col min="5113" max="5113" width="17.875" style="124" bestFit="1" customWidth="1"/>
    <col min="5114" max="5114" width="9.875" style="124" customWidth="1"/>
    <col min="5115" max="5115" width="8.875" style="124" customWidth="1"/>
    <col min="5116" max="5116" width="7.375" style="124" bestFit="1" customWidth="1"/>
    <col min="5117" max="5117" width="10.125" style="124" bestFit="1" customWidth="1"/>
    <col min="5118" max="5118" width="9.375" style="124"/>
    <col min="5119" max="5119" width="10.125" style="124" bestFit="1" customWidth="1"/>
    <col min="5120" max="5120" width="10.75" style="124" customWidth="1"/>
    <col min="5121" max="5123" width="9.375" style="124"/>
    <col min="5124" max="5125" width="10.75" style="124" customWidth="1"/>
    <col min="5126" max="5130" width="9.375" style="124"/>
    <col min="5131" max="5131" width="1.625" style="124" bestFit="1" customWidth="1"/>
    <col min="5132" max="5132" width="9.375" style="124"/>
    <col min="5133" max="5133" width="8.875" style="124" customWidth="1"/>
    <col min="5134" max="5134" width="13.125" style="124" customWidth="1"/>
    <col min="5135" max="5135" width="9.375" style="124"/>
    <col min="5136" max="5136" width="9.875" style="124" customWidth="1"/>
    <col min="5137" max="5137" width="11.75" style="124" bestFit="1" customWidth="1"/>
    <col min="5138" max="5367" width="9.375" style="124"/>
    <col min="5368" max="5368" width="5" style="124" customWidth="1"/>
    <col min="5369" max="5369" width="17.875" style="124" bestFit="1" customWidth="1"/>
    <col min="5370" max="5370" width="9.875" style="124" customWidth="1"/>
    <col min="5371" max="5371" width="8.875" style="124" customWidth="1"/>
    <col min="5372" max="5372" width="7.375" style="124" bestFit="1" customWidth="1"/>
    <col min="5373" max="5373" width="10.125" style="124" bestFit="1" customWidth="1"/>
    <col min="5374" max="5374" width="9.375" style="124"/>
    <col min="5375" max="5375" width="10.125" style="124" bestFit="1" customWidth="1"/>
    <col min="5376" max="5376" width="10.75" style="124" customWidth="1"/>
    <col min="5377" max="5379" width="9.375" style="124"/>
    <col min="5380" max="5381" width="10.75" style="124" customWidth="1"/>
    <col min="5382" max="5386" width="9.375" style="124"/>
    <col min="5387" max="5387" width="1.625" style="124" bestFit="1" customWidth="1"/>
    <col min="5388" max="5388" width="9.375" style="124"/>
    <col min="5389" max="5389" width="8.875" style="124" customWidth="1"/>
    <col min="5390" max="5390" width="13.125" style="124" customWidth="1"/>
    <col min="5391" max="5391" width="9.375" style="124"/>
    <col min="5392" max="5392" width="9.875" style="124" customWidth="1"/>
    <col min="5393" max="5393" width="11.75" style="124" bestFit="1" customWidth="1"/>
    <col min="5394" max="5623" width="9.375" style="124"/>
    <col min="5624" max="5624" width="5" style="124" customWidth="1"/>
    <col min="5625" max="5625" width="17.875" style="124" bestFit="1" customWidth="1"/>
    <col min="5626" max="5626" width="9.875" style="124" customWidth="1"/>
    <col min="5627" max="5627" width="8.875" style="124" customWidth="1"/>
    <col min="5628" max="5628" width="7.375" style="124" bestFit="1" customWidth="1"/>
    <col min="5629" max="5629" width="10.125" style="124" bestFit="1" customWidth="1"/>
    <col min="5630" max="5630" width="9.375" style="124"/>
    <col min="5631" max="5631" width="10.125" style="124" bestFit="1" customWidth="1"/>
    <col min="5632" max="5632" width="10.75" style="124" customWidth="1"/>
    <col min="5633" max="5635" width="9.375" style="124"/>
    <col min="5636" max="5637" width="10.75" style="124" customWidth="1"/>
    <col min="5638" max="5642" width="9.375" style="124"/>
    <col min="5643" max="5643" width="1.625" style="124" bestFit="1" customWidth="1"/>
    <col min="5644" max="5644" width="9.375" style="124"/>
    <col min="5645" max="5645" width="8.875" style="124" customWidth="1"/>
    <col min="5646" max="5646" width="13.125" style="124" customWidth="1"/>
    <col min="5647" max="5647" width="9.375" style="124"/>
    <col min="5648" max="5648" width="9.875" style="124" customWidth="1"/>
    <col min="5649" max="5649" width="11.75" style="124" bestFit="1" customWidth="1"/>
    <col min="5650" max="5879" width="9.375" style="124"/>
    <col min="5880" max="5880" width="5" style="124" customWidth="1"/>
    <col min="5881" max="5881" width="17.875" style="124" bestFit="1" customWidth="1"/>
    <col min="5882" max="5882" width="9.875" style="124" customWidth="1"/>
    <col min="5883" max="5883" width="8.875" style="124" customWidth="1"/>
    <col min="5884" max="5884" width="7.375" style="124" bestFit="1" customWidth="1"/>
    <col min="5885" max="5885" width="10.125" style="124" bestFit="1" customWidth="1"/>
    <col min="5886" max="5886" width="9.375" style="124"/>
    <col min="5887" max="5887" width="10.125" style="124" bestFit="1" customWidth="1"/>
    <col min="5888" max="5888" width="10.75" style="124" customWidth="1"/>
    <col min="5889" max="5891" width="9.375" style="124"/>
    <col min="5892" max="5893" width="10.75" style="124" customWidth="1"/>
    <col min="5894" max="5898" width="9.375" style="124"/>
    <col min="5899" max="5899" width="1.625" style="124" bestFit="1" customWidth="1"/>
    <col min="5900" max="5900" width="9.375" style="124"/>
    <col min="5901" max="5901" width="8.875" style="124" customWidth="1"/>
    <col min="5902" max="5902" width="13.125" style="124" customWidth="1"/>
    <col min="5903" max="5903" width="9.375" style="124"/>
    <col min="5904" max="5904" width="9.875" style="124" customWidth="1"/>
    <col min="5905" max="5905" width="11.75" style="124" bestFit="1" customWidth="1"/>
    <col min="5906" max="6135" width="9.375" style="124"/>
    <col min="6136" max="6136" width="5" style="124" customWidth="1"/>
    <col min="6137" max="6137" width="17.875" style="124" bestFit="1" customWidth="1"/>
    <col min="6138" max="6138" width="9.875" style="124" customWidth="1"/>
    <col min="6139" max="6139" width="8.875" style="124" customWidth="1"/>
    <col min="6140" max="6140" width="7.375" style="124" bestFit="1" customWidth="1"/>
    <col min="6141" max="6141" width="10.125" style="124" bestFit="1" customWidth="1"/>
    <col min="6142" max="6142" width="9.375" style="124"/>
    <col min="6143" max="6143" width="10.125" style="124" bestFit="1" customWidth="1"/>
    <col min="6144" max="6144" width="10.75" style="124" customWidth="1"/>
    <col min="6145" max="6147" width="9.375" style="124"/>
    <col min="6148" max="6149" width="10.75" style="124" customWidth="1"/>
    <col min="6150" max="6154" width="9.375" style="124"/>
    <col min="6155" max="6155" width="1.625" style="124" bestFit="1" customWidth="1"/>
    <col min="6156" max="6156" width="9.375" style="124"/>
    <col min="6157" max="6157" width="8.875" style="124" customWidth="1"/>
    <col min="6158" max="6158" width="13.125" style="124" customWidth="1"/>
    <col min="6159" max="6159" width="9.375" style="124"/>
    <col min="6160" max="6160" width="9.875" style="124" customWidth="1"/>
    <col min="6161" max="6161" width="11.75" style="124" bestFit="1" customWidth="1"/>
    <col min="6162" max="6391" width="9.375" style="124"/>
    <col min="6392" max="6392" width="5" style="124" customWidth="1"/>
    <col min="6393" max="6393" width="17.875" style="124" bestFit="1" customWidth="1"/>
    <col min="6394" max="6394" width="9.875" style="124" customWidth="1"/>
    <col min="6395" max="6395" width="8.875" style="124" customWidth="1"/>
    <col min="6396" max="6396" width="7.375" style="124" bestFit="1" customWidth="1"/>
    <col min="6397" max="6397" width="10.125" style="124" bestFit="1" customWidth="1"/>
    <col min="6398" max="6398" width="9.375" style="124"/>
    <col min="6399" max="6399" width="10.125" style="124" bestFit="1" customWidth="1"/>
    <col min="6400" max="6400" width="10.75" style="124" customWidth="1"/>
    <col min="6401" max="6403" width="9.375" style="124"/>
    <col min="6404" max="6405" width="10.75" style="124" customWidth="1"/>
    <col min="6406" max="6410" width="9.375" style="124"/>
    <col min="6411" max="6411" width="1.625" style="124" bestFit="1" customWidth="1"/>
    <col min="6412" max="6412" width="9.375" style="124"/>
    <col min="6413" max="6413" width="8.875" style="124" customWidth="1"/>
    <col min="6414" max="6414" width="13.125" style="124" customWidth="1"/>
    <col min="6415" max="6415" width="9.375" style="124"/>
    <col min="6416" max="6416" width="9.875" style="124" customWidth="1"/>
    <col min="6417" max="6417" width="11.75" style="124" bestFit="1" customWidth="1"/>
    <col min="6418" max="6647" width="9.375" style="124"/>
    <col min="6648" max="6648" width="5" style="124" customWidth="1"/>
    <col min="6649" max="6649" width="17.875" style="124" bestFit="1" customWidth="1"/>
    <col min="6650" max="6650" width="9.875" style="124" customWidth="1"/>
    <col min="6651" max="6651" width="8.875" style="124" customWidth="1"/>
    <col min="6652" max="6652" width="7.375" style="124" bestFit="1" customWidth="1"/>
    <col min="6653" max="6653" width="10.125" style="124" bestFit="1" customWidth="1"/>
    <col min="6654" max="6654" width="9.375" style="124"/>
    <col min="6655" max="6655" width="10.125" style="124" bestFit="1" customWidth="1"/>
    <col min="6656" max="6656" width="10.75" style="124" customWidth="1"/>
    <col min="6657" max="6659" width="9.375" style="124"/>
    <col min="6660" max="6661" width="10.75" style="124" customWidth="1"/>
    <col min="6662" max="6666" width="9.375" style="124"/>
    <col min="6667" max="6667" width="1.625" style="124" bestFit="1" customWidth="1"/>
    <col min="6668" max="6668" width="9.375" style="124"/>
    <col min="6669" max="6669" width="8.875" style="124" customWidth="1"/>
    <col min="6670" max="6670" width="13.125" style="124" customWidth="1"/>
    <col min="6671" max="6671" width="9.375" style="124"/>
    <col min="6672" max="6672" width="9.875" style="124" customWidth="1"/>
    <col min="6673" max="6673" width="11.75" style="124" bestFit="1" customWidth="1"/>
    <col min="6674" max="6903" width="9.375" style="124"/>
    <col min="6904" max="6904" width="5" style="124" customWidth="1"/>
    <col min="6905" max="6905" width="17.875" style="124" bestFit="1" customWidth="1"/>
    <col min="6906" max="6906" width="9.875" style="124" customWidth="1"/>
    <col min="6907" max="6907" width="8.875" style="124" customWidth="1"/>
    <col min="6908" max="6908" width="7.375" style="124" bestFit="1" customWidth="1"/>
    <col min="6909" max="6909" width="10.125" style="124" bestFit="1" customWidth="1"/>
    <col min="6910" max="6910" width="9.375" style="124"/>
    <col min="6911" max="6911" width="10.125" style="124" bestFit="1" customWidth="1"/>
    <col min="6912" max="6912" width="10.75" style="124" customWidth="1"/>
    <col min="6913" max="6915" width="9.375" style="124"/>
    <col min="6916" max="6917" width="10.75" style="124" customWidth="1"/>
    <col min="6918" max="6922" width="9.375" style="124"/>
    <col min="6923" max="6923" width="1.625" style="124" bestFit="1" customWidth="1"/>
    <col min="6924" max="6924" width="9.375" style="124"/>
    <col min="6925" max="6925" width="8.875" style="124" customWidth="1"/>
    <col min="6926" max="6926" width="13.125" style="124" customWidth="1"/>
    <col min="6927" max="6927" width="9.375" style="124"/>
    <col min="6928" max="6928" width="9.875" style="124" customWidth="1"/>
    <col min="6929" max="6929" width="11.75" style="124" bestFit="1" customWidth="1"/>
    <col min="6930" max="7159" width="9.375" style="124"/>
    <col min="7160" max="7160" width="5" style="124" customWidth="1"/>
    <col min="7161" max="7161" width="17.875" style="124" bestFit="1" customWidth="1"/>
    <col min="7162" max="7162" width="9.875" style="124" customWidth="1"/>
    <col min="7163" max="7163" width="8.875" style="124" customWidth="1"/>
    <col min="7164" max="7164" width="7.375" style="124" bestFit="1" customWidth="1"/>
    <col min="7165" max="7165" width="10.125" style="124" bestFit="1" customWidth="1"/>
    <col min="7166" max="7166" width="9.375" style="124"/>
    <col min="7167" max="7167" width="10.125" style="124" bestFit="1" customWidth="1"/>
    <col min="7168" max="7168" width="10.75" style="124" customWidth="1"/>
    <col min="7169" max="7171" width="9.375" style="124"/>
    <col min="7172" max="7173" width="10.75" style="124" customWidth="1"/>
    <col min="7174" max="7178" width="9.375" style="124"/>
    <col min="7179" max="7179" width="1.625" style="124" bestFit="1" customWidth="1"/>
    <col min="7180" max="7180" width="9.375" style="124"/>
    <col min="7181" max="7181" width="8.875" style="124" customWidth="1"/>
    <col min="7182" max="7182" width="13.125" style="124" customWidth="1"/>
    <col min="7183" max="7183" width="9.375" style="124"/>
    <col min="7184" max="7184" width="9.875" style="124" customWidth="1"/>
    <col min="7185" max="7185" width="11.75" style="124" bestFit="1" customWidth="1"/>
    <col min="7186" max="7415" width="9.375" style="124"/>
    <col min="7416" max="7416" width="5" style="124" customWidth="1"/>
    <col min="7417" max="7417" width="17.875" style="124" bestFit="1" customWidth="1"/>
    <col min="7418" max="7418" width="9.875" style="124" customWidth="1"/>
    <col min="7419" max="7419" width="8.875" style="124" customWidth="1"/>
    <col min="7420" max="7420" width="7.375" style="124" bestFit="1" customWidth="1"/>
    <col min="7421" max="7421" width="10.125" style="124" bestFit="1" customWidth="1"/>
    <col min="7422" max="7422" width="9.375" style="124"/>
    <col min="7423" max="7423" width="10.125" style="124" bestFit="1" customWidth="1"/>
    <col min="7424" max="7424" width="10.75" style="124" customWidth="1"/>
    <col min="7425" max="7427" width="9.375" style="124"/>
    <col min="7428" max="7429" width="10.75" style="124" customWidth="1"/>
    <col min="7430" max="7434" width="9.375" style="124"/>
    <col min="7435" max="7435" width="1.625" style="124" bestFit="1" customWidth="1"/>
    <col min="7436" max="7436" width="9.375" style="124"/>
    <col min="7437" max="7437" width="8.875" style="124" customWidth="1"/>
    <col min="7438" max="7438" width="13.125" style="124" customWidth="1"/>
    <col min="7439" max="7439" width="9.375" style="124"/>
    <col min="7440" max="7440" width="9.875" style="124" customWidth="1"/>
    <col min="7441" max="7441" width="11.75" style="124" bestFit="1" customWidth="1"/>
    <col min="7442" max="7671" width="9.375" style="124"/>
    <col min="7672" max="7672" width="5" style="124" customWidth="1"/>
    <col min="7673" max="7673" width="17.875" style="124" bestFit="1" customWidth="1"/>
    <col min="7674" max="7674" width="9.875" style="124" customWidth="1"/>
    <col min="7675" max="7675" width="8.875" style="124" customWidth="1"/>
    <col min="7676" max="7676" width="7.375" style="124" bestFit="1" customWidth="1"/>
    <col min="7677" max="7677" width="10.125" style="124" bestFit="1" customWidth="1"/>
    <col min="7678" max="7678" width="9.375" style="124"/>
    <col min="7679" max="7679" width="10.125" style="124" bestFit="1" customWidth="1"/>
    <col min="7680" max="7680" width="10.75" style="124" customWidth="1"/>
    <col min="7681" max="7683" width="9.375" style="124"/>
    <col min="7684" max="7685" width="10.75" style="124" customWidth="1"/>
    <col min="7686" max="7690" width="9.375" style="124"/>
    <col min="7691" max="7691" width="1.625" style="124" bestFit="1" customWidth="1"/>
    <col min="7692" max="7692" width="9.375" style="124"/>
    <col min="7693" max="7693" width="8.875" style="124" customWidth="1"/>
    <col min="7694" max="7694" width="13.125" style="124" customWidth="1"/>
    <col min="7695" max="7695" width="9.375" style="124"/>
    <col min="7696" max="7696" width="9.875" style="124" customWidth="1"/>
    <col min="7697" max="7697" width="11.75" style="124" bestFit="1" customWidth="1"/>
    <col min="7698" max="7927" width="9.375" style="124"/>
    <col min="7928" max="7928" width="5" style="124" customWidth="1"/>
    <col min="7929" max="7929" width="17.875" style="124" bestFit="1" customWidth="1"/>
    <col min="7930" max="7930" width="9.875" style="124" customWidth="1"/>
    <col min="7931" max="7931" width="8.875" style="124" customWidth="1"/>
    <col min="7932" max="7932" width="7.375" style="124" bestFit="1" customWidth="1"/>
    <col min="7933" max="7933" width="10.125" style="124" bestFit="1" customWidth="1"/>
    <col min="7934" max="7934" width="9.375" style="124"/>
    <col min="7935" max="7935" width="10.125" style="124" bestFit="1" customWidth="1"/>
    <col min="7936" max="7936" width="10.75" style="124" customWidth="1"/>
    <col min="7937" max="7939" width="9.375" style="124"/>
    <col min="7940" max="7941" width="10.75" style="124" customWidth="1"/>
    <col min="7942" max="7946" width="9.375" style="124"/>
    <col min="7947" max="7947" width="1.625" style="124" bestFit="1" customWidth="1"/>
    <col min="7948" max="7948" width="9.375" style="124"/>
    <col min="7949" max="7949" width="8.875" style="124" customWidth="1"/>
    <col min="7950" max="7950" width="13.125" style="124" customWidth="1"/>
    <col min="7951" max="7951" width="9.375" style="124"/>
    <col min="7952" max="7952" width="9.875" style="124" customWidth="1"/>
    <col min="7953" max="7953" width="11.75" style="124" bestFit="1" customWidth="1"/>
    <col min="7954" max="8183" width="9.375" style="124"/>
    <col min="8184" max="8184" width="5" style="124" customWidth="1"/>
    <col min="8185" max="8185" width="17.875" style="124" bestFit="1" customWidth="1"/>
    <col min="8186" max="8186" width="9.875" style="124" customWidth="1"/>
    <col min="8187" max="8187" width="8.875" style="124" customWidth="1"/>
    <col min="8188" max="8188" width="7.375" style="124" bestFit="1" customWidth="1"/>
    <col min="8189" max="8189" width="10.125" style="124" bestFit="1" customWidth="1"/>
    <col min="8190" max="8190" width="9.375" style="124"/>
    <col min="8191" max="8191" width="10.125" style="124" bestFit="1" customWidth="1"/>
    <col min="8192" max="8192" width="10.75" style="124" customWidth="1"/>
    <col min="8193" max="8195" width="9.375" style="124"/>
    <col min="8196" max="8197" width="10.75" style="124" customWidth="1"/>
    <col min="8198" max="8202" width="9.375" style="124"/>
    <col min="8203" max="8203" width="1.625" style="124" bestFit="1" customWidth="1"/>
    <col min="8204" max="8204" width="9.375" style="124"/>
    <col min="8205" max="8205" width="8.875" style="124" customWidth="1"/>
    <col min="8206" max="8206" width="13.125" style="124" customWidth="1"/>
    <col min="8207" max="8207" width="9.375" style="124"/>
    <col min="8208" max="8208" width="9.875" style="124" customWidth="1"/>
    <col min="8209" max="8209" width="11.75" style="124" bestFit="1" customWidth="1"/>
    <col min="8210" max="8439" width="9.375" style="124"/>
    <col min="8440" max="8440" width="5" style="124" customWidth="1"/>
    <col min="8441" max="8441" width="17.875" style="124" bestFit="1" customWidth="1"/>
    <col min="8442" max="8442" width="9.875" style="124" customWidth="1"/>
    <col min="8443" max="8443" width="8.875" style="124" customWidth="1"/>
    <col min="8444" max="8444" width="7.375" style="124" bestFit="1" customWidth="1"/>
    <col min="8445" max="8445" width="10.125" style="124" bestFit="1" customWidth="1"/>
    <col min="8446" max="8446" width="9.375" style="124"/>
    <col min="8447" max="8447" width="10.125" style="124" bestFit="1" customWidth="1"/>
    <col min="8448" max="8448" width="10.75" style="124" customWidth="1"/>
    <col min="8449" max="8451" width="9.375" style="124"/>
    <col min="8452" max="8453" width="10.75" style="124" customWidth="1"/>
    <col min="8454" max="8458" width="9.375" style="124"/>
    <col min="8459" max="8459" width="1.625" style="124" bestFit="1" customWidth="1"/>
    <col min="8460" max="8460" width="9.375" style="124"/>
    <col min="8461" max="8461" width="8.875" style="124" customWidth="1"/>
    <col min="8462" max="8462" width="13.125" style="124" customWidth="1"/>
    <col min="8463" max="8463" width="9.375" style="124"/>
    <col min="8464" max="8464" width="9.875" style="124" customWidth="1"/>
    <col min="8465" max="8465" width="11.75" style="124" bestFit="1" customWidth="1"/>
    <col min="8466" max="8695" width="9.375" style="124"/>
    <col min="8696" max="8696" width="5" style="124" customWidth="1"/>
    <col min="8697" max="8697" width="17.875" style="124" bestFit="1" customWidth="1"/>
    <col min="8698" max="8698" width="9.875" style="124" customWidth="1"/>
    <col min="8699" max="8699" width="8.875" style="124" customWidth="1"/>
    <col min="8700" max="8700" width="7.375" style="124" bestFit="1" customWidth="1"/>
    <col min="8701" max="8701" width="10.125" style="124" bestFit="1" customWidth="1"/>
    <col min="8702" max="8702" width="9.375" style="124"/>
    <col min="8703" max="8703" width="10.125" style="124" bestFit="1" customWidth="1"/>
    <col min="8704" max="8704" width="10.75" style="124" customWidth="1"/>
    <col min="8705" max="8707" width="9.375" style="124"/>
    <col min="8708" max="8709" width="10.75" style="124" customWidth="1"/>
    <col min="8710" max="8714" width="9.375" style="124"/>
    <col min="8715" max="8715" width="1.625" style="124" bestFit="1" customWidth="1"/>
    <col min="8716" max="8716" width="9.375" style="124"/>
    <col min="8717" max="8717" width="8.875" style="124" customWidth="1"/>
    <col min="8718" max="8718" width="13.125" style="124" customWidth="1"/>
    <col min="8719" max="8719" width="9.375" style="124"/>
    <col min="8720" max="8720" width="9.875" style="124" customWidth="1"/>
    <col min="8721" max="8721" width="11.75" style="124" bestFit="1" customWidth="1"/>
    <col min="8722" max="8951" width="9.375" style="124"/>
    <col min="8952" max="8952" width="5" style="124" customWidth="1"/>
    <col min="8953" max="8953" width="17.875" style="124" bestFit="1" customWidth="1"/>
    <col min="8954" max="8954" width="9.875" style="124" customWidth="1"/>
    <col min="8955" max="8955" width="8.875" style="124" customWidth="1"/>
    <col min="8956" max="8956" width="7.375" style="124" bestFit="1" customWidth="1"/>
    <col min="8957" max="8957" width="10.125" style="124" bestFit="1" customWidth="1"/>
    <col min="8958" max="8958" width="9.375" style="124"/>
    <col min="8959" max="8959" width="10.125" style="124" bestFit="1" customWidth="1"/>
    <col min="8960" max="8960" width="10.75" style="124" customWidth="1"/>
    <col min="8961" max="8963" width="9.375" style="124"/>
    <col min="8964" max="8965" width="10.75" style="124" customWidth="1"/>
    <col min="8966" max="8970" width="9.375" style="124"/>
    <col min="8971" max="8971" width="1.625" style="124" bestFit="1" customWidth="1"/>
    <col min="8972" max="8972" width="9.375" style="124"/>
    <col min="8973" max="8973" width="8.875" style="124" customWidth="1"/>
    <col min="8974" max="8974" width="13.125" style="124" customWidth="1"/>
    <col min="8975" max="8975" width="9.375" style="124"/>
    <col min="8976" max="8976" width="9.875" style="124" customWidth="1"/>
    <col min="8977" max="8977" width="11.75" style="124" bestFit="1" customWidth="1"/>
    <col min="8978" max="9207" width="9.375" style="124"/>
    <col min="9208" max="9208" width="5" style="124" customWidth="1"/>
    <col min="9209" max="9209" width="17.875" style="124" bestFit="1" customWidth="1"/>
    <col min="9210" max="9210" width="9.875" style="124" customWidth="1"/>
    <col min="9211" max="9211" width="8.875" style="124" customWidth="1"/>
    <col min="9212" max="9212" width="7.375" style="124" bestFit="1" customWidth="1"/>
    <col min="9213" max="9213" width="10.125" style="124" bestFit="1" customWidth="1"/>
    <col min="9214" max="9214" width="9.375" style="124"/>
    <col min="9215" max="9215" width="10.125" style="124" bestFit="1" customWidth="1"/>
    <col min="9216" max="9216" width="10.75" style="124" customWidth="1"/>
    <col min="9217" max="9219" width="9.375" style="124"/>
    <col min="9220" max="9221" width="10.75" style="124" customWidth="1"/>
    <col min="9222" max="9226" width="9.375" style="124"/>
    <col min="9227" max="9227" width="1.625" style="124" bestFit="1" customWidth="1"/>
    <col min="9228" max="9228" width="9.375" style="124"/>
    <col min="9229" max="9229" width="8.875" style="124" customWidth="1"/>
    <col min="9230" max="9230" width="13.125" style="124" customWidth="1"/>
    <col min="9231" max="9231" width="9.375" style="124"/>
    <col min="9232" max="9232" width="9.875" style="124" customWidth="1"/>
    <col min="9233" max="9233" width="11.75" style="124" bestFit="1" customWidth="1"/>
    <col min="9234" max="9463" width="9.375" style="124"/>
    <col min="9464" max="9464" width="5" style="124" customWidth="1"/>
    <col min="9465" max="9465" width="17.875" style="124" bestFit="1" customWidth="1"/>
    <col min="9466" max="9466" width="9.875" style="124" customWidth="1"/>
    <col min="9467" max="9467" width="8.875" style="124" customWidth="1"/>
    <col min="9468" max="9468" width="7.375" style="124" bestFit="1" customWidth="1"/>
    <col min="9469" max="9469" width="10.125" style="124" bestFit="1" customWidth="1"/>
    <col min="9470" max="9470" width="9.375" style="124"/>
    <col min="9471" max="9471" width="10.125" style="124" bestFit="1" customWidth="1"/>
    <col min="9472" max="9472" width="10.75" style="124" customWidth="1"/>
    <col min="9473" max="9475" width="9.375" style="124"/>
    <col min="9476" max="9477" width="10.75" style="124" customWidth="1"/>
    <col min="9478" max="9482" width="9.375" style="124"/>
    <col min="9483" max="9483" width="1.625" style="124" bestFit="1" customWidth="1"/>
    <col min="9484" max="9484" width="9.375" style="124"/>
    <col min="9485" max="9485" width="8.875" style="124" customWidth="1"/>
    <col min="9486" max="9486" width="13.125" style="124" customWidth="1"/>
    <col min="9487" max="9487" width="9.375" style="124"/>
    <col min="9488" max="9488" width="9.875" style="124" customWidth="1"/>
    <col min="9489" max="9489" width="11.75" style="124" bestFit="1" customWidth="1"/>
    <col min="9490" max="9719" width="9.375" style="124"/>
    <col min="9720" max="9720" width="5" style="124" customWidth="1"/>
    <col min="9721" max="9721" width="17.875" style="124" bestFit="1" customWidth="1"/>
    <col min="9722" max="9722" width="9.875" style="124" customWidth="1"/>
    <col min="9723" max="9723" width="8.875" style="124" customWidth="1"/>
    <col min="9724" max="9724" width="7.375" style="124" bestFit="1" customWidth="1"/>
    <col min="9725" max="9725" width="10.125" style="124" bestFit="1" customWidth="1"/>
    <col min="9726" max="9726" width="9.375" style="124"/>
    <col min="9727" max="9727" width="10.125" style="124" bestFit="1" customWidth="1"/>
    <col min="9728" max="9728" width="10.75" style="124" customWidth="1"/>
    <col min="9729" max="9731" width="9.375" style="124"/>
    <col min="9732" max="9733" width="10.75" style="124" customWidth="1"/>
    <col min="9734" max="9738" width="9.375" style="124"/>
    <col min="9739" max="9739" width="1.625" style="124" bestFit="1" customWidth="1"/>
    <col min="9740" max="9740" width="9.375" style="124"/>
    <col min="9741" max="9741" width="8.875" style="124" customWidth="1"/>
    <col min="9742" max="9742" width="13.125" style="124" customWidth="1"/>
    <col min="9743" max="9743" width="9.375" style="124"/>
    <col min="9744" max="9744" width="9.875" style="124" customWidth="1"/>
    <col min="9745" max="9745" width="11.75" style="124" bestFit="1" customWidth="1"/>
    <col min="9746" max="9975" width="9.375" style="124"/>
    <col min="9976" max="9976" width="5" style="124" customWidth="1"/>
    <col min="9977" max="9977" width="17.875" style="124" bestFit="1" customWidth="1"/>
    <col min="9978" max="9978" width="9.875" style="124" customWidth="1"/>
    <col min="9979" max="9979" width="8.875" style="124" customWidth="1"/>
    <col min="9980" max="9980" width="7.375" style="124" bestFit="1" customWidth="1"/>
    <col min="9981" max="9981" width="10.125" style="124" bestFit="1" customWidth="1"/>
    <col min="9982" max="9982" width="9.375" style="124"/>
    <col min="9983" max="9983" width="10.125" style="124" bestFit="1" customWidth="1"/>
    <col min="9984" max="9984" width="10.75" style="124" customWidth="1"/>
    <col min="9985" max="9987" width="9.375" style="124"/>
    <col min="9988" max="9989" width="10.75" style="124" customWidth="1"/>
    <col min="9990" max="9994" width="9.375" style="124"/>
    <col min="9995" max="9995" width="1.625" style="124" bestFit="1" customWidth="1"/>
    <col min="9996" max="9996" width="9.375" style="124"/>
    <col min="9997" max="9997" width="8.875" style="124" customWidth="1"/>
    <col min="9998" max="9998" width="13.125" style="124" customWidth="1"/>
    <col min="9999" max="9999" width="9.375" style="124"/>
    <col min="10000" max="10000" width="9.875" style="124" customWidth="1"/>
    <col min="10001" max="10001" width="11.75" style="124" bestFit="1" customWidth="1"/>
    <col min="10002" max="10231" width="9.375" style="124"/>
    <col min="10232" max="10232" width="5" style="124" customWidth="1"/>
    <col min="10233" max="10233" width="17.875" style="124" bestFit="1" customWidth="1"/>
    <col min="10234" max="10234" width="9.875" style="124" customWidth="1"/>
    <col min="10235" max="10235" width="8.875" style="124" customWidth="1"/>
    <col min="10236" max="10236" width="7.375" style="124" bestFit="1" customWidth="1"/>
    <col min="10237" max="10237" width="10.125" style="124" bestFit="1" customWidth="1"/>
    <col min="10238" max="10238" width="9.375" style="124"/>
    <col min="10239" max="10239" width="10.125" style="124" bestFit="1" customWidth="1"/>
    <col min="10240" max="10240" width="10.75" style="124" customWidth="1"/>
    <col min="10241" max="10243" width="9.375" style="124"/>
    <col min="10244" max="10245" width="10.75" style="124" customWidth="1"/>
    <col min="10246" max="10250" width="9.375" style="124"/>
    <col min="10251" max="10251" width="1.625" style="124" bestFit="1" customWidth="1"/>
    <col min="10252" max="10252" width="9.375" style="124"/>
    <col min="10253" max="10253" width="8.875" style="124" customWidth="1"/>
    <col min="10254" max="10254" width="13.125" style="124" customWidth="1"/>
    <col min="10255" max="10255" width="9.375" style="124"/>
    <col min="10256" max="10256" width="9.875" style="124" customWidth="1"/>
    <col min="10257" max="10257" width="11.75" style="124" bestFit="1" customWidth="1"/>
    <col min="10258" max="10487" width="9.375" style="124"/>
    <col min="10488" max="10488" width="5" style="124" customWidth="1"/>
    <col min="10489" max="10489" width="17.875" style="124" bestFit="1" customWidth="1"/>
    <col min="10490" max="10490" width="9.875" style="124" customWidth="1"/>
    <col min="10491" max="10491" width="8.875" style="124" customWidth="1"/>
    <col min="10492" max="10492" width="7.375" style="124" bestFit="1" customWidth="1"/>
    <col min="10493" max="10493" width="10.125" style="124" bestFit="1" customWidth="1"/>
    <col min="10494" max="10494" width="9.375" style="124"/>
    <col min="10495" max="10495" width="10.125" style="124" bestFit="1" customWidth="1"/>
    <col min="10496" max="10496" width="10.75" style="124" customWidth="1"/>
    <col min="10497" max="10499" width="9.375" style="124"/>
    <col min="10500" max="10501" width="10.75" style="124" customWidth="1"/>
    <col min="10502" max="10506" width="9.375" style="124"/>
    <col min="10507" max="10507" width="1.625" style="124" bestFit="1" customWidth="1"/>
    <col min="10508" max="10508" width="9.375" style="124"/>
    <col min="10509" max="10509" width="8.875" style="124" customWidth="1"/>
    <col min="10510" max="10510" width="13.125" style="124" customWidth="1"/>
    <col min="10511" max="10511" width="9.375" style="124"/>
    <col min="10512" max="10512" width="9.875" style="124" customWidth="1"/>
    <col min="10513" max="10513" width="11.75" style="124" bestFit="1" customWidth="1"/>
    <col min="10514" max="10743" width="9.375" style="124"/>
    <col min="10744" max="10744" width="5" style="124" customWidth="1"/>
    <col min="10745" max="10745" width="17.875" style="124" bestFit="1" customWidth="1"/>
    <col min="10746" max="10746" width="9.875" style="124" customWidth="1"/>
    <col min="10747" max="10747" width="8.875" style="124" customWidth="1"/>
    <col min="10748" max="10748" width="7.375" style="124" bestFit="1" customWidth="1"/>
    <col min="10749" max="10749" width="10.125" style="124" bestFit="1" customWidth="1"/>
    <col min="10750" max="10750" width="9.375" style="124"/>
    <col min="10751" max="10751" width="10.125" style="124" bestFit="1" customWidth="1"/>
    <col min="10752" max="10752" width="10.75" style="124" customWidth="1"/>
    <col min="10753" max="10755" width="9.375" style="124"/>
    <col min="10756" max="10757" width="10.75" style="124" customWidth="1"/>
    <col min="10758" max="10762" width="9.375" style="124"/>
    <col min="10763" max="10763" width="1.625" style="124" bestFit="1" customWidth="1"/>
    <col min="10764" max="10764" width="9.375" style="124"/>
    <col min="10765" max="10765" width="8.875" style="124" customWidth="1"/>
    <col min="10766" max="10766" width="13.125" style="124" customWidth="1"/>
    <col min="10767" max="10767" width="9.375" style="124"/>
    <col min="10768" max="10768" width="9.875" style="124" customWidth="1"/>
    <col min="10769" max="10769" width="11.75" style="124" bestFit="1" customWidth="1"/>
    <col min="10770" max="10999" width="9.375" style="124"/>
    <col min="11000" max="11000" width="5" style="124" customWidth="1"/>
    <col min="11001" max="11001" width="17.875" style="124" bestFit="1" customWidth="1"/>
    <col min="11002" max="11002" width="9.875" style="124" customWidth="1"/>
    <col min="11003" max="11003" width="8.875" style="124" customWidth="1"/>
    <col min="11004" max="11004" width="7.375" style="124" bestFit="1" customWidth="1"/>
    <col min="11005" max="11005" width="10.125" style="124" bestFit="1" customWidth="1"/>
    <col min="11006" max="11006" width="9.375" style="124"/>
    <col min="11007" max="11007" width="10.125" style="124" bestFit="1" customWidth="1"/>
    <col min="11008" max="11008" width="10.75" style="124" customWidth="1"/>
    <col min="11009" max="11011" width="9.375" style="124"/>
    <col min="11012" max="11013" width="10.75" style="124" customWidth="1"/>
    <col min="11014" max="11018" width="9.375" style="124"/>
    <col min="11019" max="11019" width="1.625" style="124" bestFit="1" customWidth="1"/>
    <col min="11020" max="11020" width="9.375" style="124"/>
    <col min="11021" max="11021" width="8.875" style="124" customWidth="1"/>
    <col min="11022" max="11022" width="13.125" style="124" customWidth="1"/>
    <col min="11023" max="11023" width="9.375" style="124"/>
    <col min="11024" max="11024" width="9.875" style="124" customWidth="1"/>
    <col min="11025" max="11025" width="11.75" style="124" bestFit="1" customWidth="1"/>
    <col min="11026" max="11255" width="9.375" style="124"/>
    <col min="11256" max="11256" width="5" style="124" customWidth="1"/>
    <col min="11257" max="11257" width="17.875" style="124" bestFit="1" customWidth="1"/>
    <col min="11258" max="11258" width="9.875" style="124" customWidth="1"/>
    <col min="11259" max="11259" width="8.875" style="124" customWidth="1"/>
    <col min="11260" max="11260" width="7.375" style="124" bestFit="1" customWidth="1"/>
    <col min="11261" max="11261" width="10.125" style="124" bestFit="1" customWidth="1"/>
    <col min="11262" max="11262" width="9.375" style="124"/>
    <col min="11263" max="11263" width="10.125" style="124" bestFit="1" customWidth="1"/>
    <col min="11264" max="11264" width="10.75" style="124" customWidth="1"/>
    <col min="11265" max="11267" width="9.375" style="124"/>
    <col min="11268" max="11269" width="10.75" style="124" customWidth="1"/>
    <col min="11270" max="11274" width="9.375" style="124"/>
    <col min="11275" max="11275" width="1.625" style="124" bestFit="1" customWidth="1"/>
    <col min="11276" max="11276" width="9.375" style="124"/>
    <col min="11277" max="11277" width="8.875" style="124" customWidth="1"/>
    <col min="11278" max="11278" width="13.125" style="124" customWidth="1"/>
    <col min="11279" max="11279" width="9.375" style="124"/>
    <col min="11280" max="11280" width="9.875" style="124" customWidth="1"/>
    <col min="11281" max="11281" width="11.75" style="124" bestFit="1" customWidth="1"/>
    <col min="11282" max="11511" width="9.375" style="124"/>
    <col min="11512" max="11512" width="5" style="124" customWidth="1"/>
    <col min="11513" max="11513" width="17.875" style="124" bestFit="1" customWidth="1"/>
    <col min="11514" max="11514" width="9.875" style="124" customWidth="1"/>
    <col min="11515" max="11515" width="8.875" style="124" customWidth="1"/>
    <col min="11516" max="11516" width="7.375" style="124" bestFit="1" customWidth="1"/>
    <col min="11517" max="11517" width="10.125" style="124" bestFit="1" customWidth="1"/>
    <col min="11518" max="11518" width="9.375" style="124"/>
    <col min="11519" max="11519" width="10.125" style="124" bestFit="1" customWidth="1"/>
    <col min="11520" max="11520" width="10.75" style="124" customWidth="1"/>
    <col min="11521" max="11523" width="9.375" style="124"/>
    <col min="11524" max="11525" width="10.75" style="124" customWidth="1"/>
    <col min="11526" max="11530" width="9.375" style="124"/>
    <col min="11531" max="11531" width="1.625" style="124" bestFit="1" customWidth="1"/>
    <col min="11532" max="11532" width="9.375" style="124"/>
    <col min="11533" max="11533" width="8.875" style="124" customWidth="1"/>
    <col min="11534" max="11534" width="13.125" style="124" customWidth="1"/>
    <col min="11535" max="11535" width="9.375" style="124"/>
    <col min="11536" max="11536" width="9.875" style="124" customWidth="1"/>
    <col min="11537" max="11537" width="11.75" style="124" bestFit="1" customWidth="1"/>
    <col min="11538" max="11767" width="9.375" style="124"/>
    <col min="11768" max="11768" width="5" style="124" customWidth="1"/>
    <col min="11769" max="11769" width="17.875" style="124" bestFit="1" customWidth="1"/>
    <col min="11770" max="11770" width="9.875" style="124" customWidth="1"/>
    <col min="11771" max="11771" width="8.875" style="124" customWidth="1"/>
    <col min="11772" max="11772" width="7.375" style="124" bestFit="1" customWidth="1"/>
    <col min="11773" max="11773" width="10.125" style="124" bestFit="1" customWidth="1"/>
    <col min="11774" max="11774" width="9.375" style="124"/>
    <col min="11775" max="11775" width="10.125" style="124" bestFit="1" customWidth="1"/>
    <col min="11776" max="11776" width="10.75" style="124" customWidth="1"/>
    <col min="11777" max="11779" width="9.375" style="124"/>
    <col min="11780" max="11781" width="10.75" style="124" customWidth="1"/>
    <col min="11782" max="11786" width="9.375" style="124"/>
    <col min="11787" max="11787" width="1.625" style="124" bestFit="1" customWidth="1"/>
    <col min="11788" max="11788" width="9.375" style="124"/>
    <col min="11789" max="11789" width="8.875" style="124" customWidth="1"/>
    <col min="11790" max="11790" width="13.125" style="124" customWidth="1"/>
    <col min="11791" max="11791" width="9.375" style="124"/>
    <col min="11792" max="11792" width="9.875" style="124" customWidth="1"/>
    <col min="11793" max="11793" width="11.75" style="124" bestFit="1" customWidth="1"/>
    <col min="11794" max="12023" width="9.375" style="124"/>
    <col min="12024" max="12024" width="5" style="124" customWidth="1"/>
    <col min="12025" max="12025" width="17.875" style="124" bestFit="1" customWidth="1"/>
    <col min="12026" max="12026" width="9.875" style="124" customWidth="1"/>
    <col min="12027" max="12027" width="8.875" style="124" customWidth="1"/>
    <col min="12028" max="12028" width="7.375" style="124" bestFit="1" customWidth="1"/>
    <col min="12029" max="12029" width="10.125" style="124" bestFit="1" customWidth="1"/>
    <col min="12030" max="12030" width="9.375" style="124"/>
    <col min="12031" max="12031" width="10.125" style="124" bestFit="1" customWidth="1"/>
    <col min="12032" max="12032" width="10.75" style="124" customWidth="1"/>
    <col min="12033" max="12035" width="9.375" style="124"/>
    <col min="12036" max="12037" width="10.75" style="124" customWidth="1"/>
    <col min="12038" max="12042" width="9.375" style="124"/>
    <col min="12043" max="12043" width="1.625" style="124" bestFit="1" customWidth="1"/>
    <col min="12044" max="12044" width="9.375" style="124"/>
    <col min="12045" max="12045" width="8.875" style="124" customWidth="1"/>
    <col min="12046" max="12046" width="13.125" style="124" customWidth="1"/>
    <col min="12047" max="12047" width="9.375" style="124"/>
    <col min="12048" max="12048" width="9.875" style="124" customWidth="1"/>
    <col min="12049" max="12049" width="11.75" style="124" bestFit="1" customWidth="1"/>
    <col min="12050" max="12279" width="9.375" style="124"/>
    <col min="12280" max="12280" width="5" style="124" customWidth="1"/>
    <col min="12281" max="12281" width="17.875" style="124" bestFit="1" customWidth="1"/>
    <col min="12282" max="12282" width="9.875" style="124" customWidth="1"/>
    <col min="12283" max="12283" width="8.875" style="124" customWidth="1"/>
    <col min="12284" max="12284" width="7.375" style="124" bestFit="1" customWidth="1"/>
    <col min="12285" max="12285" width="10.125" style="124" bestFit="1" customWidth="1"/>
    <col min="12286" max="12286" width="9.375" style="124"/>
    <col min="12287" max="12287" width="10.125" style="124" bestFit="1" customWidth="1"/>
    <col min="12288" max="12288" width="10.75" style="124" customWidth="1"/>
    <col min="12289" max="12291" width="9.375" style="124"/>
    <col min="12292" max="12293" width="10.75" style="124" customWidth="1"/>
    <col min="12294" max="12298" width="9.375" style="124"/>
    <col min="12299" max="12299" width="1.625" style="124" bestFit="1" customWidth="1"/>
    <col min="12300" max="12300" width="9.375" style="124"/>
    <col min="12301" max="12301" width="8.875" style="124" customWidth="1"/>
    <col min="12302" max="12302" width="13.125" style="124" customWidth="1"/>
    <col min="12303" max="12303" width="9.375" style="124"/>
    <col min="12304" max="12304" width="9.875" style="124" customWidth="1"/>
    <col min="12305" max="12305" width="11.75" style="124" bestFit="1" customWidth="1"/>
    <col min="12306" max="12535" width="9.375" style="124"/>
    <col min="12536" max="12536" width="5" style="124" customWidth="1"/>
    <col min="12537" max="12537" width="17.875" style="124" bestFit="1" customWidth="1"/>
    <col min="12538" max="12538" width="9.875" style="124" customWidth="1"/>
    <col min="12539" max="12539" width="8.875" style="124" customWidth="1"/>
    <col min="12540" max="12540" width="7.375" style="124" bestFit="1" customWidth="1"/>
    <col min="12541" max="12541" width="10.125" style="124" bestFit="1" customWidth="1"/>
    <col min="12542" max="12542" width="9.375" style="124"/>
    <col min="12543" max="12543" width="10.125" style="124" bestFit="1" customWidth="1"/>
    <col min="12544" max="12544" width="10.75" style="124" customWidth="1"/>
    <col min="12545" max="12547" width="9.375" style="124"/>
    <col min="12548" max="12549" width="10.75" style="124" customWidth="1"/>
    <col min="12550" max="12554" width="9.375" style="124"/>
    <col min="12555" max="12555" width="1.625" style="124" bestFit="1" customWidth="1"/>
    <col min="12556" max="12556" width="9.375" style="124"/>
    <col min="12557" max="12557" width="8.875" style="124" customWidth="1"/>
    <col min="12558" max="12558" width="13.125" style="124" customWidth="1"/>
    <col min="12559" max="12559" width="9.375" style="124"/>
    <col min="12560" max="12560" width="9.875" style="124" customWidth="1"/>
    <col min="12561" max="12561" width="11.75" style="124" bestFit="1" customWidth="1"/>
    <col min="12562" max="12791" width="9.375" style="124"/>
    <col min="12792" max="12792" width="5" style="124" customWidth="1"/>
    <col min="12793" max="12793" width="17.875" style="124" bestFit="1" customWidth="1"/>
    <col min="12794" max="12794" width="9.875" style="124" customWidth="1"/>
    <col min="12795" max="12795" width="8.875" style="124" customWidth="1"/>
    <col min="12796" max="12796" width="7.375" style="124" bestFit="1" customWidth="1"/>
    <col min="12797" max="12797" width="10.125" style="124" bestFit="1" customWidth="1"/>
    <col min="12798" max="12798" width="9.375" style="124"/>
    <col min="12799" max="12799" width="10.125" style="124" bestFit="1" customWidth="1"/>
    <col min="12800" max="12800" width="10.75" style="124" customWidth="1"/>
    <col min="12801" max="12803" width="9.375" style="124"/>
    <col min="12804" max="12805" width="10.75" style="124" customWidth="1"/>
    <col min="12806" max="12810" width="9.375" style="124"/>
    <col min="12811" max="12811" width="1.625" style="124" bestFit="1" customWidth="1"/>
    <col min="12812" max="12812" width="9.375" style="124"/>
    <col min="12813" max="12813" width="8.875" style="124" customWidth="1"/>
    <col min="12814" max="12814" width="13.125" style="124" customWidth="1"/>
    <col min="12815" max="12815" width="9.375" style="124"/>
    <col min="12816" max="12816" width="9.875" style="124" customWidth="1"/>
    <col min="12817" max="12817" width="11.75" style="124" bestFit="1" customWidth="1"/>
    <col min="12818" max="13047" width="9.375" style="124"/>
    <col min="13048" max="13048" width="5" style="124" customWidth="1"/>
    <col min="13049" max="13049" width="17.875" style="124" bestFit="1" customWidth="1"/>
    <col min="13050" max="13050" width="9.875" style="124" customWidth="1"/>
    <col min="13051" max="13051" width="8.875" style="124" customWidth="1"/>
    <col min="13052" max="13052" width="7.375" style="124" bestFit="1" customWidth="1"/>
    <col min="13053" max="13053" width="10.125" style="124" bestFit="1" customWidth="1"/>
    <col min="13054" max="13054" width="9.375" style="124"/>
    <col min="13055" max="13055" width="10.125" style="124" bestFit="1" customWidth="1"/>
    <col min="13056" max="13056" width="10.75" style="124" customWidth="1"/>
    <col min="13057" max="13059" width="9.375" style="124"/>
    <col min="13060" max="13061" width="10.75" style="124" customWidth="1"/>
    <col min="13062" max="13066" width="9.375" style="124"/>
    <col min="13067" max="13067" width="1.625" style="124" bestFit="1" customWidth="1"/>
    <col min="13068" max="13068" width="9.375" style="124"/>
    <col min="13069" max="13069" width="8.875" style="124" customWidth="1"/>
    <col min="13070" max="13070" width="13.125" style="124" customWidth="1"/>
    <col min="13071" max="13071" width="9.375" style="124"/>
    <col min="13072" max="13072" width="9.875" style="124" customWidth="1"/>
    <col min="13073" max="13073" width="11.75" style="124" bestFit="1" customWidth="1"/>
    <col min="13074" max="13303" width="9.375" style="124"/>
    <col min="13304" max="13304" width="5" style="124" customWidth="1"/>
    <col min="13305" max="13305" width="17.875" style="124" bestFit="1" customWidth="1"/>
    <col min="13306" max="13306" width="9.875" style="124" customWidth="1"/>
    <col min="13307" max="13307" width="8.875" style="124" customWidth="1"/>
    <col min="13308" max="13308" width="7.375" style="124" bestFit="1" customWidth="1"/>
    <col min="13309" max="13309" width="10.125" style="124" bestFit="1" customWidth="1"/>
    <col min="13310" max="13310" width="9.375" style="124"/>
    <col min="13311" max="13311" width="10.125" style="124" bestFit="1" customWidth="1"/>
    <col min="13312" max="13312" width="10.75" style="124" customWidth="1"/>
    <col min="13313" max="13315" width="9.375" style="124"/>
    <col min="13316" max="13317" width="10.75" style="124" customWidth="1"/>
    <col min="13318" max="13322" width="9.375" style="124"/>
    <col min="13323" max="13323" width="1.625" style="124" bestFit="1" customWidth="1"/>
    <col min="13324" max="13324" width="9.375" style="124"/>
    <col min="13325" max="13325" width="8.875" style="124" customWidth="1"/>
    <col min="13326" max="13326" width="13.125" style="124" customWidth="1"/>
    <col min="13327" max="13327" width="9.375" style="124"/>
    <col min="13328" max="13328" width="9.875" style="124" customWidth="1"/>
    <col min="13329" max="13329" width="11.75" style="124" bestFit="1" customWidth="1"/>
    <col min="13330" max="13559" width="9.375" style="124"/>
    <col min="13560" max="13560" width="5" style="124" customWidth="1"/>
    <col min="13561" max="13561" width="17.875" style="124" bestFit="1" customWidth="1"/>
    <col min="13562" max="13562" width="9.875" style="124" customWidth="1"/>
    <col min="13563" max="13563" width="8.875" style="124" customWidth="1"/>
    <col min="13564" max="13564" width="7.375" style="124" bestFit="1" customWidth="1"/>
    <col min="13565" max="13565" width="10.125" style="124" bestFit="1" customWidth="1"/>
    <col min="13566" max="13566" width="9.375" style="124"/>
    <col min="13567" max="13567" width="10.125" style="124" bestFit="1" customWidth="1"/>
    <col min="13568" max="13568" width="10.75" style="124" customWidth="1"/>
    <col min="13569" max="13571" width="9.375" style="124"/>
    <col min="13572" max="13573" width="10.75" style="124" customWidth="1"/>
    <col min="13574" max="13578" width="9.375" style="124"/>
    <col min="13579" max="13579" width="1.625" style="124" bestFit="1" customWidth="1"/>
    <col min="13580" max="13580" width="9.375" style="124"/>
    <col min="13581" max="13581" width="8.875" style="124" customWidth="1"/>
    <col min="13582" max="13582" width="13.125" style="124" customWidth="1"/>
    <col min="13583" max="13583" width="9.375" style="124"/>
    <col min="13584" max="13584" width="9.875" style="124" customWidth="1"/>
    <col min="13585" max="13585" width="11.75" style="124" bestFit="1" customWidth="1"/>
    <col min="13586" max="13815" width="9.375" style="124"/>
    <col min="13816" max="13816" width="5" style="124" customWidth="1"/>
    <col min="13817" max="13817" width="17.875" style="124" bestFit="1" customWidth="1"/>
    <col min="13818" max="13818" width="9.875" style="124" customWidth="1"/>
    <col min="13819" max="13819" width="8.875" style="124" customWidth="1"/>
    <col min="13820" max="13820" width="7.375" style="124" bestFit="1" customWidth="1"/>
    <col min="13821" max="13821" width="10.125" style="124" bestFit="1" customWidth="1"/>
    <col min="13822" max="13822" width="9.375" style="124"/>
    <col min="13823" max="13823" width="10.125" style="124" bestFit="1" customWidth="1"/>
    <col min="13824" max="13824" width="10.75" style="124" customWidth="1"/>
    <col min="13825" max="13827" width="9.375" style="124"/>
    <col min="13828" max="13829" width="10.75" style="124" customWidth="1"/>
    <col min="13830" max="13834" width="9.375" style="124"/>
    <col min="13835" max="13835" width="1.625" style="124" bestFit="1" customWidth="1"/>
    <col min="13836" max="13836" width="9.375" style="124"/>
    <col min="13837" max="13837" width="8.875" style="124" customWidth="1"/>
    <col min="13838" max="13838" width="13.125" style="124" customWidth="1"/>
    <col min="13839" max="13839" width="9.375" style="124"/>
    <col min="13840" max="13840" width="9.875" style="124" customWidth="1"/>
    <col min="13841" max="13841" width="11.75" style="124" bestFit="1" customWidth="1"/>
    <col min="13842" max="14071" width="9.375" style="124"/>
    <col min="14072" max="14072" width="5" style="124" customWidth="1"/>
    <col min="14073" max="14073" width="17.875" style="124" bestFit="1" customWidth="1"/>
    <col min="14074" max="14074" width="9.875" style="124" customWidth="1"/>
    <col min="14075" max="14075" width="8.875" style="124" customWidth="1"/>
    <col min="14076" max="14076" width="7.375" style="124" bestFit="1" customWidth="1"/>
    <col min="14077" max="14077" width="10.125" style="124" bestFit="1" customWidth="1"/>
    <col min="14078" max="14078" width="9.375" style="124"/>
    <col min="14079" max="14079" width="10.125" style="124" bestFit="1" customWidth="1"/>
    <col min="14080" max="14080" width="10.75" style="124" customWidth="1"/>
    <col min="14081" max="14083" width="9.375" style="124"/>
    <col min="14084" max="14085" width="10.75" style="124" customWidth="1"/>
    <col min="14086" max="14090" width="9.375" style="124"/>
    <col min="14091" max="14091" width="1.625" style="124" bestFit="1" customWidth="1"/>
    <col min="14092" max="14092" width="9.375" style="124"/>
    <col min="14093" max="14093" width="8.875" style="124" customWidth="1"/>
    <col min="14094" max="14094" width="13.125" style="124" customWidth="1"/>
    <col min="14095" max="14095" width="9.375" style="124"/>
    <col min="14096" max="14096" width="9.875" style="124" customWidth="1"/>
    <col min="14097" max="14097" width="11.75" style="124" bestFit="1" customWidth="1"/>
    <col min="14098" max="14327" width="9.375" style="124"/>
    <col min="14328" max="14328" width="5" style="124" customWidth="1"/>
    <col min="14329" max="14329" width="17.875" style="124" bestFit="1" customWidth="1"/>
    <col min="14330" max="14330" width="9.875" style="124" customWidth="1"/>
    <col min="14331" max="14331" width="8.875" style="124" customWidth="1"/>
    <col min="14332" max="14332" width="7.375" style="124" bestFit="1" customWidth="1"/>
    <col min="14333" max="14333" width="10.125" style="124" bestFit="1" customWidth="1"/>
    <col min="14334" max="14334" width="9.375" style="124"/>
    <col min="14335" max="14335" width="10.125" style="124" bestFit="1" customWidth="1"/>
    <col min="14336" max="14336" width="10.75" style="124" customWidth="1"/>
    <col min="14337" max="14339" width="9.375" style="124"/>
    <col min="14340" max="14341" width="10.75" style="124" customWidth="1"/>
    <col min="14342" max="14346" width="9.375" style="124"/>
    <col min="14347" max="14347" width="1.625" style="124" bestFit="1" customWidth="1"/>
    <col min="14348" max="14348" width="9.375" style="124"/>
    <col min="14349" max="14349" width="8.875" style="124" customWidth="1"/>
    <col min="14350" max="14350" width="13.125" style="124" customWidth="1"/>
    <col min="14351" max="14351" width="9.375" style="124"/>
    <col min="14352" max="14352" width="9.875" style="124" customWidth="1"/>
    <col min="14353" max="14353" width="11.75" style="124" bestFit="1" customWidth="1"/>
    <col min="14354" max="14583" width="9.375" style="124"/>
    <col min="14584" max="14584" width="5" style="124" customWidth="1"/>
    <col min="14585" max="14585" width="17.875" style="124" bestFit="1" customWidth="1"/>
    <col min="14586" max="14586" width="9.875" style="124" customWidth="1"/>
    <col min="14587" max="14587" width="8.875" style="124" customWidth="1"/>
    <col min="14588" max="14588" width="7.375" style="124" bestFit="1" customWidth="1"/>
    <col min="14589" max="14589" width="10.125" style="124" bestFit="1" customWidth="1"/>
    <col min="14590" max="14590" width="9.375" style="124"/>
    <col min="14591" max="14591" width="10.125" style="124" bestFit="1" customWidth="1"/>
    <col min="14592" max="14592" width="10.75" style="124" customWidth="1"/>
    <col min="14593" max="14595" width="9.375" style="124"/>
    <col min="14596" max="14597" width="10.75" style="124" customWidth="1"/>
    <col min="14598" max="14602" width="9.375" style="124"/>
    <col min="14603" max="14603" width="1.625" style="124" bestFit="1" customWidth="1"/>
    <col min="14604" max="14604" width="9.375" style="124"/>
    <col min="14605" max="14605" width="8.875" style="124" customWidth="1"/>
    <col min="14606" max="14606" width="13.125" style="124" customWidth="1"/>
    <col min="14607" max="14607" width="9.375" style="124"/>
    <col min="14608" max="14608" width="9.875" style="124" customWidth="1"/>
    <col min="14609" max="14609" width="11.75" style="124" bestFit="1" customWidth="1"/>
    <col min="14610" max="14839" width="9.375" style="124"/>
    <col min="14840" max="14840" width="5" style="124" customWidth="1"/>
    <col min="14841" max="14841" width="17.875" style="124" bestFit="1" customWidth="1"/>
    <col min="14842" max="14842" width="9.875" style="124" customWidth="1"/>
    <col min="14843" max="14843" width="8.875" style="124" customWidth="1"/>
    <col min="14844" max="14844" width="7.375" style="124" bestFit="1" customWidth="1"/>
    <col min="14845" max="14845" width="10.125" style="124" bestFit="1" customWidth="1"/>
    <col min="14846" max="14846" width="9.375" style="124"/>
    <col min="14847" max="14847" width="10.125" style="124" bestFit="1" customWidth="1"/>
    <col min="14848" max="14848" width="10.75" style="124" customWidth="1"/>
    <col min="14849" max="14851" width="9.375" style="124"/>
    <col min="14852" max="14853" width="10.75" style="124" customWidth="1"/>
    <col min="14854" max="14858" width="9.375" style="124"/>
    <col min="14859" max="14859" width="1.625" style="124" bestFit="1" customWidth="1"/>
    <col min="14860" max="14860" width="9.375" style="124"/>
    <col min="14861" max="14861" width="8.875" style="124" customWidth="1"/>
    <col min="14862" max="14862" width="13.125" style="124" customWidth="1"/>
    <col min="14863" max="14863" width="9.375" style="124"/>
    <col min="14864" max="14864" width="9.875" style="124" customWidth="1"/>
    <col min="14865" max="14865" width="11.75" style="124" bestFit="1" customWidth="1"/>
    <col min="14866" max="15095" width="9.375" style="124"/>
    <col min="15096" max="15096" width="5" style="124" customWidth="1"/>
    <col min="15097" max="15097" width="17.875" style="124" bestFit="1" customWidth="1"/>
    <col min="15098" max="15098" width="9.875" style="124" customWidth="1"/>
    <col min="15099" max="15099" width="8.875" style="124" customWidth="1"/>
    <col min="15100" max="15100" width="7.375" style="124" bestFit="1" customWidth="1"/>
    <col min="15101" max="15101" width="10.125" style="124" bestFit="1" customWidth="1"/>
    <col min="15102" max="15102" width="9.375" style="124"/>
    <col min="15103" max="15103" width="10.125" style="124" bestFit="1" customWidth="1"/>
    <col min="15104" max="15104" width="10.75" style="124" customWidth="1"/>
    <col min="15105" max="15107" width="9.375" style="124"/>
    <col min="15108" max="15109" width="10.75" style="124" customWidth="1"/>
    <col min="15110" max="15114" width="9.375" style="124"/>
    <col min="15115" max="15115" width="1.625" style="124" bestFit="1" customWidth="1"/>
    <col min="15116" max="15116" width="9.375" style="124"/>
    <col min="15117" max="15117" width="8.875" style="124" customWidth="1"/>
    <col min="15118" max="15118" width="13.125" style="124" customWidth="1"/>
    <col min="15119" max="15119" width="9.375" style="124"/>
    <col min="15120" max="15120" width="9.875" style="124" customWidth="1"/>
    <col min="15121" max="15121" width="11.75" style="124" bestFit="1" customWidth="1"/>
    <col min="15122" max="15351" width="9.375" style="124"/>
    <col min="15352" max="15352" width="5" style="124" customWidth="1"/>
    <col min="15353" max="15353" width="17.875" style="124" bestFit="1" customWidth="1"/>
    <col min="15354" max="15354" width="9.875" style="124" customWidth="1"/>
    <col min="15355" max="15355" width="8.875" style="124" customWidth="1"/>
    <col min="15356" max="15356" width="7.375" style="124" bestFit="1" customWidth="1"/>
    <col min="15357" max="15357" width="10.125" style="124" bestFit="1" customWidth="1"/>
    <col min="15358" max="15358" width="9.375" style="124"/>
    <col min="15359" max="15359" width="10.125" style="124" bestFit="1" customWidth="1"/>
    <col min="15360" max="15360" width="10.75" style="124" customWidth="1"/>
    <col min="15361" max="15363" width="9.375" style="124"/>
    <col min="15364" max="15365" width="10.75" style="124" customWidth="1"/>
    <col min="15366" max="15370" width="9.375" style="124"/>
    <col min="15371" max="15371" width="1.625" style="124" bestFit="1" customWidth="1"/>
    <col min="15372" max="15372" width="9.375" style="124"/>
    <col min="15373" max="15373" width="8.875" style="124" customWidth="1"/>
    <col min="15374" max="15374" width="13.125" style="124" customWidth="1"/>
    <col min="15375" max="15375" width="9.375" style="124"/>
    <col min="15376" max="15376" width="9.875" style="124" customWidth="1"/>
    <col min="15377" max="15377" width="11.75" style="124" bestFit="1" customWidth="1"/>
    <col min="15378" max="15607" width="9.375" style="124"/>
    <col min="15608" max="15608" width="5" style="124" customWidth="1"/>
    <col min="15609" max="15609" width="17.875" style="124" bestFit="1" customWidth="1"/>
    <col min="15610" max="15610" width="9.875" style="124" customWidth="1"/>
    <col min="15611" max="15611" width="8.875" style="124" customWidth="1"/>
    <col min="15612" max="15612" width="7.375" style="124" bestFit="1" customWidth="1"/>
    <col min="15613" max="15613" width="10.125" style="124" bestFit="1" customWidth="1"/>
    <col min="15614" max="15614" width="9.375" style="124"/>
    <col min="15615" max="15615" width="10.125" style="124" bestFit="1" customWidth="1"/>
    <col min="15616" max="15616" width="10.75" style="124" customWidth="1"/>
    <col min="15617" max="15619" width="9.375" style="124"/>
    <col min="15620" max="15621" width="10.75" style="124" customWidth="1"/>
    <col min="15622" max="15626" width="9.375" style="124"/>
    <col min="15627" max="15627" width="1.625" style="124" bestFit="1" customWidth="1"/>
    <col min="15628" max="15628" width="9.375" style="124"/>
    <col min="15629" max="15629" width="8.875" style="124" customWidth="1"/>
    <col min="15630" max="15630" width="13.125" style="124" customWidth="1"/>
    <col min="15631" max="15631" width="9.375" style="124"/>
    <col min="15632" max="15632" width="9.875" style="124" customWidth="1"/>
    <col min="15633" max="15633" width="11.75" style="124" bestFit="1" customWidth="1"/>
    <col min="15634" max="15863" width="9.375" style="124"/>
    <col min="15864" max="15864" width="5" style="124" customWidth="1"/>
    <col min="15865" max="15865" width="17.875" style="124" bestFit="1" customWidth="1"/>
    <col min="15866" max="15866" width="9.875" style="124" customWidth="1"/>
    <col min="15867" max="15867" width="8.875" style="124" customWidth="1"/>
    <col min="15868" max="15868" width="7.375" style="124" bestFit="1" customWidth="1"/>
    <col min="15869" max="15869" width="10.125" style="124" bestFit="1" customWidth="1"/>
    <col min="15870" max="15870" width="9.375" style="124"/>
    <col min="15871" max="15871" width="10.125" style="124" bestFit="1" customWidth="1"/>
    <col min="15872" max="15872" width="10.75" style="124" customWidth="1"/>
    <col min="15873" max="15875" width="9.375" style="124"/>
    <col min="15876" max="15877" width="10.75" style="124" customWidth="1"/>
    <col min="15878" max="15882" width="9.375" style="124"/>
    <col min="15883" max="15883" width="1.625" style="124" bestFit="1" customWidth="1"/>
    <col min="15884" max="15884" width="9.375" style="124"/>
    <col min="15885" max="15885" width="8.875" style="124" customWidth="1"/>
    <col min="15886" max="15886" width="13.125" style="124" customWidth="1"/>
    <col min="15887" max="15887" width="9.375" style="124"/>
    <col min="15888" max="15888" width="9.875" style="124" customWidth="1"/>
    <col min="15889" max="15889" width="11.75" style="124" bestFit="1" customWidth="1"/>
    <col min="15890" max="16119" width="9.375" style="124"/>
    <col min="16120" max="16120" width="5" style="124" customWidth="1"/>
    <col min="16121" max="16121" width="17.875" style="124" bestFit="1" customWidth="1"/>
    <col min="16122" max="16122" width="9.875" style="124" customWidth="1"/>
    <col min="16123" max="16123" width="8.875" style="124" customWidth="1"/>
    <col min="16124" max="16124" width="7.375" style="124" bestFit="1" customWidth="1"/>
    <col min="16125" max="16125" width="10.125" style="124" bestFit="1" customWidth="1"/>
    <col min="16126" max="16126" width="9.375" style="124"/>
    <col min="16127" max="16127" width="10.125" style="124" bestFit="1" customWidth="1"/>
    <col min="16128" max="16128" width="10.75" style="124" customWidth="1"/>
    <col min="16129" max="16131" width="9.375" style="124"/>
    <col min="16132" max="16133" width="10.75" style="124" customWidth="1"/>
    <col min="16134" max="16138" width="9.375" style="124"/>
    <col min="16139" max="16139" width="1.625" style="124" bestFit="1" customWidth="1"/>
    <col min="16140" max="16140" width="9.375" style="124"/>
    <col min="16141" max="16141" width="8.875" style="124" customWidth="1"/>
    <col min="16142" max="16142" width="13.125" style="124" customWidth="1"/>
    <col min="16143" max="16143" width="9.375" style="124"/>
    <col min="16144" max="16144" width="9.875" style="124" customWidth="1"/>
    <col min="16145" max="16145" width="11.75" style="124" bestFit="1" customWidth="1"/>
    <col min="16146" max="16384" width="9.375" style="124"/>
  </cols>
  <sheetData>
    <row r="1" spans="1:20" s="33" customFormat="1" ht="26.25" x14ac:dyDescent="0.2">
      <c r="A1" s="254" t="s">
        <v>410</v>
      </c>
      <c r="B1" s="32"/>
      <c r="C1" s="374" t="s">
        <v>405</v>
      </c>
      <c r="D1" s="278" t="s">
        <v>397</v>
      </c>
      <c r="E1" s="773" t="s">
        <v>406</v>
      </c>
      <c r="F1" s="773"/>
      <c r="G1" s="120"/>
      <c r="H1" s="120"/>
      <c r="I1" s="120"/>
      <c r="J1" s="120"/>
      <c r="K1" s="120"/>
      <c r="M1" s="120"/>
      <c r="N1" s="121"/>
      <c r="O1" s="43"/>
      <c r="P1" s="121"/>
      <c r="Q1" s="121"/>
      <c r="R1" s="43"/>
      <c r="S1" s="43"/>
      <c r="T1" s="43"/>
    </row>
    <row r="2" spans="1:20" s="40" customFormat="1" ht="15.75" x14ac:dyDescent="0.25">
      <c r="A2" s="329" t="str">
        <f>Paramètres!B4</f>
        <v>Décompte 2022</v>
      </c>
      <c r="N2" s="123"/>
      <c r="O2" s="122"/>
      <c r="P2" s="123"/>
      <c r="Q2" s="123"/>
      <c r="R2" s="122"/>
      <c r="S2" s="122"/>
      <c r="T2" s="122"/>
    </row>
    <row r="4" spans="1:20" s="135" customFormat="1" ht="39" customHeight="1" x14ac:dyDescent="0.2">
      <c r="A4" s="782" t="s">
        <v>44</v>
      </c>
      <c r="B4" s="782" t="s">
        <v>84</v>
      </c>
      <c r="C4" s="782" t="s">
        <v>441</v>
      </c>
      <c r="D4" s="312" t="s">
        <v>257</v>
      </c>
      <c r="E4" s="782" t="s">
        <v>368</v>
      </c>
      <c r="F4" s="785" t="s">
        <v>288</v>
      </c>
      <c r="G4" s="782" t="s">
        <v>535</v>
      </c>
      <c r="H4" s="782" t="s">
        <v>495</v>
      </c>
      <c r="I4" s="782" t="s">
        <v>536</v>
      </c>
      <c r="J4" s="782" t="s">
        <v>413</v>
      </c>
      <c r="K4" s="312" t="s">
        <v>498</v>
      </c>
      <c r="L4" s="782" t="s">
        <v>370</v>
      </c>
      <c r="M4" s="133"/>
      <c r="N4" s="132"/>
      <c r="O4" s="133"/>
      <c r="P4" s="134"/>
      <c r="Q4" s="132"/>
      <c r="R4" s="132"/>
      <c r="S4" s="132"/>
    </row>
    <row r="5" spans="1:20" s="135" customFormat="1" x14ac:dyDescent="0.2">
      <c r="A5" s="784"/>
      <c r="B5" s="784"/>
      <c r="C5" s="783"/>
      <c r="D5" s="335">
        <f>Paramètres!B6</f>
        <v>43464</v>
      </c>
      <c r="E5" s="784"/>
      <c r="F5" s="786"/>
      <c r="G5" s="784"/>
      <c r="H5" s="784"/>
      <c r="I5" s="784"/>
      <c r="J5" s="783"/>
      <c r="K5" s="313">
        <f>(Paramètres!B56-'Facture policière'!$I$306)/'Facture policière'!J306</f>
        <v>1.1803476842585956</v>
      </c>
      <c r="L5" s="783"/>
      <c r="M5" s="134"/>
      <c r="N5" s="132"/>
      <c r="O5" s="134"/>
      <c r="P5" s="134"/>
      <c r="Q5" s="132"/>
      <c r="R5" s="132"/>
      <c r="S5" s="132"/>
    </row>
    <row r="6" spans="1:20" x14ac:dyDescent="0.25">
      <c r="A6" s="173">
        <f>Données!A6</f>
        <v>5401</v>
      </c>
      <c r="B6" s="324" t="str">
        <f>Données!B6</f>
        <v>Aigle</v>
      </c>
      <c r="C6" s="173">
        <f>Données!AR6</f>
        <v>1</v>
      </c>
      <c r="D6" s="326">
        <f>Données!Z6</f>
        <v>10937</v>
      </c>
      <c r="E6" s="127">
        <f>Données!X6</f>
        <v>66</v>
      </c>
      <c r="F6" s="31">
        <f>VPI!L6</f>
        <v>17128389.589999996</v>
      </c>
      <c r="G6" s="41">
        <f>F6/E6*2</f>
        <v>519042.10878787865</v>
      </c>
      <c r="H6" s="58">
        <f>+$G$306/$D$306*D6</f>
        <v>976837.03606573632</v>
      </c>
      <c r="I6" s="41">
        <f t="shared" ref="I6" si="0">IF(C6=1,0,IF(H6&gt;G6,G6,H6))</f>
        <v>0</v>
      </c>
      <c r="J6" s="41">
        <f>VPI!R6</f>
        <v>294634.51575757569</v>
      </c>
      <c r="K6" s="50">
        <f t="shared" ref="K6" si="1">+$K$5*J6</f>
        <v>347771.16837710718</v>
      </c>
      <c r="L6" s="314">
        <f t="shared" ref="L6" si="2">+K6+I6</f>
        <v>347771.16837710718</v>
      </c>
      <c r="M6" s="216"/>
      <c r="N6" s="129"/>
      <c r="O6" s="126"/>
      <c r="Q6" s="130"/>
      <c r="T6" s="124"/>
    </row>
    <row r="7" spans="1:20" x14ac:dyDescent="0.25">
      <c r="A7" s="174">
        <f>Données!A7</f>
        <v>5402</v>
      </c>
      <c r="B7" s="325" t="str">
        <f>Données!B7</f>
        <v>Bex</v>
      </c>
      <c r="C7" s="174">
        <f>Données!AR7</f>
        <v>1</v>
      </c>
      <c r="D7" s="326">
        <f>Données!Z7</f>
        <v>8151</v>
      </c>
      <c r="E7" s="127">
        <f>Données!X7</f>
        <v>71</v>
      </c>
      <c r="F7" s="31">
        <f>VPI!L7</f>
        <v>12090349.110000001</v>
      </c>
      <c r="G7" s="8">
        <f t="shared" ref="G7:G70" si="3">F7/E7*2</f>
        <v>340573.21436619724</v>
      </c>
      <c r="H7" s="198">
        <f t="shared" ref="H7:H70" si="4">+$G$306/$D$306*D7</f>
        <v>728005.73109370179</v>
      </c>
      <c r="I7" s="8">
        <f t="shared" ref="I7:I70" si="5">IF(C7=1,0,IF(H7&gt;G7,G7,H7))</f>
        <v>0</v>
      </c>
      <c r="J7" s="8">
        <f>VPI!R7</f>
        <v>191961.18746478873</v>
      </c>
      <c r="K7" s="221">
        <f t="shared" ref="K7:K70" si="6">+$K$5*J7</f>
        <v>226580.94309159354</v>
      </c>
      <c r="L7" s="315">
        <f t="shared" ref="L7:L70" si="7">+K7+I7</f>
        <v>226580.94309159354</v>
      </c>
      <c r="M7" s="216"/>
      <c r="N7" s="129"/>
      <c r="O7" s="126"/>
      <c r="Q7" s="130"/>
      <c r="T7" s="124"/>
    </row>
    <row r="8" spans="1:20" x14ac:dyDescent="0.25">
      <c r="A8" s="174">
        <f>Données!A8</f>
        <v>5403</v>
      </c>
      <c r="B8" s="325" t="str">
        <f>Données!B8</f>
        <v>Chessel</v>
      </c>
      <c r="C8" s="174">
        <f>Données!AR8</f>
        <v>0</v>
      </c>
      <c r="D8" s="326">
        <f>Données!Z8</f>
        <v>528</v>
      </c>
      <c r="E8" s="127">
        <f>Données!X8</f>
        <v>65</v>
      </c>
      <c r="F8" s="31">
        <f>VPI!L8</f>
        <v>782768.39</v>
      </c>
      <c r="G8" s="8">
        <f t="shared" si="3"/>
        <v>24085.181230769231</v>
      </c>
      <c r="H8" s="198">
        <f t="shared" si="4"/>
        <v>47158.265981778255</v>
      </c>
      <c r="I8" s="8">
        <f t="shared" si="5"/>
        <v>24085.181230769231</v>
      </c>
      <c r="J8" s="8">
        <f>VPI!R8</f>
        <v>13521.430615384616</v>
      </c>
      <c r="K8" s="221">
        <f t="shared" si="6"/>
        <v>15959.989314732507</v>
      </c>
      <c r="L8" s="315">
        <f t="shared" si="7"/>
        <v>40045.170545501736</v>
      </c>
      <c r="M8" s="216"/>
      <c r="N8" s="129"/>
      <c r="O8" s="126"/>
      <c r="Q8" s="130"/>
      <c r="T8" s="124"/>
    </row>
    <row r="9" spans="1:20" x14ac:dyDescent="0.25">
      <c r="A9" s="174">
        <f>Données!A9</f>
        <v>5404</v>
      </c>
      <c r="B9" s="325" t="str">
        <f>Données!B9</f>
        <v>Corbeyrier</v>
      </c>
      <c r="C9" s="174">
        <f>Données!AR9</f>
        <v>0</v>
      </c>
      <c r="D9" s="326">
        <f>Données!Z9</f>
        <v>440</v>
      </c>
      <c r="E9" s="127">
        <f>Données!X9</f>
        <v>74</v>
      </c>
      <c r="F9" s="31">
        <f>VPI!L9</f>
        <v>771643.8600000001</v>
      </c>
      <c r="G9" s="8">
        <f t="shared" si="3"/>
        <v>20855.239459459463</v>
      </c>
      <c r="H9" s="198">
        <f t="shared" si="4"/>
        <v>39298.554984815215</v>
      </c>
      <c r="I9" s="8">
        <f t="shared" si="5"/>
        <v>20855.239459459463</v>
      </c>
      <c r="J9" s="8">
        <f>VPI!R9</f>
        <v>11663.247882882884</v>
      </c>
      <c r="K9" s="221">
        <f t="shared" si="6"/>
        <v>13766.68762949478</v>
      </c>
      <c r="L9" s="315">
        <f t="shared" si="7"/>
        <v>34621.927088954239</v>
      </c>
      <c r="M9" s="216"/>
      <c r="N9" s="129"/>
      <c r="O9" s="126"/>
      <c r="Q9" s="130"/>
      <c r="T9" s="124"/>
    </row>
    <row r="10" spans="1:20" x14ac:dyDescent="0.25">
      <c r="A10" s="174">
        <f>Données!A10</f>
        <v>5405</v>
      </c>
      <c r="B10" s="325" t="str">
        <f>Données!B10</f>
        <v>Gryon</v>
      </c>
      <c r="C10" s="174">
        <f>Données!AR10</f>
        <v>0</v>
      </c>
      <c r="D10" s="326">
        <f>Données!Z10</f>
        <v>1389</v>
      </c>
      <c r="E10" s="127">
        <f>Données!X10</f>
        <v>73.5</v>
      </c>
      <c r="F10" s="31">
        <f>VPI!L10</f>
        <v>4540237.4300000006</v>
      </c>
      <c r="G10" s="8">
        <f t="shared" si="3"/>
        <v>123543.87564625852</v>
      </c>
      <c r="H10" s="198">
        <f t="shared" si="4"/>
        <v>124058.3928952462</v>
      </c>
      <c r="I10" s="8">
        <f t="shared" si="5"/>
        <v>123543.87564625852</v>
      </c>
      <c r="J10" s="8">
        <f>VPI!R10</f>
        <v>73286.214467120197</v>
      </c>
      <c r="K10" s="221">
        <f t="shared" si="6"/>
        <v>86503.213534344104</v>
      </c>
      <c r="L10" s="315">
        <f t="shared" si="7"/>
        <v>210047.08918060263</v>
      </c>
      <c r="M10" s="216"/>
      <c r="N10" s="129"/>
      <c r="O10" s="126"/>
      <c r="Q10" s="130"/>
      <c r="T10" s="124"/>
    </row>
    <row r="11" spans="1:20" x14ac:dyDescent="0.25">
      <c r="A11" s="174">
        <f>Données!A11</f>
        <v>5406</v>
      </c>
      <c r="B11" s="325" t="str">
        <f>Données!B11</f>
        <v>Lavey-Morcles</v>
      </c>
      <c r="C11" s="174">
        <f>Données!AR11</f>
        <v>0</v>
      </c>
      <c r="D11" s="326">
        <f>Données!Z11</f>
        <v>979</v>
      </c>
      <c r="E11" s="127">
        <f>Données!X11</f>
        <v>71.5</v>
      </c>
      <c r="F11" s="31">
        <f>VPI!L11</f>
        <v>1413559.6199999999</v>
      </c>
      <c r="G11" s="8">
        <f t="shared" si="3"/>
        <v>39540.129230769227</v>
      </c>
      <c r="H11" s="198">
        <f t="shared" si="4"/>
        <v>87439.284841213841</v>
      </c>
      <c r="I11" s="8">
        <f t="shared" si="5"/>
        <v>39540.129230769227</v>
      </c>
      <c r="J11" s="8">
        <f>VPI!R11</f>
        <v>22111.529381387842</v>
      </c>
      <c r="K11" s="221">
        <f t="shared" si="6"/>
        <v>26099.292500737036</v>
      </c>
      <c r="L11" s="315">
        <f t="shared" si="7"/>
        <v>65639.421731506271</v>
      </c>
      <c r="M11" s="216"/>
      <c r="N11" s="129"/>
      <c r="O11" s="126"/>
      <c r="Q11" s="130"/>
      <c r="T11" s="124"/>
    </row>
    <row r="12" spans="1:20" x14ac:dyDescent="0.25">
      <c r="A12" s="174">
        <f>Données!A12</f>
        <v>5407</v>
      </c>
      <c r="B12" s="325" t="str">
        <f>Données!B12</f>
        <v>Leysin</v>
      </c>
      <c r="C12" s="174">
        <f>Données!AR12</f>
        <v>0</v>
      </c>
      <c r="D12" s="326">
        <f>Données!Z12</f>
        <v>3743</v>
      </c>
      <c r="E12" s="127">
        <f>Données!X12</f>
        <v>78</v>
      </c>
      <c r="F12" s="31">
        <f>VPI!L12</f>
        <v>6082739.21</v>
      </c>
      <c r="G12" s="8">
        <f t="shared" si="3"/>
        <v>155967.67205128205</v>
      </c>
      <c r="H12" s="198">
        <f t="shared" si="4"/>
        <v>334305.6620640076</v>
      </c>
      <c r="I12" s="8">
        <f t="shared" si="5"/>
        <v>155967.67205128205</v>
      </c>
      <c r="J12" s="8">
        <f>VPI!R12</f>
        <v>89841.412521367529</v>
      </c>
      <c r="K12" s="221">
        <f t="shared" si="6"/>
        <v>106044.10322011735</v>
      </c>
      <c r="L12" s="315">
        <f t="shared" si="7"/>
        <v>262011.77527139941</v>
      </c>
      <c r="M12" s="216"/>
      <c r="N12" s="129"/>
      <c r="O12" s="126"/>
      <c r="Q12" s="130"/>
      <c r="T12" s="124"/>
    </row>
    <row r="13" spans="1:20" x14ac:dyDescent="0.25">
      <c r="A13" s="174">
        <f>Données!A13</f>
        <v>5408</v>
      </c>
      <c r="B13" s="325" t="str">
        <f>Données!B13</f>
        <v>Noville</v>
      </c>
      <c r="C13" s="174">
        <f>Données!AR13</f>
        <v>0</v>
      </c>
      <c r="D13" s="326">
        <f>Données!Z13</f>
        <v>1169</v>
      </c>
      <c r="E13" s="127">
        <f>Données!X13</f>
        <v>75</v>
      </c>
      <c r="F13" s="31">
        <f>VPI!L13</f>
        <v>2779913.6400000011</v>
      </c>
      <c r="G13" s="8">
        <f t="shared" si="3"/>
        <v>74131.030400000032</v>
      </c>
      <c r="H13" s="198">
        <f t="shared" si="4"/>
        <v>104409.11540283859</v>
      </c>
      <c r="I13" s="8">
        <f t="shared" si="5"/>
        <v>74131.030400000032</v>
      </c>
      <c r="J13" s="8">
        <f>VPI!R13</f>
        <v>41973.380088888902</v>
      </c>
      <c r="K13" s="221">
        <f t="shared" si="6"/>
        <v>49543.181988425858</v>
      </c>
      <c r="L13" s="315">
        <f t="shared" si="7"/>
        <v>123674.21238842589</v>
      </c>
      <c r="M13" s="216"/>
      <c r="N13" s="129"/>
      <c r="O13" s="126"/>
      <c r="Q13" s="130"/>
      <c r="T13" s="124"/>
    </row>
    <row r="14" spans="1:20" x14ac:dyDescent="0.25">
      <c r="A14" s="174">
        <f>Données!A14</f>
        <v>5409</v>
      </c>
      <c r="B14" s="325" t="str">
        <f>Données!B14</f>
        <v>Ollon</v>
      </c>
      <c r="C14" s="174">
        <f>Données!AR14</f>
        <v>1</v>
      </c>
      <c r="D14" s="326">
        <f>Données!Z14</f>
        <v>7967</v>
      </c>
      <c r="E14" s="127">
        <f>Données!X14</f>
        <v>68</v>
      </c>
      <c r="F14" s="31">
        <f>VPI!L14</f>
        <v>24218238.079999998</v>
      </c>
      <c r="G14" s="8">
        <f t="shared" si="3"/>
        <v>712301.12</v>
      </c>
      <c r="H14" s="198">
        <f t="shared" si="4"/>
        <v>711571.78991823364</v>
      </c>
      <c r="I14" s="8">
        <f t="shared" si="5"/>
        <v>0</v>
      </c>
      <c r="J14" s="8">
        <f>VPI!R14</f>
        <v>405938.29721719451</v>
      </c>
      <c r="K14" s="221">
        <f t="shared" si="6"/>
        <v>479148.32907219307</v>
      </c>
      <c r="L14" s="315">
        <f t="shared" si="7"/>
        <v>479148.32907219307</v>
      </c>
      <c r="M14" s="216"/>
      <c r="N14" s="129"/>
      <c r="O14" s="126"/>
      <c r="Q14" s="130"/>
      <c r="T14" s="124"/>
    </row>
    <row r="15" spans="1:20" x14ac:dyDescent="0.25">
      <c r="A15" s="174">
        <f>Données!A15</f>
        <v>5410</v>
      </c>
      <c r="B15" s="325" t="str">
        <f>Données!B15</f>
        <v>Ormont-Dessous</v>
      </c>
      <c r="C15" s="174">
        <f>Données!AR15</f>
        <v>0</v>
      </c>
      <c r="D15" s="326">
        <f>Données!Z15</f>
        <v>1178</v>
      </c>
      <c r="E15" s="127">
        <f>Données!X15</f>
        <v>77</v>
      </c>
      <c r="F15" s="31">
        <f>VPI!L15</f>
        <v>2548246.77</v>
      </c>
      <c r="G15" s="8">
        <f t="shared" si="3"/>
        <v>66188.227792207792</v>
      </c>
      <c r="H15" s="26">
        <f t="shared" si="4"/>
        <v>105212.94948207345</v>
      </c>
      <c r="I15" s="8">
        <f t="shared" si="5"/>
        <v>66188.227792207792</v>
      </c>
      <c r="J15" s="8">
        <f>VPI!R15</f>
        <v>38413.35632034632</v>
      </c>
      <c r="K15" s="221">
        <f t="shared" si="6"/>
        <v>45341.116177321062</v>
      </c>
      <c r="L15" s="315">
        <f t="shared" si="7"/>
        <v>111529.34396952885</v>
      </c>
      <c r="M15" s="128"/>
      <c r="N15" s="129"/>
      <c r="O15" s="126"/>
      <c r="Q15" s="130"/>
      <c r="T15" s="124"/>
    </row>
    <row r="16" spans="1:20" x14ac:dyDescent="0.25">
      <c r="A16" s="174">
        <f>Données!A16</f>
        <v>5411</v>
      </c>
      <c r="B16" s="325" t="str">
        <f>Données!B16</f>
        <v>Ormont-Dessus</v>
      </c>
      <c r="C16" s="174">
        <f>Données!AR16</f>
        <v>0</v>
      </c>
      <c r="D16" s="326">
        <f>Données!Z16</f>
        <v>1425</v>
      </c>
      <c r="E16" s="127">
        <f>Données!X16</f>
        <v>76</v>
      </c>
      <c r="F16" s="31">
        <f>VPI!L16</f>
        <v>4909866.74</v>
      </c>
      <c r="G16" s="8">
        <f t="shared" si="3"/>
        <v>129207.01947368421</v>
      </c>
      <c r="H16" s="26">
        <f t="shared" si="4"/>
        <v>127273.72921218563</v>
      </c>
      <c r="I16" s="8">
        <f t="shared" si="5"/>
        <v>127273.72921218563</v>
      </c>
      <c r="J16" s="8">
        <f>VPI!R16</f>
        <v>76161.465657894747</v>
      </c>
      <c r="K16" s="221">
        <f t="shared" si="6"/>
        <v>89897.009619036617</v>
      </c>
      <c r="L16" s="315">
        <f t="shared" si="7"/>
        <v>217170.73883122223</v>
      </c>
      <c r="M16" s="217"/>
      <c r="N16" s="129"/>
      <c r="O16" s="126"/>
      <c r="Q16" s="130"/>
      <c r="T16" s="124"/>
    </row>
    <row r="17" spans="1:20" x14ac:dyDescent="0.25">
      <c r="A17" s="174">
        <f>Données!A17</f>
        <v>5412</v>
      </c>
      <c r="B17" s="325" t="str">
        <f>Données!B17</f>
        <v>Rennaz</v>
      </c>
      <c r="C17" s="174">
        <f>Données!AR17</f>
        <v>0</v>
      </c>
      <c r="D17" s="326">
        <f>Données!Z17</f>
        <v>929</v>
      </c>
      <c r="E17" s="127">
        <f>Données!X17</f>
        <v>69</v>
      </c>
      <c r="F17" s="31">
        <f>VPI!L17</f>
        <v>1886707.35</v>
      </c>
      <c r="G17" s="8">
        <f t="shared" si="3"/>
        <v>54687.169565217395</v>
      </c>
      <c r="H17" s="26">
        <f t="shared" si="4"/>
        <v>82973.539956575754</v>
      </c>
      <c r="I17" s="8">
        <f t="shared" si="5"/>
        <v>54687.169565217395</v>
      </c>
      <c r="J17" s="8">
        <f>VPI!R17</f>
        <v>32240.440579710143</v>
      </c>
      <c r="K17" s="221">
        <f t="shared" si="6"/>
        <v>38054.929377737717</v>
      </c>
      <c r="L17" s="315">
        <f t="shared" si="7"/>
        <v>92742.098942955112</v>
      </c>
      <c r="M17" s="128"/>
      <c r="N17" s="129"/>
      <c r="O17" s="126"/>
      <c r="Q17" s="130"/>
      <c r="T17" s="124"/>
    </row>
    <row r="18" spans="1:20" x14ac:dyDescent="0.25">
      <c r="A18" s="174">
        <f>Données!A18</f>
        <v>5413</v>
      </c>
      <c r="B18" s="325" t="str">
        <f>Données!B18</f>
        <v>Roche</v>
      </c>
      <c r="C18" s="174">
        <f>Données!AR18</f>
        <v>0</v>
      </c>
      <c r="D18" s="326">
        <f>Données!Z18</f>
        <v>1940</v>
      </c>
      <c r="E18" s="127">
        <f>Données!X18</f>
        <v>68</v>
      </c>
      <c r="F18" s="31">
        <f>VPI!L18</f>
        <v>2563625.0000000005</v>
      </c>
      <c r="G18" s="8">
        <f t="shared" si="3"/>
        <v>75400.735294117665</v>
      </c>
      <c r="H18" s="26">
        <f t="shared" si="4"/>
        <v>173270.90152395799</v>
      </c>
      <c r="I18" s="8">
        <f t="shared" si="5"/>
        <v>75400.735294117665</v>
      </c>
      <c r="J18" s="8">
        <f>VPI!R18</f>
        <v>42596.643504901964</v>
      </c>
      <c r="K18" s="221">
        <f t="shared" si="6"/>
        <v>50278.849518199982</v>
      </c>
      <c r="L18" s="315">
        <f t="shared" si="7"/>
        <v>125679.58481231765</v>
      </c>
      <c r="M18" s="128"/>
      <c r="N18" s="129"/>
      <c r="O18" s="126"/>
      <c r="Q18" s="130"/>
      <c r="T18" s="124"/>
    </row>
    <row r="19" spans="1:20" x14ac:dyDescent="0.25">
      <c r="A19" s="174">
        <f>Données!A19</f>
        <v>5414</v>
      </c>
      <c r="B19" s="325" t="str">
        <f>Données!B19</f>
        <v>Villeneuve</v>
      </c>
      <c r="C19" s="174">
        <f>Données!AR19</f>
        <v>0</v>
      </c>
      <c r="D19" s="326">
        <f>Données!Z19</f>
        <v>5979</v>
      </c>
      <c r="E19" s="127">
        <f>Données!X19</f>
        <v>67.5</v>
      </c>
      <c r="F19" s="31">
        <f>VPI!L19</f>
        <v>9702823.629999999</v>
      </c>
      <c r="G19" s="8">
        <f t="shared" si="3"/>
        <v>287491.07051851851</v>
      </c>
      <c r="H19" s="26">
        <f t="shared" si="4"/>
        <v>534013.77330502309</v>
      </c>
      <c r="I19" s="8">
        <f t="shared" si="5"/>
        <v>287491.07051851851</v>
      </c>
      <c r="J19" s="8">
        <f>VPI!R19</f>
        <v>165881.46711111109</v>
      </c>
      <c r="K19" s="221">
        <f t="shared" si="6"/>
        <v>195797.80556601836</v>
      </c>
      <c r="L19" s="315">
        <f t="shared" si="7"/>
        <v>483288.8760845369</v>
      </c>
      <c r="M19" s="128"/>
      <c r="N19" s="129"/>
      <c r="O19" s="126"/>
      <c r="Q19" s="130"/>
      <c r="T19" s="124"/>
    </row>
    <row r="20" spans="1:20" x14ac:dyDescent="0.25">
      <c r="A20" s="174">
        <f>Données!A20</f>
        <v>5415</v>
      </c>
      <c r="B20" s="325" t="str">
        <f>Données!B20</f>
        <v>Yvorne</v>
      </c>
      <c r="C20" s="174">
        <f>Données!AR20</f>
        <v>0</v>
      </c>
      <c r="D20" s="326">
        <f>Données!Z20</f>
        <v>1088</v>
      </c>
      <c r="E20" s="127">
        <f>Données!X20</f>
        <v>71.5</v>
      </c>
      <c r="F20" s="31">
        <f>VPI!L20</f>
        <v>2167302.31</v>
      </c>
      <c r="G20" s="8">
        <f t="shared" si="3"/>
        <v>60623.840839160839</v>
      </c>
      <c r="H20" s="26">
        <f t="shared" si="4"/>
        <v>97174.60868972489</v>
      </c>
      <c r="I20" s="8">
        <f t="shared" si="5"/>
        <v>60623.840839160839</v>
      </c>
      <c r="J20" s="8">
        <f>VPI!R20</f>
        <v>33675.515990675995</v>
      </c>
      <c r="K20" s="221">
        <f t="shared" si="6"/>
        <v>39748.817315807719</v>
      </c>
      <c r="L20" s="315">
        <f t="shared" si="7"/>
        <v>100372.65815496855</v>
      </c>
      <c r="M20" s="128"/>
      <c r="N20" s="129"/>
      <c r="O20" s="126"/>
      <c r="Q20" s="130"/>
      <c r="T20" s="124"/>
    </row>
    <row r="21" spans="1:20" x14ac:dyDescent="0.25">
      <c r="A21" s="174">
        <f>Données!A21</f>
        <v>5422</v>
      </c>
      <c r="B21" s="325" t="str">
        <f>Données!B21</f>
        <v>Aubonne</v>
      </c>
      <c r="C21" s="174">
        <f>Données!AR21</f>
        <v>0</v>
      </c>
      <c r="D21" s="326">
        <f>Données!Z21</f>
        <v>3792</v>
      </c>
      <c r="E21" s="127">
        <f>Données!X21</f>
        <v>70</v>
      </c>
      <c r="F21" s="31">
        <f>VPI!L21</f>
        <v>19850018.060000002</v>
      </c>
      <c r="G21" s="8">
        <f t="shared" si="3"/>
        <v>567143.37314285722</v>
      </c>
      <c r="H21" s="26">
        <f t="shared" si="4"/>
        <v>338682.0920509529</v>
      </c>
      <c r="I21" s="8">
        <f t="shared" si="5"/>
        <v>338682.0920509529</v>
      </c>
      <c r="J21" s="8">
        <f>VPI!R21</f>
        <v>297608.37742857152</v>
      </c>
      <c r="K21" s="221">
        <f t="shared" si="6"/>
        <v>351281.35911377246</v>
      </c>
      <c r="L21" s="315">
        <f t="shared" si="7"/>
        <v>689963.45116472535</v>
      </c>
      <c r="M21" s="128"/>
      <c r="N21" s="129"/>
      <c r="O21" s="126"/>
      <c r="Q21" s="130"/>
      <c r="T21" s="124"/>
    </row>
    <row r="22" spans="1:20" x14ac:dyDescent="0.25">
      <c r="A22" s="174">
        <f>Données!A22</f>
        <v>5423</v>
      </c>
      <c r="B22" s="325" t="str">
        <f>Données!B22</f>
        <v>Ballens</v>
      </c>
      <c r="C22" s="174">
        <f>Données!AR22</f>
        <v>0</v>
      </c>
      <c r="D22" s="326">
        <f>Données!Z22</f>
        <v>590</v>
      </c>
      <c r="E22" s="127">
        <f>Données!X22</f>
        <v>73</v>
      </c>
      <c r="F22" s="31">
        <f>VPI!L22</f>
        <v>1180256.5600000003</v>
      </c>
      <c r="G22" s="8">
        <f t="shared" si="3"/>
        <v>32335.79616438357</v>
      </c>
      <c r="H22" s="26">
        <f t="shared" si="4"/>
        <v>52695.78963872949</v>
      </c>
      <c r="I22" s="8">
        <f t="shared" si="5"/>
        <v>32335.79616438357</v>
      </c>
      <c r="J22" s="8">
        <f>VPI!R22</f>
        <v>17345.890547945211</v>
      </c>
      <c r="K22" s="221">
        <f t="shared" si="6"/>
        <v>20474.181739670192</v>
      </c>
      <c r="L22" s="315">
        <f t="shared" si="7"/>
        <v>52809.977904053761</v>
      </c>
      <c r="M22" s="128"/>
      <c r="N22" s="129"/>
      <c r="O22" s="126"/>
      <c r="Q22" s="130"/>
      <c r="T22" s="124"/>
    </row>
    <row r="23" spans="1:20" x14ac:dyDescent="0.25">
      <c r="A23" s="174">
        <f>Données!A23</f>
        <v>5424</v>
      </c>
      <c r="B23" s="325" t="str">
        <f>Données!B23</f>
        <v>Berolle</v>
      </c>
      <c r="C23" s="174">
        <f>Données!AR23</f>
        <v>0</v>
      </c>
      <c r="D23" s="326">
        <f>Données!Z23</f>
        <v>303</v>
      </c>
      <c r="E23" s="127">
        <f>Données!X23</f>
        <v>75.5</v>
      </c>
      <c r="F23" s="31">
        <f>VPI!L23</f>
        <v>720622.20000000007</v>
      </c>
      <c r="G23" s="8">
        <f t="shared" si="3"/>
        <v>19089.329801324504</v>
      </c>
      <c r="H23" s="26">
        <f t="shared" si="4"/>
        <v>27062.41400090684</v>
      </c>
      <c r="I23" s="8">
        <f t="shared" si="5"/>
        <v>19089.329801324504</v>
      </c>
      <c r="J23" s="8">
        <f>VPI!R23</f>
        <v>10263.254304635762</v>
      </c>
      <c r="K23" s="221">
        <f t="shared" si="6"/>
        <v>12114.208451433886</v>
      </c>
      <c r="L23" s="315">
        <f t="shared" si="7"/>
        <v>31203.53825275839</v>
      </c>
      <c r="M23" s="128"/>
      <c r="N23" s="129"/>
      <c r="O23" s="126"/>
      <c r="Q23" s="130"/>
      <c r="T23" s="124"/>
    </row>
    <row r="24" spans="1:20" s="125" customFormat="1" x14ac:dyDescent="0.25">
      <c r="A24" s="174">
        <f>Données!A24</f>
        <v>5425</v>
      </c>
      <c r="B24" s="325" t="str">
        <f>Données!B24</f>
        <v>Bière</v>
      </c>
      <c r="C24" s="174">
        <f>Données!AR24</f>
        <v>0</v>
      </c>
      <c r="D24" s="326">
        <f>Données!Z24</f>
        <v>1683</v>
      </c>
      <c r="E24" s="127">
        <f>Données!X24</f>
        <v>69</v>
      </c>
      <c r="F24" s="31">
        <f>VPI!L24</f>
        <v>2675602.8400000003</v>
      </c>
      <c r="G24" s="8">
        <f t="shared" si="3"/>
        <v>77553.705507246385</v>
      </c>
      <c r="H24" s="26">
        <f t="shared" si="4"/>
        <v>150316.97281691819</v>
      </c>
      <c r="I24" s="8">
        <f t="shared" si="5"/>
        <v>77553.705507246385</v>
      </c>
      <c r="J24" s="8">
        <f>VPI!R24</f>
        <v>42247.955252373817</v>
      </c>
      <c r="K24" s="221">
        <f t="shared" si="6"/>
        <v>49867.276146800206</v>
      </c>
      <c r="L24" s="315">
        <f t="shared" si="7"/>
        <v>127420.9816540466</v>
      </c>
      <c r="M24" s="128"/>
      <c r="N24" s="129"/>
      <c r="O24" s="126"/>
      <c r="P24" s="126"/>
      <c r="Q24" s="130"/>
    </row>
    <row r="25" spans="1:20" s="125" customFormat="1" x14ac:dyDescent="0.25">
      <c r="A25" s="174">
        <f>Données!A25</f>
        <v>5426</v>
      </c>
      <c r="B25" s="325" t="str">
        <f>Données!B25</f>
        <v>Bougy-Villars</v>
      </c>
      <c r="C25" s="174">
        <f>Données!AR25</f>
        <v>0</v>
      </c>
      <c r="D25" s="326">
        <f>Données!Z25</f>
        <v>506</v>
      </c>
      <c r="E25" s="127">
        <f>Données!X25</f>
        <v>64.5</v>
      </c>
      <c r="F25" s="31">
        <f>VPI!L25</f>
        <v>3717969.7699999991</v>
      </c>
      <c r="G25" s="8">
        <f t="shared" si="3"/>
        <v>115285.88434108524</v>
      </c>
      <c r="H25" s="26">
        <f t="shared" si="4"/>
        <v>45193.338232537491</v>
      </c>
      <c r="I25" s="8">
        <f t="shared" si="5"/>
        <v>45193.338232537491</v>
      </c>
      <c r="J25" s="8">
        <f>VPI!R25</f>
        <v>61945.082222222212</v>
      </c>
      <c r="K25" s="221">
        <f t="shared" si="6"/>
        <v>73116.734352208281</v>
      </c>
      <c r="L25" s="315">
        <f t="shared" si="7"/>
        <v>118310.07258474577</v>
      </c>
      <c r="M25" s="128"/>
      <c r="N25" s="129"/>
      <c r="O25" s="126"/>
      <c r="P25" s="126"/>
      <c r="Q25" s="130"/>
    </row>
    <row r="26" spans="1:20" s="125" customFormat="1" x14ac:dyDescent="0.25">
      <c r="A26" s="174">
        <f>Données!A26</f>
        <v>5427</v>
      </c>
      <c r="B26" s="325" t="str">
        <f>Données!B26</f>
        <v>Féchy</v>
      </c>
      <c r="C26" s="174">
        <f>Données!AR26</f>
        <v>0</v>
      </c>
      <c r="D26" s="326">
        <f>Données!Z26</f>
        <v>887</v>
      </c>
      <c r="E26" s="127">
        <f>Données!X26</f>
        <v>64</v>
      </c>
      <c r="F26" s="31">
        <f>VPI!L26</f>
        <v>5188105.629999999</v>
      </c>
      <c r="G26" s="8">
        <f t="shared" si="3"/>
        <v>162128.30093749997</v>
      </c>
      <c r="H26" s="26">
        <f t="shared" si="4"/>
        <v>79222.314253479752</v>
      </c>
      <c r="I26" s="8">
        <f t="shared" si="5"/>
        <v>79222.314253479752</v>
      </c>
      <c r="J26" s="8">
        <f>VPI!R26</f>
        <v>86922.106418269221</v>
      </c>
      <c r="K26" s="221">
        <f t="shared" si="6"/>
        <v>102598.30702168329</v>
      </c>
      <c r="L26" s="315">
        <f t="shared" si="7"/>
        <v>181820.62127516302</v>
      </c>
      <c r="M26" s="128"/>
      <c r="N26" s="129"/>
      <c r="O26" s="126"/>
      <c r="P26" s="126"/>
      <c r="Q26" s="130"/>
    </row>
    <row r="27" spans="1:20" s="125" customFormat="1" x14ac:dyDescent="0.25">
      <c r="A27" s="174">
        <f>Données!A27</f>
        <v>5428</v>
      </c>
      <c r="B27" s="325" t="str">
        <f>Données!B27</f>
        <v>Gimel</v>
      </c>
      <c r="C27" s="174">
        <f>Données!AR27</f>
        <v>0</v>
      </c>
      <c r="D27" s="326">
        <f>Données!Z27</f>
        <v>2414</v>
      </c>
      <c r="E27" s="127">
        <f>Données!X27</f>
        <v>74.5</v>
      </c>
      <c r="F27" s="31">
        <f>VPI!L27</f>
        <v>4865319.8299999991</v>
      </c>
      <c r="G27" s="8">
        <f t="shared" si="3"/>
        <v>130612.61288590601</v>
      </c>
      <c r="H27" s="26">
        <f t="shared" si="4"/>
        <v>215606.16303032709</v>
      </c>
      <c r="I27" s="8">
        <f t="shared" si="5"/>
        <v>130612.61288590601</v>
      </c>
      <c r="J27" s="8">
        <f>VPI!R27</f>
        <v>71357.587986577171</v>
      </c>
      <c r="K27" s="221">
        <f t="shared" si="6"/>
        <v>84226.763734235341</v>
      </c>
      <c r="L27" s="315">
        <f t="shared" si="7"/>
        <v>214839.37662014135</v>
      </c>
      <c r="M27" s="128"/>
      <c r="N27" s="129"/>
      <c r="O27" s="126"/>
      <c r="P27" s="126"/>
      <c r="Q27" s="130"/>
    </row>
    <row r="28" spans="1:20" s="125" customFormat="1" x14ac:dyDescent="0.25">
      <c r="A28" s="174">
        <f>Données!A28</f>
        <v>5429</v>
      </c>
      <c r="B28" s="325" t="str">
        <f>Données!B28</f>
        <v>Longirod</v>
      </c>
      <c r="C28" s="174">
        <f>Données!AR28</f>
        <v>0</v>
      </c>
      <c r="D28" s="326">
        <f>Données!Z28</f>
        <v>541</v>
      </c>
      <c r="E28" s="127">
        <f>Données!X28</f>
        <v>77.5</v>
      </c>
      <c r="F28" s="31">
        <f>VPI!L28</f>
        <v>1216042.9500000002</v>
      </c>
      <c r="G28" s="8">
        <f t="shared" si="3"/>
        <v>31381.753548387103</v>
      </c>
      <c r="H28" s="26">
        <f t="shared" si="4"/>
        <v>48319.359651784158</v>
      </c>
      <c r="I28" s="8">
        <f t="shared" si="5"/>
        <v>31381.753548387103</v>
      </c>
      <c r="J28" s="8">
        <f>VPI!R28</f>
        <v>17142.381290322584</v>
      </c>
      <c r="K28" s="221">
        <f t="shared" si="6"/>
        <v>20233.97005871014</v>
      </c>
      <c r="L28" s="315">
        <f t="shared" si="7"/>
        <v>51615.723607097243</v>
      </c>
      <c r="M28" s="128"/>
      <c r="N28" s="129"/>
      <c r="O28" s="126"/>
      <c r="P28" s="126"/>
      <c r="Q28" s="130"/>
    </row>
    <row r="29" spans="1:20" s="125" customFormat="1" x14ac:dyDescent="0.25">
      <c r="A29" s="174">
        <f>Données!A29</f>
        <v>5430</v>
      </c>
      <c r="B29" s="325" t="str">
        <f>Données!B29</f>
        <v>Marchissy</v>
      </c>
      <c r="C29" s="174">
        <f>Données!AR29</f>
        <v>0</v>
      </c>
      <c r="D29" s="326">
        <f>Données!Z29</f>
        <v>499</v>
      </c>
      <c r="E29" s="127">
        <f>Données!X29</f>
        <v>77.5</v>
      </c>
      <c r="F29" s="31">
        <f>VPI!L29</f>
        <v>1233280.9500000002</v>
      </c>
      <c r="G29" s="8">
        <f t="shared" si="3"/>
        <v>31826.605161290328</v>
      </c>
      <c r="H29" s="198">
        <f t="shared" si="4"/>
        <v>44568.133948688162</v>
      </c>
      <c r="I29" s="8">
        <f t="shared" si="5"/>
        <v>31826.605161290328</v>
      </c>
      <c r="J29" s="8">
        <f>VPI!R29</f>
        <v>17121.715483870968</v>
      </c>
      <c r="K29" s="221">
        <f t="shared" si="6"/>
        <v>20209.577221921638</v>
      </c>
      <c r="L29" s="315">
        <f t="shared" si="7"/>
        <v>52036.18238321197</v>
      </c>
      <c r="M29" s="128"/>
      <c r="N29" s="129"/>
      <c r="O29" s="126"/>
      <c r="P29" s="126"/>
      <c r="Q29" s="130"/>
    </row>
    <row r="30" spans="1:20" s="125" customFormat="1" x14ac:dyDescent="0.25">
      <c r="A30" s="174">
        <f>Données!A30</f>
        <v>5431</v>
      </c>
      <c r="B30" s="325" t="str">
        <f>Données!B30</f>
        <v>Mollens</v>
      </c>
      <c r="C30" s="174">
        <f>Données!AR30</f>
        <v>0</v>
      </c>
      <c r="D30" s="326">
        <f>Données!Z30</f>
        <v>324</v>
      </c>
      <c r="E30" s="127">
        <f>Données!X30</f>
        <v>74</v>
      </c>
      <c r="F30" s="31">
        <f>VPI!L30</f>
        <v>645875.77</v>
      </c>
      <c r="G30" s="8">
        <f t="shared" si="3"/>
        <v>17456.101891891893</v>
      </c>
      <c r="H30" s="26">
        <f t="shared" si="4"/>
        <v>28938.026852454837</v>
      </c>
      <c r="I30" s="8">
        <f t="shared" si="5"/>
        <v>17456.101891891893</v>
      </c>
      <c r="J30" s="8">
        <f>VPI!R30</f>
        <v>9475.049594594595</v>
      </c>
      <c r="K30" s="221">
        <f t="shared" si="6"/>
        <v>11183.852847215076</v>
      </c>
      <c r="L30" s="315">
        <f t="shared" si="7"/>
        <v>28639.954739106968</v>
      </c>
      <c r="M30" s="128"/>
      <c r="N30" s="129"/>
      <c r="O30" s="126"/>
      <c r="P30" s="126"/>
      <c r="Q30" s="130"/>
    </row>
    <row r="31" spans="1:20" s="125" customFormat="1" x14ac:dyDescent="0.25">
      <c r="A31" s="174">
        <f>Données!A31</f>
        <v>5434</v>
      </c>
      <c r="B31" s="325" t="str">
        <f>Données!B31</f>
        <v>Saint-George</v>
      </c>
      <c r="C31" s="174">
        <f>Données!AR31</f>
        <v>0</v>
      </c>
      <c r="D31" s="326">
        <f>Données!Z31</f>
        <v>1069</v>
      </c>
      <c r="E31" s="127">
        <f>Données!X31</f>
        <v>69.5</v>
      </c>
      <c r="F31" s="31">
        <f>VPI!L31</f>
        <v>2592573.94</v>
      </c>
      <c r="G31" s="8">
        <f t="shared" si="3"/>
        <v>74606.444316546767</v>
      </c>
      <c r="H31" s="26">
        <f t="shared" si="4"/>
        <v>95477.62563356242</v>
      </c>
      <c r="I31" s="8">
        <f t="shared" si="5"/>
        <v>74606.444316546767</v>
      </c>
      <c r="J31" s="8">
        <f>VPI!R31</f>
        <v>40910.448657074339</v>
      </c>
      <c r="K31" s="221">
        <f t="shared" si="6"/>
        <v>48288.553334357872</v>
      </c>
      <c r="L31" s="315">
        <f t="shared" si="7"/>
        <v>122894.99765090464</v>
      </c>
      <c r="M31" s="128"/>
      <c r="N31" s="129"/>
      <c r="O31" s="126"/>
      <c r="P31" s="126"/>
      <c r="Q31" s="130"/>
    </row>
    <row r="32" spans="1:20" s="125" customFormat="1" x14ac:dyDescent="0.25">
      <c r="A32" s="174">
        <f>Données!A32</f>
        <v>5435</v>
      </c>
      <c r="B32" s="325" t="str">
        <f>Données!B32</f>
        <v>Saint-Livres</v>
      </c>
      <c r="C32" s="174">
        <f>Données!AR32</f>
        <v>0</v>
      </c>
      <c r="D32" s="326">
        <f>Données!Z32</f>
        <v>697</v>
      </c>
      <c r="E32" s="127">
        <f>Données!X32</f>
        <v>69</v>
      </c>
      <c r="F32" s="31">
        <f>VPI!L32</f>
        <v>1622961.14</v>
      </c>
      <c r="G32" s="8">
        <f t="shared" si="3"/>
        <v>47042.351884057971</v>
      </c>
      <c r="H32" s="26">
        <f t="shared" si="4"/>
        <v>62252.483691855006</v>
      </c>
      <c r="I32" s="8">
        <f t="shared" si="5"/>
        <v>47042.351884057971</v>
      </c>
      <c r="J32" s="8">
        <f>VPI!R32</f>
        <v>25462.29188405797</v>
      </c>
      <c r="K32" s="221">
        <f t="shared" si="6"/>
        <v>30054.357261264257</v>
      </c>
      <c r="L32" s="315">
        <f t="shared" si="7"/>
        <v>77096.709145322224</v>
      </c>
      <c r="M32" s="128"/>
      <c r="N32" s="129"/>
      <c r="O32" s="126"/>
      <c r="P32" s="126"/>
      <c r="Q32" s="130"/>
    </row>
    <row r="33" spans="1:17" s="125" customFormat="1" x14ac:dyDescent="0.25">
      <c r="A33" s="174">
        <f>Données!A33</f>
        <v>5436</v>
      </c>
      <c r="B33" s="325" t="str">
        <f>Données!B33</f>
        <v>Saint-Oyens</v>
      </c>
      <c r="C33" s="174">
        <f>Données!AR33</f>
        <v>0</v>
      </c>
      <c r="D33" s="326">
        <f>Données!Z33</f>
        <v>456</v>
      </c>
      <c r="E33" s="127">
        <f>Données!X33</f>
        <v>79</v>
      </c>
      <c r="F33" s="31">
        <f>VPI!L33</f>
        <v>1205384.8699999999</v>
      </c>
      <c r="G33" s="8">
        <f t="shared" si="3"/>
        <v>30516.072658227844</v>
      </c>
      <c r="H33" s="26">
        <f t="shared" si="4"/>
        <v>40727.593347899405</v>
      </c>
      <c r="I33" s="8">
        <f t="shared" si="5"/>
        <v>30516.072658227844</v>
      </c>
      <c r="J33" s="8">
        <f>VPI!R33</f>
        <v>16425.371772151899</v>
      </c>
      <c r="K33" s="221">
        <f t="shared" si="6"/>
        <v>19387.649534345997</v>
      </c>
      <c r="L33" s="315">
        <f t="shared" si="7"/>
        <v>49903.722192573841</v>
      </c>
      <c r="M33" s="128"/>
      <c r="N33" s="129"/>
      <c r="O33" s="126"/>
      <c r="P33" s="126"/>
      <c r="Q33" s="130"/>
    </row>
    <row r="34" spans="1:17" s="125" customFormat="1" x14ac:dyDescent="0.25">
      <c r="A34" s="174">
        <f>Données!A34</f>
        <v>5437</v>
      </c>
      <c r="B34" s="325" t="str">
        <f>Données!B34</f>
        <v>Saubraz</v>
      </c>
      <c r="C34" s="174">
        <f>Données!AR34</f>
        <v>0</v>
      </c>
      <c r="D34" s="326">
        <f>Données!Z34</f>
        <v>449</v>
      </c>
      <c r="E34" s="127">
        <f>Données!X34</f>
        <v>80</v>
      </c>
      <c r="F34" s="31">
        <f>VPI!L34</f>
        <v>890536.73</v>
      </c>
      <c r="G34" s="8">
        <f t="shared" si="3"/>
        <v>22263.418249999999</v>
      </c>
      <c r="H34" s="26">
        <f t="shared" si="4"/>
        <v>40102.389064050069</v>
      </c>
      <c r="I34" s="8">
        <f t="shared" si="5"/>
        <v>22263.418249999999</v>
      </c>
      <c r="J34" s="8">
        <f>VPI!R34</f>
        <v>12127.91725</v>
      </c>
      <c r="K34" s="221">
        <f t="shared" si="6"/>
        <v>14315.159040917375</v>
      </c>
      <c r="L34" s="315">
        <f t="shared" si="7"/>
        <v>36578.577290917376</v>
      </c>
      <c r="M34" s="128"/>
      <c r="N34" s="129"/>
      <c r="O34" s="126"/>
      <c r="P34" s="126"/>
      <c r="Q34" s="130"/>
    </row>
    <row r="35" spans="1:17" s="125" customFormat="1" x14ac:dyDescent="0.25">
      <c r="A35" s="174">
        <f>Données!A35</f>
        <v>5451</v>
      </c>
      <c r="B35" s="325" t="str">
        <f>Données!B35</f>
        <v>Avenches</v>
      </c>
      <c r="C35" s="174">
        <f>Données!AR35</f>
        <v>0</v>
      </c>
      <c r="D35" s="326">
        <f>Données!Z35</f>
        <v>4696</v>
      </c>
      <c r="E35" s="127">
        <f>Données!X35</f>
        <v>66.5</v>
      </c>
      <c r="F35" s="31">
        <f>VPI!L35</f>
        <v>8355754.4299999978</v>
      </c>
      <c r="G35" s="8">
        <f t="shared" si="3"/>
        <v>251300.88511278189</v>
      </c>
      <c r="H35" s="26">
        <f t="shared" si="4"/>
        <v>419422.75956520962</v>
      </c>
      <c r="I35" s="8">
        <f t="shared" si="5"/>
        <v>251300.88511278189</v>
      </c>
      <c r="J35" s="8">
        <f>VPI!R35</f>
        <v>142633.11649122802</v>
      </c>
      <c r="K35" s="221">
        <f t="shared" si="6"/>
        <v>168356.66874900748</v>
      </c>
      <c r="L35" s="315">
        <f t="shared" si="7"/>
        <v>419657.55386178941</v>
      </c>
      <c r="M35" s="128"/>
      <c r="N35" s="129"/>
      <c r="O35" s="126"/>
      <c r="P35" s="126"/>
      <c r="Q35" s="130"/>
    </row>
    <row r="36" spans="1:17" s="125" customFormat="1" x14ac:dyDescent="0.25">
      <c r="A36" s="174">
        <f>Données!A36</f>
        <v>5456</v>
      </c>
      <c r="B36" s="325" t="str">
        <f>Données!B36</f>
        <v>Cudrefin</v>
      </c>
      <c r="C36" s="174">
        <f>Données!AR36</f>
        <v>0</v>
      </c>
      <c r="D36" s="326">
        <f>Données!Z36</f>
        <v>1876</v>
      </c>
      <c r="E36" s="127">
        <f>Données!X36</f>
        <v>59</v>
      </c>
      <c r="F36" s="31">
        <f>VPI!L36</f>
        <v>3400131.32</v>
      </c>
      <c r="G36" s="8">
        <f t="shared" si="3"/>
        <v>115258.68881355932</v>
      </c>
      <c r="H36" s="26">
        <f t="shared" si="4"/>
        <v>167554.74807162123</v>
      </c>
      <c r="I36" s="8">
        <f t="shared" si="5"/>
        <v>115258.68881355932</v>
      </c>
      <c r="J36" s="8">
        <f>VPI!R36</f>
        <v>64060.385932203382</v>
      </c>
      <c r="K36" s="221">
        <f t="shared" si="6"/>
        <v>75613.528187788179</v>
      </c>
      <c r="L36" s="315">
        <f t="shared" si="7"/>
        <v>190872.21700134751</v>
      </c>
      <c r="M36" s="128"/>
      <c r="N36" s="129"/>
      <c r="O36" s="126"/>
      <c r="P36" s="126"/>
      <c r="Q36" s="130"/>
    </row>
    <row r="37" spans="1:17" s="125" customFormat="1" x14ac:dyDescent="0.25">
      <c r="A37" s="174">
        <f>Données!A37</f>
        <v>5458</v>
      </c>
      <c r="B37" s="325" t="str">
        <f>Données!B37</f>
        <v>Faoug</v>
      </c>
      <c r="C37" s="174">
        <f>Données!AR37</f>
        <v>0</v>
      </c>
      <c r="D37" s="326">
        <f>Données!Z37</f>
        <v>903</v>
      </c>
      <c r="E37" s="127">
        <f>Données!X37</f>
        <v>65</v>
      </c>
      <c r="F37" s="31">
        <f>VPI!L37</f>
        <v>1914548.15</v>
      </c>
      <c r="G37" s="8">
        <f t="shared" si="3"/>
        <v>58909.173846153841</v>
      </c>
      <c r="H37" s="26">
        <f t="shared" si="4"/>
        <v>80651.352616563949</v>
      </c>
      <c r="I37" s="8">
        <f t="shared" si="5"/>
        <v>58909.173846153841</v>
      </c>
      <c r="J37" s="8">
        <f>VPI!R37</f>
        <v>32630.920512820507</v>
      </c>
      <c r="K37" s="221">
        <f t="shared" si="6"/>
        <v>38515.831462533992</v>
      </c>
      <c r="L37" s="315">
        <f t="shared" si="7"/>
        <v>97425.005308687832</v>
      </c>
      <c r="M37" s="128"/>
      <c r="N37" s="129"/>
      <c r="O37" s="126"/>
      <c r="P37" s="126"/>
      <c r="Q37" s="130"/>
    </row>
    <row r="38" spans="1:17" s="125" customFormat="1" x14ac:dyDescent="0.25">
      <c r="A38" s="174">
        <f>Données!A38</f>
        <v>5464</v>
      </c>
      <c r="B38" s="325" t="str">
        <f>Données!B38</f>
        <v>Vully-les-Lacs</v>
      </c>
      <c r="C38" s="174">
        <f>Données!AR38</f>
        <v>0</v>
      </c>
      <c r="D38" s="326">
        <f>Données!Z38</f>
        <v>3540</v>
      </c>
      <c r="E38" s="127">
        <f>Données!X38</f>
        <v>67</v>
      </c>
      <c r="F38" s="31">
        <f>VPI!L38</f>
        <v>7144846.4700000007</v>
      </c>
      <c r="G38" s="8">
        <f t="shared" si="3"/>
        <v>213278.99910447764</v>
      </c>
      <c r="H38" s="26">
        <f t="shared" si="4"/>
        <v>316174.73783237691</v>
      </c>
      <c r="I38" s="8">
        <f t="shared" si="5"/>
        <v>213278.99910447764</v>
      </c>
      <c r="J38" s="8">
        <f>VPI!R38</f>
        <v>117933.44731343284</v>
      </c>
      <c r="K38" s="221">
        <f t="shared" si="6"/>
        <v>139202.47143304354</v>
      </c>
      <c r="L38" s="315">
        <f t="shared" si="7"/>
        <v>352481.47053752118</v>
      </c>
      <c r="M38" s="128"/>
      <c r="N38" s="129"/>
      <c r="O38" s="126"/>
      <c r="P38" s="126"/>
      <c r="Q38" s="130"/>
    </row>
    <row r="39" spans="1:17" s="125" customFormat="1" x14ac:dyDescent="0.25">
      <c r="A39" s="174">
        <f>Données!A39</f>
        <v>5471</v>
      </c>
      <c r="B39" s="325" t="str">
        <f>Données!B39</f>
        <v>Bettens</v>
      </c>
      <c r="C39" s="174">
        <f>Données!AR39</f>
        <v>0</v>
      </c>
      <c r="D39" s="326">
        <f>Données!Z39</f>
        <v>650</v>
      </c>
      <c r="E39" s="127">
        <f>Données!X39</f>
        <v>70</v>
      </c>
      <c r="F39" s="31">
        <f>VPI!L39</f>
        <v>1447047.48</v>
      </c>
      <c r="G39" s="8">
        <f t="shared" si="3"/>
        <v>41344.213714285717</v>
      </c>
      <c r="H39" s="26">
        <f t="shared" si="4"/>
        <v>58054.683500295199</v>
      </c>
      <c r="I39" s="8">
        <f t="shared" si="5"/>
        <v>41344.213714285717</v>
      </c>
      <c r="J39" s="8">
        <f>VPI!R39</f>
        <v>22692.287412698413</v>
      </c>
      <c r="K39" s="221">
        <f t="shared" si="6"/>
        <v>26784.788898109051</v>
      </c>
      <c r="L39" s="315">
        <f t="shared" si="7"/>
        <v>68129.002612394775</v>
      </c>
      <c r="M39" s="128"/>
      <c r="N39" s="129"/>
      <c r="O39" s="126"/>
      <c r="P39" s="126"/>
      <c r="Q39" s="130"/>
    </row>
    <row r="40" spans="1:17" s="125" customFormat="1" x14ac:dyDescent="0.25">
      <c r="A40" s="174">
        <f>Données!A40</f>
        <v>5472</v>
      </c>
      <c r="B40" s="325" t="str">
        <f>Données!B40</f>
        <v>Bournens</v>
      </c>
      <c r="C40" s="174">
        <f>Données!AR40</f>
        <v>0</v>
      </c>
      <c r="D40" s="326">
        <f>Données!Z40</f>
        <v>514</v>
      </c>
      <c r="E40" s="127">
        <f>Données!X40</f>
        <v>68</v>
      </c>
      <c r="F40" s="31">
        <f>VPI!L40</f>
        <v>1241860.04</v>
      </c>
      <c r="G40" s="8">
        <f t="shared" si="3"/>
        <v>36525.295294117648</v>
      </c>
      <c r="H40" s="26">
        <f t="shared" si="4"/>
        <v>45907.85741407959</v>
      </c>
      <c r="I40" s="8">
        <f t="shared" si="5"/>
        <v>36525.295294117648</v>
      </c>
      <c r="J40" s="8">
        <f>VPI!R40</f>
        <v>19974.836617647059</v>
      </c>
      <c r="K40" s="221">
        <f t="shared" si="6"/>
        <v>23577.252145083505</v>
      </c>
      <c r="L40" s="315">
        <f t="shared" si="7"/>
        <v>60102.547439201153</v>
      </c>
      <c r="M40" s="128"/>
      <c r="N40" s="129"/>
      <c r="O40" s="126"/>
      <c r="P40" s="126"/>
      <c r="Q40" s="130"/>
    </row>
    <row r="41" spans="1:17" s="125" customFormat="1" x14ac:dyDescent="0.25">
      <c r="A41" s="174">
        <f>Données!A41</f>
        <v>5473</v>
      </c>
      <c r="B41" s="325" t="str">
        <f>Données!B41</f>
        <v>Boussens</v>
      </c>
      <c r="C41" s="174">
        <f>Données!AR41</f>
        <v>0</v>
      </c>
      <c r="D41" s="326">
        <f>Données!Z41</f>
        <v>1009</v>
      </c>
      <c r="E41" s="127">
        <f>Données!X41</f>
        <v>66</v>
      </c>
      <c r="F41" s="31">
        <f>VPI!L41</f>
        <v>2440355.86</v>
      </c>
      <c r="G41" s="8">
        <f t="shared" si="3"/>
        <v>73950.177575757567</v>
      </c>
      <c r="H41" s="26">
        <f t="shared" si="4"/>
        <v>90118.731771996696</v>
      </c>
      <c r="I41" s="8">
        <f t="shared" si="5"/>
        <v>73950.177575757567</v>
      </c>
      <c r="J41" s="8">
        <f>VPI!R41</f>
        <v>40043.184999999998</v>
      </c>
      <c r="K41" s="221">
        <f t="shared" si="6"/>
        <v>47264.88068508853</v>
      </c>
      <c r="L41" s="315">
        <f t="shared" si="7"/>
        <v>121215.0582608461</v>
      </c>
      <c r="M41" s="128"/>
      <c r="N41" s="129"/>
      <c r="O41" s="126"/>
      <c r="P41" s="126"/>
      <c r="Q41" s="130"/>
    </row>
    <row r="42" spans="1:17" s="125" customFormat="1" x14ac:dyDescent="0.25">
      <c r="A42" s="174">
        <f>Données!A42</f>
        <v>5474</v>
      </c>
      <c r="B42" s="325" t="str">
        <f>Données!B42</f>
        <v>La Chaux (Cossonay)</v>
      </c>
      <c r="C42" s="174">
        <f>Données!AR42</f>
        <v>0</v>
      </c>
      <c r="D42" s="326">
        <f>Données!Z42</f>
        <v>412</v>
      </c>
      <c r="E42" s="127">
        <f>Données!X42</f>
        <v>76</v>
      </c>
      <c r="F42" s="31">
        <f>VPI!L42</f>
        <v>978949.78999999992</v>
      </c>
      <c r="G42" s="8">
        <f t="shared" si="3"/>
        <v>25761.836578947365</v>
      </c>
      <c r="H42" s="26">
        <f t="shared" si="4"/>
        <v>36797.737849417877</v>
      </c>
      <c r="I42" s="8">
        <f t="shared" si="5"/>
        <v>25761.836578947365</v>
      </c>
      <c r="J42" s="8">
        <f>VPI!R42</f>
        <v>13862.516425438596</v>
      </c>
      <c r="K42" s="221">
        <f t="shared" si="6"/>
        <v>16362.589160763191</v>
      </c>
      <c r="L42" s="315">
        <f t="shared" si="7"/>
        <v>42124.425739710554</v>
      </c>
      <c r="M42" s="128"/>
      <c r="N42" s="129"/>
      <c r="O42" s="126"/>
      <c r="P42" s="126"/>
      <c r="Q42" s="130"/>
    </row>
    <row r="43" spans="1:17" s="125" customFormat="1" x14ac:dyDescent="0.25">
      <c r="A43" s="174">
        <f>Données!A43</f>
        <v>5475</v>
      </c>
      <c r="B43" s="325" t="str">
        <f>Données!B43</f>
        <v>Chavannes-le-Veyron</v>
      </c>
      <c r="C43" s="174">
        <f>Données!AR43</f>
        <v>0</v>
      </c>
      <c r="D43" s="326">
        <f>Données!Z43</f>
        <v>163</v>
      </c>
      <c r="E43" s="127">
        <f>Données!X43</f>
        <v>75</v>
      </c>
      <c r="F43" s="31">
        <f>VPI!L43</f>
        <v>296665.06000000006</v>
      </c>
      <c r="G43" s="8">
        <f t="shared" si="3"/>
        <v>7911.068266666668</v>
      </c>
      <c r="H43" s="26">
        <f t="shared" si="4"/>
        <v>14558.328323920181</v>
      </c>
      <c r="I43" s="8">
        <f t="shared" si="5"/>
        <v>7911.068266666668</v>
      </c>
      <c r="J43" s="8">
        <f>VPI!R43</f>
        <v>4297.2048000000004</v>
      </c>
      <c r="K43" s="221">
        <f t="shared" si="6"/>
        <v>5072.1957344649218</v>
      </c>
      <c r="L43" s="315">
        <f t="shared" si="7"/>
        <v>12983.264001131589</v>
      </c>
      <c r="M43" s="128"/>
      <c r="N43" s="129"/>
      <c r="O43" s="126"/>
      <c r="P43" s="126"/>
      <c r="Q43" s="130"/>
    </row>
    <row r="44" spans="1:17" s="125" customFormat="1" x14ac:dyDescent="0.25">
      <c r="A44" s="174">
        <f>Données!A44</f>
        <v>5476</v>
      </c>
      <c r="B44" s="325" t="str">
        <f>Données!B44</f>
        <v>Chevilly</v>
      </c>
      <c r="C44" s="174">
        <f>Données!AR44</f>
        <v>0</v>
      </c>
      <c r="D44" s="326">
        <f>Données!Z44</f>
        <v>331</v>
      </c>
      <c r="E44" s="127">
        <f>Données!X44</f>
        <v>72.5</v>
      </c>
      <c r="F44" s="31">
        <f>VPI!L44</f>
        <v>920750.04</v>
      </c>
      <c r="G44" s="8">
        <f t="shared" si="3"/>
        <v>25400.001103448278</v>
      </c>
      <c r="H44" s="26">
        <f t="shared" si="4"/>
        <v>29563.23113630417</v>
      </c>
      <c r="I44" s="8">
        <f t="shared" si="5"/>
        <v>25400.001103448278</v>
      </c>
      <c r="J44" s="8">
        <f>VPI!R44</f>
        <v>13558.452965517243</v>
      </c>
      <c r="K44" s="221">
        <f t="shared" si="6"/>
        <v>16003.688559977365</v>
      </c>
      <c r="L44" s="315">
        <f t="shared" si="7"/>
        <v>41403.689663425641</v>
      </c>
      <c r="M44" s="128"/>
      <c r="N44" s="129"/>
      <c r="O44" s="126"/>
      <c r="P44" s="126"/>
      <c r="Q44" s="130"/>
    </row>
    <row r="45" spans="1:17" s="125" customFormat="1" x14ac:dyDescent="0.25">
      <c r="A45" s="174">
        <f>Données!A45</f>
        <v>5477</v>
      </c>
      <c r="B45" s="325" t="str">
        <f>Données!B45</f>
        <v>Cossonay</v>
      </c>
      <c r="C45" s="174">
        <f>Données!AR45</f>
        <v>0</v>
      </c>
      <c r="D45" s="326">
        <f>Données!Z45</f>
        <v>4389</v>
      </c>
      <c r="E45" s="127">
        <f>Données!X45</f>
        <v>68</v>
      </c>
      <c r="F45" s="31">
        <f>VPI!L45</f>
        <v>9498166.1599999983</v>
      </c>
      <c r="G45" s="8">
        <f t="shared" si="3"/>
        <v>279357.82823529409</v>
      </c>
      <c r="H45" s="26">
        <f t="shared" si="4"/>
        <v>392003.08597353176</v>
      </c>
      <c r="I45" s="8">
        <f t="shared" si="5"/>
        <v>279357.82823529409</v>
      </c>
      <c r="J45" s="8">
        <f>VPI!R45</f>
        <v>151490.5288235294</v>
      </c>
      <c r="K45" s="221">
        <f t="shared" si="6"/>
        <v>178811.49488396297</v>
      </c>
      <c r="L45" s="315">
        <f t="shared" si="7"/>
        <v>458169.32311925705</v>
      </c>
      <c r="M45" s="128"/>
      <c r="N45" s="129"/>
      <c r="O45" s="126"/>
      <c r="P45" s="126"/>
      <c r="Q45" s="130"/>
    </row>
    <row r="46" spans="1:17" s="125" customFormat="1" x14ac:dyDescent="0.25">
      <c r="A46" s="174">
        <f>Données!A46</f>
        <v>5479</v>
      </c>
      <c r="B46" s="325" t="str">
        <f>Données!B46</f>
        <v>Cuarnens</v>
      </c>
      <c r="C46" s="174">
        <f>Données!AR46</f>
        <v>0</v>
      </c>
      <c r="D46" s="326">
        <f>Données!Z46</f>
        <v>545</v>
      </c>
      <c r="E46" s="127">
        <f>Données!X46</f>
        <v>77</v>
      </c>
      <c r="F46" s="31">
        <f>VPI!L46</f>
        <v>1005507.51</v>
      </c>
      <c r="G46" s="8">
        <f t="shared" si="3"/>
        <v>26117.078181818182</v>
      </c>
      <c r="H46" s="26">
        <f t="shared" si="4"/>
        <v>48676.619242555207</v>
      </c>
      <c r="I46" s="8">
        <f t="shared" si="5"/>
        <v>26117.078181818182</v>
      </c>
      <c r="J46" s="8">
        <f>VPI!R46</f>
        <v>14331.337792207793</v>
      </c>
      <c r="K46" s="221">
        <f t="shared" si="6"/>
        <v>16915.961375360162</v>
      </c>
      <c r="L46" s="315">
        <f t="shared" si="7"/>
        <v>43033.039557178345</v>
      </c>
      <c r="M46" s="128"/>
      <c r="N46" s="129"/>
      <c r="O46" s="126"/>
      <c r="P46" s="126"/>
      <c r="Q46" s="130"/>
    </row>
    <row r="47" spans="1:17" s="125" customFormat="1" x14ac:dyDescent="0.25">
      <c r="A47" s="174">
        <f>Données!A47</f>
        <v>5480</v>
      </c>
      <c r="B47" s="325" t="str">
        <f>Données!B47</f>
        <v>Daillens</v>
      </c>
      <c r="C47" s="174">
        <f>Données!AR47</f>
        <v>0</v>
      </c>
      <c r="D47" s="326">
        <f>Données!Z47</f>
        <v>1057</v>
      </c>
      <c r="E47" s="127">
        <f>Données!X47</f>
        <v>66</v>
      </c>
      <c r="F47" s="31">
        <f>VPI!L47</f>
        <v>2475024.7399999998</v>
      </c>
      <c r="G47" s="8">
        <f t="shared" si="3"/>
        <v>75000.749696969695</v>
      </c>
      <c r="H47" s="26">
        <f t="shared" si="4"/>
        <v>94405.846861249272</v>
      </c>
      <c r="I47" s="8">
        <f t="shared" si="5"/>
        <v>75000.749696969695</v>
      </c>
      <c r="J47" s="8">
        <f>VPI!R47</f>
        <v>42720.265505050505</v>
      </c>
      <c r="K47" s="221">
        <f t="shared" si="6"/>
        <v>50424.766459798724</v>
      </c>
      <c r="L47" s="315">
        <f t="shared" si="7"/>
        <v>125425.51615676843</v>
      </c>
      <c r="M47" s="128"/>
      <c r="N47" s="129"/>
      <c r="O47" s="126"/>
      <c r="P47" s="126"/>
      <c r="Q47" s="130"/>
    </row>
    <row r="48" spans="1:17" s="125" customFormat="1" x14ac:dyDescent="0.25">
      <c r="A48" s="174">
        <f>Données!A48</f>
        <v>5481</v>
      </c>
      <c r="B48" s="325" t="str">
        <f>Données!B48</f>
        <v>Dizy</v>
      </c>
      <c r="C48" s="174">
        <f>Données!AR48</f>
        <v>0</v>
      </c>
      <c r="D48" s="326">
        <f>Données!Z48</f>
        <v>232</v>
      </c>
      <c r="E48" s="127">
        <f>Données!X48</f>
        <v>75</v>
      </c>
      <c r="F48" s="31">
        <f>VPI!L48</f>
        <v>602287.52</v>
      </c>
      <c r="G48" s="8">
        <f t="shared" si="3"/>
        <v>16061.000533333334</v>
      </c>
      <c r="H48" s="26">
        <f t="shared" si="4"/>
        <v>20721.056264720748</v>
      </c>
      <c r="I48" s="8">
        <f t="shared" si="5"/>
        <v>16061.000533333334</v>
      </c>
      <c r="J48" s="8">
        <f>VPI!R48</f>
        <v>8552.7156000000014</v>
      </c>
      <c r="K48" s="221">
        <f t="shared" si="6"/>
        <v>10095.178052582367</v>
      </c>
      <c r="L48" s="315">
        <f t="shared" si="7"/>
        <v>26156.178585915703</v>
      </c>
      <c r="M48" s="128"/>
      <c r="N48" s="129"/>
      <c r="O48" s="126"/>
      <c r="P48" s="126"/>
      <c r="Q48" s="130"/>
    </row>
    <row r="49" spans="1:17" s="125" customFormat="1" x14ac:dyDescent="0.25">
      <c r="A49" s="174">
        <f>Données!A49</f>
        <v>5482</v>
      </c>
      <c r="B49" s="325" t="str">
        <f>Données!B49</f>
        <v>Eclépens</v>
      </c>
      <c r="C49" s="174">
        <f>Données!AR49</f>
        <v>0</v>
      </c>
      <c r="D49" s="326">
        <f>Données!Z49</f>
        <v>1199</v>
      </c>
      <c r="E49" s="127">
        <f>Données!X49</f>
        <v>46</v>
      </c>
      <c r="F49" s="31">
        <f>VPI!L49</f>
        <v>1759693.6300000001</v>
      </c>
      <c r="G49" s="8">
        <f t="shared" si="3"/>
        <v>76508.418695652173</v>
      </c>
      <c r="H49" s="26">
        <f t="shared" si="4"/>
        <v>107088.56233362145</v>
      </c>
      <c r="I49" s="8">
        <f t="shared" si="5"/>
        <v>76508.418695652173</v>
      </c>
      <c r="J49" s="8">
        <f>VPI!R49</f>
        <v>48314.544130434791</v>
      </c>
      <c r="K49" s="221">
        <f t="shared" si="6"/>
        <v>57027.960280368432</v>
      </c>
      <c r="L49" s="315">
        <f t="shared" si="7"/>
        <v>133536.37897602061</v>
      </c>
      <c r="M49" s="128"/>
      <c r="N49" s="129"/>
      <c r="O49" s="126"/>
      <c r="P49" s="126"/>
      <c r="Q49" s="130"/>
    </row>
    <row r="50" spans="1:17" s="125" customFormat="1" x14ac:dyDescent="0.25">
      <c r="A50" s="174">
        <f>Données!A50</f>
        <v>5483</v>
      </c>
      <c r="B50" s="325" t="str">
        <f>Données!B50</f>
        <v>Ferreyres</v>
      </c>
      <c r="C50" s="174">
        <f>Données!AR50</f>
        <v>0</v>
      </c>
      <c r="D50" s="326">
        <f>Données!Z50</f>
        <v>308</v>
      </c>
      <c r="E50" s="127">
        <f>Données!X50</f>
        <v>76</v>
      </c>
      <c r="F50" s="31">
        <f>VPI!L50</f>
        <v>721369.63</v>
      </c>
      <c r="G50" s="8">
        <f t="shared" si="3"/>
        <v>18983.411315789475</v>
      </c>
      <c r="H50" s="26">
        <f t="shared" si="4"/>
        <v>27508.988489370648</v>
      </c>
      <c r="I50" s="8">
        <f t="shared" si="5"/>
        <v>18983.411315789475</v>
      </c>
      <c r="J50" s="8">
        <f>VPI!R50</f>
        <v>10284.283289473684</v>
      </c>
      <c r="K50" s="221">
        <f t="shared" si="6"/>
        <v>12139.029964989635</v>
      </c>
      <c r="L50" s="315">
        <f t="shared" si="7"/>
        <v>31122.441280779109</v>
      </c>
      <c r="M50" s="128"/>
      <c r="N50" s="129"/>
      <c r="O50" s="126"/>
      <c r="P50" s="126"/>
      <c r="Q50" s="130"/>
    </row>
    <row r="51" spans="1:17" s="125" customFormat="1" x14ac:dyDescent="0.25">
      <c r="A51" s="174">
        <f>Données!A51</f>
        <v>5484</v>
      </c>
      <c r="B51" s="325" t="str">
        <f>Données!B51</f>
        <v>Gollion</v>
      </c>
      <c r="C51" s="174">
        <f>Données!AR51</f>
        <v>0</v>
      </c>
      <c r="D51" s="326">
        <f>Données!Z51</f>
        <v>1033</v>
      </c>
      <c r="E51" s="127">
        <f>Données!X51</f>
        <v>74</v>
      </c>
      <c r="F51" s="31">
        <f>VPI!L51</f>
        <v>2209434.7000000002</v>
      </c>
      <c r="G51" s="8">
        <f t="shared" si="3"/>
        <v>59714.451351351359</v>
      </c>
      <c r="H51" s="26">
        <f t="shared" si="4"/>
        <v>92262.289316622991</v>
      </c>
      <c r="I51" s="8">
        <f t="shared" si="5"/>
        <v>59714.451351351359</v>
      </c>
      <c r="J51" s="8">
        <f>VPI!R51</f>
        <v>32601.670945945945</v>
      </c>
      <c r="K51" s="221">
        <f t="shared" si="6"/>
        <v>38481.306804008032</v>
      </c>
      <c r="L51" s="315">
        <f t="shared" si="7"/>
        <v>98195.758155359392</v>
      </c>
      <c r="M51" s="128"/>
      <c r="N51" s="129"/>
      <c r="O51" s="126"/>
      <c r="P51" s="126"/>
      <c r="Q51" s="130"/>
    </row>
    <row r="52" spans="1:17" s="125" customFormat="1" x14ac:dyDescent="0.25">
      <c r="A52" s="174">
        <f>Données!A52</f>
        <v>5485</v>
      </c>
      <c r="B52" s="325" t="str">
        <f>Données!B52</f>
        <v>Grancy</v>
      </c>
      <c r="C52" s="174">
        <f>Données!AR52</f>
        <v>0</v>
      </c>
      <c r="D52" s="326">
        <f>Données!Z52</f>
        <v>489</v>
      </c>
      <c r="E52" s="127">
        <f>Données!X52</f>
        <v>70</v>
      </c>
      <c r="F52" s="31">
        <f>VPI!L52</f>
        <v>1235952.73</v>
      </c>
      <c r="G52" s="8">
        <f t="shared" si="3"/>
        <v>35312.935142857139</v>
      </c>
      <c r="H52" s="26">
        <f t="shared" si="4"/>
        <v>43674.984971760539</v>
      </c>
      <c r="I52" s="8">
        <f t="shared" si="5"/>
        <v>35312.935142857139</v>
      </c>
      <c r="J52" s="8">
        <f>VPI!R52</f>
        <v>18961.380428571429</v>
      </c>
      <c r="K52" s="221">
        <f t="shared" si="6"/>
        <v>22381.021479210543</v>
      </c>
      <c r="L52" s="315">
        <f t="shared" si="7"/>
        <v>57693.956622067679</v>
      </c>
      <c r="M52" s="128"/>
      <c r="N52" s="129"/>
      <c r="O52" s="126"/>
      <c r="P52" s="126"/>
      <c r="Q52" s="130"/>
    </row>
    <row r="53" spans="1:17" s="125" customFormat="1" x14ac:dyDescent="0.25">
      <c r="A53" s="174">
        <f>Données!A53</f>
        <v>5486</v>
      </c>
      <c r="B53" s="325" t="str">
        <f>Données!B53</f>
        <v>L'Isle</v>
      </c>
      <c r="C53" s="174">
        <f>Données!AR53</f>
        <v>0</v>
      </c>
      <c r="D53" s="326">
        <f>Données!Z53</f>
        <v>1095</v>
      </c>
      <c r="E53" s="127">
        <f>Données!X53</f>
        <v>75</v>
      </c>
      <c r="F53" s="31">
        <f>VPI!L53</f>
        <v>2391361.8600000003</v>
      </c>
      <c r="G53" s="8">
        <f t="shared" si="3"/>
        <v>63769.649600000012</v>
      </c>
      <c r="H53" s="26">
        <f t="shared" si="4"/>
        <v>97799.812973574226</v>
      </c>
      <c r="I53" s="8">
        <f t="shared" si="5"/>
        <v>63769.649600000012</v>
      </c>
      <c r="J53" s="8">
        <f>VPI!R53</f>
        <v>34756.215466666676</v>
      </c>
      <c r="K53" s="221">
        <f t="shared" si="6"/>
        <v>41024.418439672794</v>
      </c>
      <c r="L53" s="315">
        <f t="shared" si="7"/>
        <v>104794.0680396728</v>
      </c>
      <c r="M53" s="128"/>
      <c r="N53" s="129"/>
      <c r="O53" s="126"/>
      <c r="P53" s="126"/>
      <c r="Q53" s="130"/>
    </row>
    <row r="54" spans="1:17" s="125" customFormat="1" x14ac:dyDescent="0.25">
      <c r="A54" s="174">
        <f>Données!A54</f>
        <v>5487</v>
      </c>
      <c r="B54" s="325" t="str">
        <f>Données!B54</f>
        <v>Lussery-Villars</v>
      </c>
      <c r="C54" s="174">
        <f>Données!AR54</f>
        <v>0</v>
      </c>
      <c r="D54" s="326">
        <f>Données!Z54</f>
        <v>482</v>
      </c>
      <c r="E54" s="127">
        <f>Données!X54</f>
        <v>75</v>
      </c>
      <c r="F54" s="31">
        <f>VPI!L54</f>
        <v>819547.89</v>
      </c>
      <c r="G54" s="8">
        <f t="shared" si="3"/>
        <v>21854.610400000001</v>
      </c>
      <c r="H54" s="26">
        <f t="shared" si="4"/>
        <v>43049.78068791121</v>
      </c>
      <c r="I54" s="8">
        <f t="shared" si="5"/>
        <v>21854.610400000001</v>
      </c>
      <c r="J54" s="8">
        <f>VPI!R54</f>
        <v>12042.619866666666</v>
      </c>
      <c r="K54" s="221">
        <f t="shared" si="6"/>
        <v>14214.478472026556</v>
      </c>
      <c r="L54" s="315">
        <f t="shared" si="7"/>
        <v>36069.088872026558</v>
      </c>
      <c r="M54" s="128"/>
      <c r="N54" s="129"/>
      <c r="O54" s="126"/>
      <c r="P54" s="126"/>
      <c r="Q54" s="130"/>
    </row>
    <row r="55" spans="1:17" s="125" customFormat="1" x14ac:dyDescent="0.25">
      <c r="A55" s="174">
        <f>Données!A55</f>
        <v>5488</v>
      </c>
      <c r="B55" s="325" t="str">
        <f>Données!B55</f>
        <v>Mauraz</v>
      </c>
      <c r="C55" s="174">
        <f>Données!AR55</f>
        <v>0</v>
      </c>
      <c r="D55" s="326">
        <f>Données!Z55</f>
        <v>65</v>
      </c>
      <c r="E55" s="127">
        <f>Données!X55</f>
        <v>77</v>
      </c>
      <c r="F55" s="31">
        <f>VPI!L55</f>
        <v>155146.68000000002</v>
      </c>
      <c r="G55" s="8">
        <f t="shared" si="3"/>
        <v>4029.7838961038965</v>
      </c>
      <c r="H55" s="26">
        <f t="shared" si="4"/>
        <v>5805.4683500295196</v>
      </c>
      <c r="I55" s="8">
        <f t="shared" si="5"/>
        <v>4029.7838961038965</v>
      </c>
      <c r="J55" s="8">
        <f>VPI!R55</f>
        <v>2131.6062337662343</v>
      </c>
      <c r="K55" s="221">
        <f t="shared" si="6"/>
        <v>2516.036481777161</v>
      </c>
      <c r="L55" s="315">
        <f t="shared" si="7"/>
        <v>6545.8203778810575</v>
      </c>
      <c r="M55" s="128"/>
      <c r="N55" s="129"/>
      <c r="O55" s="126"/>
      <c r="P55" s="126"/>
      <c r="Q55" s="130"/>
    </row>
    <row r="56" spans="1:17" s="125" customFormat="1" x14ac:dyDescent="0.25">
      <c r="A56" s="174">
        <f>Données!A56</f>
        <v>5489</v>
      </c>
      <c r="B56" s="325" t="str">
        <f>Données!B56</f>
        <v>Mex</v>
      </c>
      <c r="C56" s="174">
        <f>Données!AR56</f>
        <v>0</v>
      </c>
      <c r="D56" s="326">
        <f>Données!Z56</f>
        <v>817</v>
      </c>
      <c r="E56" s="127">
        <f>Données!X56</f>
        <v>59.5</v>
      </c>
      <c r="F56" s="31">
        <f>VPI!L56</f>
        <v>3303697.5000000005</v>
      </c>
      <c r="G56" s="8">
        <f t="shared" si="3"/>
        <v>111048.65546218489</v>
      </c>
      <c r="H56" s="26">
        <f t="shared" si="4"/>
        <v>72970.271414986433</v>
      </c>
      <c r="I56" s="8">
        <f t="shared" si="5"/>
        <v>72970.271414986433</v>
      </c>
      <c r="J56" s="8">
        <f>VPI!R56</f>
        <v>60740.368067226897</v>
      </c>
      <c r="K56" s="221">
        <f t="shared" si="6"/>
        <v>71694.752789166014</v>
      </c>
      <c r="L56" s="315">
        <f t="shared" si="7"/>
        <v>144665.02420415246</v>
      </c>
      <c r="M56" s="128"/>
      <c r="N56" s="129"/>
      <c r="O56" s="126"/>
      <c r="P56" s="126"/>
      <c r="Q56" s="130"/>
    </row>
    <row r="57" spans="1:17" s="125" customFormat="1" x14ac:dyDescent="0.25">
      <c r="A57" s="174">
        <f>Données!A57</f>
        <v>5490</v>
      </c>
      <c r="B57" s="325" t="str">
        <f>Données!B57</f>
        <v>Moiry</v>
      </c>
      <c r="C57" s="174">
        <f>Données!AR57</f>
        <v>0</v>
      </c>
      <c r="D57" s="326">
        <f>Données!Z57</f>
        <v>296</v>
      </c>
      <c r="E57" s="127">
        <f>Données!X57</f>
        <v>77</v>
      </c>
      <c r="F57" s="31">
        <f>VPI!L57</f>
        <v>603537.33000000007</v>
      </c>
      <c r="G57" s="8">
        <f t="shared" si="3"/>
        <v>15676.294285714288</v>
      </c>
      <c r="H57" s="26">
        <f t="shared" si="4"/>
        <v>26437.209717057507</v>
      </c>
      <c r="I57" s="8">
        <f t="shared" si="5"/>
        <v>15676.294285714288</v>
      </c>
      <c r="J57" s="8">
        <f>VPI!R57</f>
        <v>8460.9523376623383</v>
      </c>
      <c r="K57" s="221">
        <f t="shared" si="6"/>
        <v>9986.8654983820925</v>
      </c>
      <c r="L57" s="315">
        <f t="shared" si="7"/>
        <v>25663.15978409638</v>
      </c>
      <c r="M57" s="128"/>
      <c r="N57" s="129"/>
      <c r="O57" s="126"/>
      <c r="P57" s="126"/>
      <c r="Q57" s="130"/>
    </row>
    <row r="58" spans="1:17" s="125" customFormat="1" x14ac:dyDescent="0.25">
      <c r="A58" s="174">
        <f>Données!A58</f>
        <v>5491</v>
      </c>
      <c r="B58" s="325" t="str">
        <f>Données!B58</f>
        <v>Mont-la-Ville</v>
      </c>
      <c r="C58" s="174">
        <f>Données!AR58</f>
        <v>0</v>
      </c>
      <c r="D58" s="326">
        <f>Données!Z58</f>
        <v>502</v>
      </c>
      <c r="E58" s="127">
        <f>Données!X58</f>
        <v>76</v>
      </c>
      <c r="F58" s="31">
        <f>VPI!L58</f>
        <v>955864.46000000008</v>
      </c>
      <c r="G58" s="8">
        <f t="shared" si="3"/>
        <v>25154.327894736845</v>
      </c>
      <c r="H58" s="26">
        <f t="shared" si="4"/>
        <v>44836.078641766449</v>
      </c>
      <c r="I58" s="8">
        <f t="shared" si="5"/>
        <v>25154.327894736845</v>
      </c>
      <c r="J58" s="8">
        <f>VPI!R58</f>
        <v>13842.217236842105</v>
      </c>
      <c r="K58" s="221">
        <f t="shared" si="6"/>
        <v>16338.629060510995</v>
      </c>
      <c r="L58" s="315">
        <f t="shared" si="7"/>
        <v>41492.956955247842</v>
      </c>
      <c r="M58" s="128"/>
      <c r="N58" s="129"/>
      <c r="O58" s="126"/>
      <c r="P58" s="126"/>
      <c r="Q58" s="130"/>
    </row>
    <row r="59" spans="1:17" s="125" customFormat="1" x14ac:dyDescent="0.25">
      <c r="A59" s="174">
        <f>Données!A59</f>
        <v>5492</v>
      </c>
      <c r="B59" s="325" t="str">
        <f>Données!B59</f>
        <v>Montricher</v>
      </c>
      <c r="C59" s="174">
        <f>Données!AR59</f>
        <v>0</v>
      </c>
      <c r="D59" s="326">
        <f>Données!Z59</f>
        <v>978</v>
      </c>
      <c r="E59" s="127">
        <f>Données!X59</f>
        <v>64</v>
      </c>
      <c r="F59" s="31">
        <f>VPI!L59</f>
        <v>9339619.2099999972</v>
      </c>
      <c r="G59" s="8">
        <f t="shared" si="3"/>
        <v>291863.10031249991</v>
      </c>
      <c r="H59" s="26">
        <f t="shared" si="4"/>
        <v>87349.969943521079</v>
      </c>
      <c r="I59" s="8">
        <f t="shared" si="5"/>
        <v>87349.969943521079</v>
      </c>
      <c r="J59" s="8">
        <f>VPI!R59</f>
        <v>149907.58062499994</v>
      </c>
      <c r="K59" s="221">
        <f t="shared" si="6"/>
        <v>176943.0656435274</v>
      </c>
      <c r="L59" s="315">
        <f t="shared" si="7"/>
        <v>264293.03558704851</v>
      </c>
      <c r="M59" s="128"/>
      <c r="N59" s="129"/>
      <c r="O59" s="126"/>
      <c r="P59" s="126"/>
      <c r="Q59" s="130"/>
    </row>
    <row r="60" spans="1:17" s="125" customFormat="1" x14ac:dyDescent="0.25">
      <c r="A60" s="174">
        <f>Données!A60</f>
        <v>5493</v>
      </c>
      <c r="B60" s="325" t="str">
        <f>Données!B60</f>
        <v>Orny</v>
      </c>
      <c r="C60" s="174">
        <f>Données!AR60</f>
        <v>0</v>
      </c>
      <c r="D60" s="326">
        <f>Données!Z60</f>
        <v>484</v>
      </c>
      <c r="E60" s="127">
        <f>Données!X60</f>
        <v>73</v>
      </c>
      <c r="F60" s="31">
        <f>VPI!L60</f>
        <v>984903.59000000008</v>
      </c>
      <c r="G60" s="8">
        <f t="shared" si="3"/>
        <v>26983.660000000003</v>
      </c>
      <c r="H60" s="26">
        <f t="shared" si="4"/>
        <v>43228.410483296735</v>
      </c>
      <c r="I60" s="8">
        <f t="shared" si="5"/>
        <v>26983.660000000003</v>
      </c>
      <c r="J60" s="8">
        <f>VPI!R60</f>
        <v>14635.830579557431</v>
      </c>
      <c r="K60" s="221">
        <f t="shared" si="6"/>
        <v>17275.368731781753</v>
      </c>
      <c r="L60" s="315">
        <f t="shared" si="7"/>
        <v>44259.028731781757</v>
      </c>
      <c r="M60" s="128"/>
      <c r="N60" s="129"/>
      <c r="O60" s="126"/>
      <c r="P60" s="126"/>
      <c r="Q60" s="130"/>
    </row>
    <row r="61" spans="1:17" s="125" customFormat="1" x14ac:dyDescent="0.25">
      <c r="A61" s="174">
        <f>Données!A61</f>
        <v>5495</v>
      </c>
      <c r="B61" s="325" t="str">
        <f>Données!B61</f>
        <v>Penthalaz</v>
      </c>
      <c r="C61" s="174">
        <f>Données!AR61</f>
        <v>0</v>
      </c>
      <c r="D61" s="326">
        <f>Données!Z61</f>
        <v>3214</v>
      </c>
      <c r="E61" s="127">
        <f>Données!X61</f>
        <v>74</v>
      </c>
      <c r="F61" s="31">
        <f>VPI!L61</f>
        <v>7035035.2800000003</v>
      </c>
      <c r="G61" s="8">
        <f t="shared" si="3"/>
        <v>190136.08864864864</v>
      </c>
      <c r="H61" s="26">
        <f t="shared" si="4"/>
        <v>287058.08118453657</v>
      </c>
      <c r="I61" s="8">
        <f t="shared" si="5"/>
        <v>190136.08864864864</v>
      </c>
      <c r="J61" s="8">
        <f>VPI!R61</f>
        <v>103056.57202702702</v>
      </c>
      <c r="K61" s="221">
        <f t="shared" si="6"/>
        <v>121642.58613973051</v>
      </c>
      <c r="L61" s="315">
        <f t="shared" si="7"/>
        <v>311778.67478837917</v>
      </c>
      <c r="M61" s="128"/>
      <c r="N61" s="129"/>
      <c r="O61" s="126"/>
      <c r="P61" s="126"/>
      <c r="Q61" s="130"/>
    </row>
    <row r="62" spans="1:17" s="125" customFormat="1" x14ac:dyDescent="0.25">
      <c r="A62" s="174">
        <f>Données!A62</f>
        <v>5496</v>
      </c>
      <c r="B62" s="325" t="str">
        <f>Données!B62</f>
        <v>Penthaz</v>
      </c>
      <c r="C62" s="174">
        <f>Données!AR62</f>
        <v>0</v>
      </c>
      <c r="D62" s="326">
        <f>Données!Z62</f>
        <v>1923</v>
      </c>
      <c r="E62" s="127">
        <f>Données!X62</f>
        <v>69.5</v>
      </c>
      <c r="F62" s="31">
        <f>VPI!L62</f>
        <v>3890530.75</v>
      </c>
      <c r="G62" s="8">
        <f t="shared" si="3"/>
        <v>111957.71942446043</v>
      </c>
      <c r="H62" s="26">
        <f t="shared" si="4"/>
        <v>171752.54826318103</v>
      </c>
      <c r="I62" s="8">
        <f t="shared" si="5"/>
        <v>111957.71942446043</v>
      </c>
      <c r="J62" s="8">
        <f>VPI!R62</f>
        <v>61651.518705035967</v>
      </c>
      <c r="K62" s="221">
        <f t="shared" si="6"/>
        <v>72770.227334514697</v>
      </c>
      <c r="L62" s="315">
        <f t="shared" si="7"/>
        <v>184727.94675897513</v>
      </c>
      <c r="M62" s="128"/>
      <c r="N62" s="129"/>
      <c r="O62" s="126"/>
      <c r="P62" s="126"/>
      <c r="Q62" s="130"/>
    </row>
    <row r="63" spans="1:17" s="125" customFormat="1" x14ac:dyDescent="0.25">
      <c r="A63" s="174">
        <f>Données!A63</f>
        <v>5497</v>
      </c>
      <c r="B63" s="325" t="str">
        <f>Données!B63</f>
        <v>Pompaples</v>
      </c>
      <c r="C63" s="174">
        <f>Données!AR63</f>
        <v>0</v>
      </c>
      <c r="D63" s="326">
        <f>Données!Z63</f>
        <v>860</v>
      </c>
      <c r="E63" s="127">
        <f>Données!X63</f>
        <v>66</v>
      </c>
      <c r="F63" s="31">
        <f>VPI!L63</f>
        <v>1371589.02</v>
      </c>
      <c r="G63" s="8">
        <f t="shared" si="3"/>
        <v>41563.303636363635</v>
      </c>
      <c r="H63" s="26">
        <f t="shared" si="4"/>
        <v>76810.812015775184</v>
      </c>
      <c r="I63" s="8">
        <f t="shared" si="5"/>
        <v>41563.303636363635</v>
      </c>
      <c r="J63" s="8">
        <f>VPI!R63</f>
        <v>22949.830606060608</v>
      </c>
      <c r="K63" s="221">
        <f t="shared" si="6"/>
        <v>27088.779409990679</v>
      </c>
      <c r="L63" s="315">
        <f t="shared" si="7"/>
        <v>68652.08304635431</v>
      </c>
      <c r="M63" s="128"/>
      <c r="N63" s="129"/>
      <c r="O63" s="126"/>
      <c r="P63" s="126"/>
      <c r="Q63" s="130"/>
    </row>
    <row r="64" spans="1:17" s="125" customFormat="1" x14ac:dyDescent="0.25">
      <c r="A64" s="174">
        <f>Données!A64</f>
        <v>5498</v>
      </c>
      <c r="B64" s="325" t="str">
        <f>Données!B64</f>
        <v>La Sarraz</v>
      </c>
      <c r="C64" s="174">
        <f>Données!AR64</f>
        <v>0</v>
      </c>
      <c r="D64" s="326">
        <f>Données!Z64</f>
        <v>2608</v>
      </c>
      <c r="E64" s="127">
        <f>Données!X64</f>
        <v>66</v>
      </c>
      <c r="F64" s="31">
        <f>VPI!L64</f>
        <v>4423484.4700000007</v>
      </c>
      <c r="G64" s="8">
        <f t="shared" si="3"/>
        <v>134044.98393939395</v>
      </c>
      <c r="H64" s="26">
        <f t="shared" si="4"/>
        <v>232933.2531827229</v>
      </c>
      <c r="I64" s="8">
        <f t="shared" si="5"/>
        <v>134044.98393939395</v>
      </c>
      <c r="J64" s="8">
        <f>VPI!R64</f>
        <v>73743.655606060609</v>
      </c>
      <c r="K64" s="221">
        <f t="shared" si="6"/>
        <v>87043.153123377037</v>
      </c>
      <c r="L64" s="315">
        <f t="shared" si="7"/>
        <v>221088.13706277098</v>
      </c>
      <c r="M64" s="128"/>
      <c r="N64" s="129"/>
      <c r="O64" s="126"/>
      <c r="P64" s="126"/>
      <c r="Q64" s="130"/>
    </row>
    <row r="65" spans="1:17" s="125" customFormat="1" x14ac:dyDescent="0.25">
      <c r="A65" s="174">
        <f>Données!A65</f>
        <v>5499</v>
      </c>
      <c r="B65" s="325" t="str">
        <f>Données!B65</f>
        <v>Senarclens</v>
      </c>
      <c r="C65" s="174">
        <f>Données!AR65</f>
        <v>0</v>
      </c>
      <c r="D65" s="326">
        <f>Données!Z65</f>
        <v>496</v>
      </c>
      <c r="E65" s="127">
        <f>Données!X65</f>
        <v>68.5</v>
      </c>
      <c r="F65" s="31">
        <f>VPI!L65</f>
        <v>1300254.1099999999</v>
      </c>
      <c r="G65" s="8">
        <f t="shared" si="3"/>
        <v>37963.623649635032</v>
      </c>
      <c r="H65" s="26">
        <f t="shared" si="4"/>
        <v>44300.189255609876</v>
      </c>
      <c r="I65" s="8">
        <f t="shared" si="5"/>
        <v>37963.623649635032</v>
      </c>
      <c r="J65" s="8">
        <f>VPI!R65</f>
        <v>20491.103065693427</v>
      </c>
      <c r="K65" s="221">
        <f t="shared" si="6"/>
        <v>24186.626051495445</v>
      </c>
      <c r="L65" s="315">
        <f t="shared" si="7"/>
        <v>62150.24970113048</v>
      </c>
      <c r="M65" s="128"/>
      <c r="N65" s="129"/>
      <c r="O65" s="126"/>
      <c r="P65" s="126"/>
      <c r="Q65" s="130"/>
    </row>
    <row r="66" spans="1:17" s="125" customFormat="1" x14ac:dyDescent="0.25">
      <c r="A66" s="174">
        <f>Données!A66</f>
        <v>5501</v>
      </c>
      <c r="B66" s="325" t="str">
        <f>Données!B66</f>
        <v>Sullens</v>
      </c>
      <c r="C66" s="174">
        <f>Données!AR66</f>
        <v>0</v>
      </c>
      <c r="D66" s="326">
        <f>Données!Z66</f>
        <v>1169</v>
      </c>
      <c r="E66" s="127">
        <f>Données!X66</f>
        <v>64</v>
      </c>
      <c r="F66" s="31">
        <f>VPI!L66</f>
        <v>3193280.6799999997</v>
      </c>
      <c r="G66" s="8">
        <f t="shared" si="3"/>
        <v>99790.021249999991</v>
      </c>
      <c r="H66" s="26">
        <f t="shared" si="4"/>
        <v>104409.11540283859</v>
      </c>
      <c r="I66" s="8">
        <f t="shared" si="5"/>
        <v>99790.021249999991</v>
      </c>
      <c r="J66" s="8">
        <f>VPI!R66</f>
        <v>53840.673124999994</v>
      </c>
      <c r="K66" s="221">
        <f t="shared" si="6"/>
        <v>63550.713842017743</v>
      </c>
      <c r="L66" s="315">
        <f t="shared" si="7"/>
        <v>163340.73509201774</v>
      </c>
      <c r="M66" s="128"/>
      <c r="N66" s="129"/>
      <c r="O66" s="126"/>
      <c r="P66" s="126"/>
      <c r="Q66" s="130"/>
    </row>
    <row r="67" spans="1:17" s="125" customFormat="1" x14ac:dyDescent="0.25">
      <c r="A67" s="174">
        <f>Données!A67</f>
        <v>5503</v>
      </c>
      <c r="B67" s="325" t="str">
        <f>Données!B67</f>
        <v>Vufflens-la-Ville</v>
      </c>
      <c r="C67" s="174">
        <f>Données!AR67</f>
        <v>0</v>
      </c>
      <c r="D67" s="326">
        <f>Données!Z67</f>
        <v>1334</v>
      </c>
      <c r="E67" s="127">
        <f>Données!X67</f>
        <v>67</v>
      </c>
      <c r="F67" s="31">
        <f>VPI!L67</f>
        <v>4490133.4700000007</v>
      </c>
      <c r="G67" s="8">
        <f t="shared" si="3"/>
        <v>134033.83492537314</v>
      </c>
      <c r="H67" s="26">
        <f t="shared" si="4"/>
        <v>119146.0735221443</v>
      </c>
      <c r="I67" s="8">
        <f t="shared" si="5"/>
        <v>119146.0735221443</v>
      </c>
      <c r="J67" s="8">
        <f>VPI!R67</f>
        <v>75222.663980099518</v>
      </c>
      <c r="K67" s="221">
        <f t="shared" si="6"/>
        <v>88788.897232672942</v>
      </c>
      <c r="L67" s="315">
        <f t="shared" si="7"/>
        <v>207934.97075481724</v>
      </c>
      <c r="M67" s="128"/>
      <c r="N67" s="129"/>
      <c r="O67" s="126"/>
      <c r="P67" s="126"/>
      <c r="Q67" s="130"/>
    </row>
    <row r="68" spans="1:17" s="125" customFormat="1" x14ac:dyDescent="0.25">
      <c r="A68" s="174">
        <f>Données!A68</f>
        <v>5511</v>
      </c>
      <c r="B68" s="325" t="str">
        <f>Données!B68</f>
        <v>Assens</v>
      </c>
      <c r="C68" s="174">
        <f>Données!AR68</f>
        <v>0</v>
      </c>
      <c r="D68" s="326">
        <f>Données!Z68</f>
        <v>1669</v>
      </c>
      <c r="E68" s="127">
        <f>Données!X68</f>
        <v>70</v>
      </c>
      <c r="F68" s="31">
        <f>VPI!L68</f>
        <v>4685821.2700000005</v>
      </c>
      <c r="G68" s="8">
        <f t="shared" si="3"/>
        <v>133880.60771428572</v>
      </c>
      <c r="H68" s="26">
        <f t="shared" si="4"/>
        <v>149066.56424921952</v>
      </c>
      <c r="I68" s="8">
        <f t="shared" si="5"/>
        <v>133880.60771428572</v>
      </c>
      <c r="J68" s="8">
        <f>VPI!R68</f>
        <v>72835.778857142868</v>
      </c>
      <c r="K68" s="221">
        <f t="shared" si="6"/>
        <v>85971.542905199763</v>
      </c>
      <c r="L68" s="315">
        <f t="shared" si="7"/>
        <v>219852.15061948547</v>
      </c>
      <c r="M68" s="128"/>
      <c r="N68" s="129"/>
      <c r="O68" s="126"/>
      <c r="P68" s="126"/>
      <c r="Q68" s="130"/>
    </row>
    <row r="69" spans="1:17" s="125" customFormat="1" x14ac:dyDescent="0.25">
      <c r="A69" s="174">
        <f>Données!A69</f>
        <v>5512</v>
      </c>
      <c r="B69" s="325" t="str">
        <f>Données!B69</f>
        <v>Bercher</v>
      </c>
      <c r="C69" s="174">
        <f>Données!AR69</f>
        <v>0</v>
      </c>
      <c r="D69" s="326">
        <f>Données!Z69</f>
        <v>1359</v>
      </c>
      <c r="E69" s="127">
        <f>Données!X69</f>
        <v>79</v>
      </c>
      <c r="F69" s="31">
        <f>VPI!L69</f>
        <v>2974279.63</v>
      </c>
      <c r="G69" s="8">
        <f t="shared" si="3"/>
        <v>75298.218481012649</v>
      </c>
      <c r="H69" s="26">
        <f t="shared" si="4"/>
        <v>121378.94596446335</v>
      </c>
      <c r="I69" s="8">
        <f t="shared" si="5"/>
        <v>75298.218481012649</v>
      </c>
      <c r="J69" s="8">
        <f>VPI!R69</f>
        <v>41198.7282278481</v>
      </c>
      <c r="K69" s="221">
        <f t="shared" si="6"/>
        <v>48628.823458139741</v>
      </c>
      <c r="L69" s="315">
        <f t="shared" si="7"/>
        <v>123927.04193915239</v>
      </c>
      <c r="M69" s="128"/>
      <c r="N69" s="129"/>
      <c r="O69" s="126"/>
      <c r="P69" s="126"/>
      <c r="Q69" s="130"/>
    </row>
    <row r="70" spans="1:17" s="125" customFormat="1" x14ac:dyDescent="0.25">
      <c r="A70" s="174">
        <f>Données!A70</f>
        <v>5514</v>
      </c>
      <c r="B70" s="325" t="str">
        <f>Données!B70</f>
        <v>Bottens</v>
      </c>
      <c r="C70" s="174">
        <f>Données!AR70</f>
        <v>0</v>
      </c>
      <c r="D70" s="326">
        <f>Données!Z70</f>
        <v>1356</v>
      </c>
      <c r="E70" s="127">
        <f>Données!X70</f>
        <v>72.5</v>
      </c>
      <c r="F70" s="31">
        <f>VPI!L70</f>
        <v>3060278.5799999996</v>
      </c>
      <c r="G70" s="8">
        <f t="shared" si="3"/>
        <v>84421.478068965502</v>
      </c>
      <c r="H70" s="26">
        <f t="shared" si="4"/>
        <v>121111.00127138506</v>
      </c>
      <c r="I70" s="8">
        <f t="shared" si="5"/>
        <v>84421.478068965502</v>
      </c>
      <c r="J70" s="8">
        <f>VPI!R70</f>
        <v>45712.235586206894</v>
      </c>
      <c r="K70" s="221">
        <f t="shared" si="6"/>
        <v>53956.331416462672</v>
      </c>
      <c r="L70" s="315">
        <f t="shared" si="7"/>
        <v>138377.80948542818</v>
      </c>
      <c r="M70" s="128"/>
      <c r="N70" s="129"/>
      <c r="O70" s="126"/>
      <c r="P70" s="126"/>
      <c r="Q70" s="130"/>
    </row>
    <row r="71" spans="1:17" s="125" customFormat="1" x14ac:dyDescent="0.25">
      <c r="A71" s="174">
        <f>Données!A71</f>
        <v>5515</v>
      </c>
      <c r="B71" s="325" t="str">
        <f>Données!B71</f>
        <v>Bretigny-sur-Morrens</v>
      </c>
      <c r="C71" s="174">
        <f>Données!AR71</f>
        <v>0</v>
      </c>
      <c r="D71" s="326">
        <f>Données!Z71</f>
        <v>878</v>
      </c>
      <c r="E71" s="127">
        <f>Données!X71</f>
        <v>78</v>
      </c>
      <c r="F71" s="31">
        <f>VPI!L71</f>
        <v>2074313.8800000001</v>
      </c>
      <c r="G71" s="8">
        <f t="shared" ref="G71:G134" si="8">F71/E71*2</f>
        <v>53187.535384615388</v>
      </c>
      <c r="H71" s="26">
        <f t="shared" ref="H71:H134" si="9">+$G$306/$D$306*D71</f>
        <v>78418.480174244905</v>
      </c>
      <c r="I71" s="8">
        <f t="shared" ref="I71:I134" si="10">IF(C71=1,0,IF(H71&gt;G71,G71,H71))</f>
        <v>53187.535384615388</v>
      </c>
      <c r="J71" s="8">
        <f>VPI!R71</f>
        <v>29285.295897435899</v>
      </c>
      <c r="K71" s="221">
        <f t="shared" ref="K71:K134" si="11">+$K$5*J71</f>
        <v>34566.831195366212</v>
      </c>
      <c r="L71" s="315">
        <f t="shared" ref="L71:L134" si="12">+K71+I71</f>
        <v>87754.366579981608</v>
      </c>
      <c r="M71" s="128"/>
      <c r="N71" s="129"/>
      <c r="O71" s="126"/>
      <c r="P71" s="126"/>
      <c r="Q71" s="130"/>
    </row>
    <row r="72" spans="1:17" s="125" customFormat="1" x14ac:dyDescent="0.25">
      <c r="A72" s="174">
        <f>Données!A72</f>
        <v>5516</v>
      </c>
      <c r="B72" s="325" t="str">
        <f>Données!B72</f>
        <v>Cugy</v>
      </c>
      <c r="C72" s="174">
        <f>Données!AR72</f>
        <v>0</v>
      </c>
      <c r="D72" s="326">
        <f>Données!Z72</f>
        <v>2697</v>
      </c>
      <c r="E72" s="127">
        <f>Données!X72</f>
        <v>76</v>
      </c>
      <c r="F72" s="31">
        <f>VPI!L72</f>
        <v>7733575.6499999985</v>
      </c>
      <c r="G72" s="8">
        <f t="shared" si="8"/>
        <v>203515.14868421049</v>
      </c>
      <c r="H72" s="26">
        <f t="shared" si="9"/>
        <v>240882.27907737871</v>
      </c>
      <c r="I72" s="8">
        <f t="shared" si="10"/>
        <v>203515.14868421049</v>
      </c>
      <c r="J72" s="8">
        <f>VPI!R72</f>
        <v>110290.24758771928</v>
      </c>
      <c r="K72" s="221">
        <f t="shared" si="11"/>
        <v>130180.83833647161</v>
      </c>
      <c r="L72" s="315">
        <f t="shared" si="12"/>
        <v>333695.98702068208</v>
      </c>
      <c r="M72" s="128"/>
      <c r="N72" s="129"/>
      <c r="O72" s="126"/>
      <c r="P72" s="126"/>
      <c r="Q72" s="130"/>
    </row>
    <row r="73" spans="1:17" s="125" customFormat="1" x14ac:dyDescent="0.25">
      <c r="A73" s="174">
        <f>Données!A73</f>
        <v>5518</v>
      </c>
      <c r="B73" s="325" t="str">
        <f>Données!B73</f>
        <v>Echallens</v>
      </c>
      <c r="C73" s="174">
        <f>Données!AR73</f>
        <v>0</v>
      </c>
      <c r="D73" s="326">
        <f>Données!Z73</f>
        <v>5816</v>
      </c>
      <c r="E73" s="127">
        <f>Données!X73</f>
        <v>72.5</v>
      </c>
      <c r="F73" s="31">
        <f>VPI!L73</f>
        <v>12797277.230000002</v>
      </c>
      <c r="G73" s="8">
        <f t="shared" si="8"/>
        <v>353028.3373793104</v>
      </c>
      <c r="H73" s="26">
        <f t="shared" si="9"/>
        <v>519455.44498110289</v>
      </c>
      <c r="I73" s="8">
        <f t="shared" si="10"/>
        <v>353028.3373793104</v>
      </c>
      <c r="J73" s="8">
        <f>VPI!R73</f>
        <v>193282.28662068967</v>
      </c>
      <c r="K73" s="221">
        <f t="shared" si="11"/>
        <v>228140.2994209372</v>
      </c>
      <c r="L73" s="315">
        <f t="shared" si="12"/>
        <v>581168.63680024759</v>
      </c>
      <c r="M73" s="128"/>
      <c r="N73" s="129"/>
      <c r="O73" s="126"/>
      <c r="P73" s="126"/>
      <c r="Q73" s="130"/>
    </row>
    <row r="74" spans="1:17" s="125" customFormat="1" x14ac:dyDescent="0.25">
      <c r="A74" s="174">
        <f>Données!A74</f>
        <v>5520</v>
      </c>
      <c r="B74" s="325" t="str">
        <f>Données!B74</f>
        <v>Essertines-sur-Yverdon</v>
      </c>
      <c r="C74" s="174">
        <f>Données!AR74</f>
        <v>0</v>
      </c>
      <c r="D74" s="326">
        <f>Données!Z74</f>
        <v>1081</v>
      </c>
      <c r="E74" s="127">
        <f>Données!X74</f>
        <v>74</v>
      </c>
      <c r="F74" s="31">
        <f>VPI!L74</f>
        <v>2119931.5099999998</v>
      </c>
      <c r="G74" s="8">
        <f t="shared" si="8"/>
        <v>57295.446216216209</v>
      </c>
      <c r="H74" s="26">
        <f t="shared" si="9"/>
        <v>96549.404405875553</v>
      </c>
      <c r="I74" s="8">
        <f t="shared" si="10"/>
        <v>57295.446216216209</v>
      </c>
      <c r="J74" s="8">
        <f>VPI!R74</f>
        <v>31422.035945945943</v>
      </c>
      <c r="K74" s="221">
        <f t="shared" si="11"/>
        <v>37088.927363487644</v>
      </c>
      <c r="L74" s="315">
        <f t="shared" si="12"/>
        <v>94384.373579703853</v>
      </c>
      <c r="M74" s="128"/>
      <c r="N74" s="129"/>
      <c r="O74" s="126"/>
      <c r="P74" s="126"/>
      <c r="Q74" s="130"/>
    </row>
    <row r="75" spans="1:17" s="125" customFormat="1" x14ac:dyDescent="0.25">
      <c r="A75" s="174">
        <f>Données!A75</f>
        <v>5521</v>
      </c>
      <c r="B75" s="325" t="str">
        <f>Données!B75</f>
        <v>Etagnières</v>
      </c>
      <c r="C75" s="174">
        <f>Données!AR75</f>
        <v>0</v>
      </c>
      <c r="D75" s="326">
        <f>Données!Z75</f>
        <v>1154</v>
      </c>
      <c r="E75" s="127">
        <f>Données!X75</f>
        <v>73</v>
      </c>
      <c r="F75" s="31">
        <f>VPI!L75</f>
        <v>3146456.4100000006</v>
      </c>
      <c r="G75" s="8">
        <f t="shared" si="8"/>
        <v>86204.285205479464</v>
      </c>
      <c r="H75" s="26">
        <f t="shared" si="9"/>
        <v>103069.39193744717</v>
      </c>
      <c r="I75" s="8">
        <f t="shared" si="10"/>
        <v>86204.285205479464</v>
      </c>
      <c r="J75" s="8">
        <f>VPI!R75</f>
        <v>47189.665890410972</v>
      </c>
      <c r="K75" s="221">
        <f t="shared" si="11"/>
        <v>55700.212854683428</v>
      </c>
      <c r="L75" s="315">
        <f t="shared" si="12"/>
        <v>141904.49806016288</v>
      </c>
      <c r="M75" s="128"/>
      <c r="N75" s="129"/>
      <c r="O75" s="126"/>
      <c r="P75" s="126"/>
      <c r="Q75" s="130"/>
    </row>
    <row r="76" spans="1:17" s="125" customFormat="1" x14ac:dyDescent="0.25">
      <c r="A76" s="174">
        <f>Données!A76</f>
        <v>5522</v>
      </c>
      <c r="B76" s="325" t="str">
        <f>Données!B76</f>
        <v>Fey</v>
      </c>
      <c r="C76" s="174">
        <f>Données!AR76</f>
        <v>0</v>
      </c>
      <c r="D76" s="326">
        <f>Données!Z76</f>
        <v>736</v>
      </c>
      <c r="E76" s="127">
        <f>Données!X76</f>
        <v>75</v>
      </c>
      <c r="F76" s="31">
        <f>VPI!L76</f>
        <v>1664863.93</v>
      </c>
      <c r="G76" s="8">
        <f t="shared" si="8"/>
        <v>44396.371466666664</v>
      </c>
      <c r="H76" s="198">
        <f t="shared" si="9"/>
        <v>65735.764701872715</v>
      </c>
      <c r="I76" s="8">
        <f t="shared" si="10"/>
        <v>44396.371466666664</v>
      </c>
      <c r="J76" s="8">
        <f>VPI!R76</f>
        <v>24172.463733333334</v>
      </c>
      <c r="K76" s="221">
        <f t="shared" si="11"/>
        <v>28531.911590464886</v>
      </c>
      <c r="L76" s="315">
        <f t="shared" si="12"/>
        <v>72928.283057131543</v>
      </c>
      <c r="M76" s="128"/>
      <c r="N76" s="129"/>
      <c r="O76" s="126"/>
      <c r="P76" s="126"/>
      <c r="Q76" s="130"/>
    </row>
    <row r="77" spans="1:17" s="125" customFormat="1" x14ac:dyDescent="0.25">
      <c r="A77" s="174">
        <f>Données!A77</f>
        <v>5523</v>
      </c>
      <c r="B77" s="325" t="str">
        <f>Données!B77</f>
        <v>Froideville</v>
      </c>
      <c r="C77" s="174">
        <f>Données!AR77</f>
        <v>0</v>
      </c>
      <c r="D77" s="326">
        <f>Données!Z77</f>
        <v>2720</v>
      </c>
      <c r="E77" s="127">
        <f>Données!X77</f>
        <v>72</v>
      </c>
      <c r="F77" s="31">
        <f>VPI!L77</f>
        <v>6055247.1199999992</v>
      </c>
      <c r="G77" s="8">
        <f t="shared" si="8"/>
        <v>168201.30888888886</v>
      </c>
      <c r="H77" s="26">
        <f t="shared" si="9"/>
        <v>242936.52172431222</v>
      </c>
      <c r="I77" s="8">
        <f t="shared" si="10"/>
        <v>168201.30888888886</v>
      </c>
      <c r="J77" s="8">
        <f>VPI!R77</f>
        <v>92224.237222222204</v>
      </c>
      <c r="K77" s="221">
        <f t="shared" si="11"/>
        <v>108856.66483776535</v>
      </c>
      <c r="L77" s="315">
        <f t="shared" si="12"/>
        <v>277057.97372665419</v>
      </c>
      <c r="M77" s="128"/>
      <c r="N77" s="129"/>
      <c r="O77" s="126"/>
      <c r="P77" s="126"/>
      <c r="Q77" s="130"/>
    </row>
    <row r="78" spans="1:17" s="125" customFormat="1" x14ac:dyDescent="0.25">
      <c r="A78" s="174">
        <f>Données!A78</f>
        <v>5527</v>
      </c>
      <c r="B78" s="325" t="str">
        <f>Données!B78</f>
        <v>Morrens</v>
      </c>
      <c r="C78" s="174">
        <f>Données!AR78</f>
        <v>0</v>
      </c>
      <c r="D78" s="326">
        <f>Données!Z78</f>
        <v>1172</v>
      </c>
      <c r="E78" s="127">
        <f>Données!X78</f>
        <v>74</v>
      </c>
      <c r="F78" s="31">
        <f>VPI!L78</f>
        <v>2757521.5200000005</v>
      </c>
      <c r="G78" s="8">
        <f t="shared" si="8"/>
        <v>74527.60864864866</v>
      </c>
      <c r="H78" s="26">
        <f t="shared" si="9"/>
        <v>104677.06009591688</v>
      </c>
      <c r="I78" s="8">
        <f t="shared" si="10"/>
        <v>74527.60864864866</v>
      </c>
      <c r="J78" s="8">
        <f>VPI!R78</f>
        <v>40722.505675675682</v>
      </c>
      <c r="K78" s="221">
        <f t="shared" si="11"/>
        <v>48066.71527149131</v>
      </c>
      <c r="L78" s="315">
        <f t="shared" si="12"/>
        <v>122594.32392013997</v>
      </c>
      <c r="M78" s="128"/>
      <c r="N78" s="129"/>
      <c r="O78" s="126"/>
      <c r="P78" s="126"/>
      <c r="Q78" s="130"/>
    </row>
    <row r="79" spans="1:17" s="125" customFormat="1" x14ac:dyDescent="0.25">
      <c r="A79" s="174">
        <f>Données!A79</f>
        <v>5529</v>
      </c>
      <c r="B79" s="325" t="str">
        <f>Données!B79</f>
        <v>Oulens-sous-Echallens</v>
      </c>
      <c r="C79" s="174">
        <f>Données!AR79</f>
        <v>0</v>
      </c>
      <c r="D79" s="326">
        <f>Données!Z79</f>
        <v>606</v>
      </c>
      <c r="E79" s="127">
        <f>Données!X79</f>
        <v>71</v>
      </c>
      <c r="F79" s="31">
        <f>VPI!L79</f>
        <v>1471375.1</v>
      </c>
      <c r="G79" s="8">
        <f t="shared" si="8"/>
        <v>41447.185915492963</v>
      </c>
      <c r="H79" s="26">
        <f t="shared" si="9"/>
        <v>54124.828001813679</v>
      </c>
      <c r="I79" s="8">
        <f t="shared" si="10"/>
        <v>41447.185915492963</v>
      </c>
      <c r="J79" s="8">
        <f>VPI!R79</f>
        <v>22677.013380281693</v>
      </c>
      <c r="K79" s="221">
        <f t="shared" si="11"/>
        <v>26766.760229316682</v>
      </c>
      <c r="L79" s="315">
        <f t="shared" si="12"/>
        <v>68213.946144809641</v>
      </c>
      <c r="M79" s="128"/>
      <c r="N79" s="129"/>
      <c r="O79" s="126"/>
      <c r="P79" s="126"/>
      <c r="Q79" s="130"/>
    </row>
    <row r="80" spans="1:17" s="125" customFormat="1" x14ac:dyDescent="0.25">
      <c r="A80" s="174">
        <f>Données!A80</f>
        <v>5530</v>
      </c>
      <c r="B80" s="325" t="str">
        <f>Données!B80</f>
        <v>Pailly</v>
      </c>
      <c r="C80" s="174">
        <f>Données!AR80</f>
        <v>0</v>
      </c>
      <c r="D80" s="326">
        <f>Données!Z80</f>
        <v>566</v>
      </c>
      <c r="E80" s="127">
        <f>Données!X80</f>
        <v>76</v>
      </c>
      <c r="F80" s="31">
        <f>VPI!L80</f>
        <v>1433385.0499999998</v>
      </c>
      <c r="G80" s="8">
        <f t="shared" si="8"/>
        <v>37720.659210526312</v>
      </c>
      <c r="H80" s="26">
        <f t="shared" si="9"/>
        <v>50552.232094103209</v>
      </c>
      <c r="I80" s="8">
        <f t="shared" si="10"/>
        <v>37720.659210526312</v>
      </c>
      <c r="J80" s="8">
        <f>VPI!R80</f>
        <v>20359.246820175435</v>
      </c>
      <c r="K80" s="221">
        <f t="shared" si="11"/>
        <v>24030.989837443249</v>
      </c>
      <c r="L80" s="315">
        <f t="shared" si="12"/>
        <v>61751.649047969564</v>
      </c>
      <c r="M80" s="128"/>
      <c r="N80" s="129"/>
      <c r="O80" s="126"/>
      <c r="P80" s="126"/>
      <c r="Q80" s="130"/>
    </row>
    <row r="81" spans="1:17" s="125" customFormat="1" x14ac:dyDescent="0.25">
      <c r="A81" s="174">
        <f>Données!A81</f>
        <v>5531</v>
      </c>
      <c r="B81" s="325" t="str">
        <f>Données!B81</f>
        <v>Penthéréaz</v>
      </c>
      <c r="C81" s="174">
        <f>Données!AR81</f>
        <v>0</v>
      </c>
      <c r="D81" s="326">
        <f>Données!Z81</f>
        <v>433</v>
      </c>
      <c r="E81" s="127">
        <f>Données!X81</f>
        <v>74</v>
      </c>
      <c r="F81" s="31">
        <f>VPI!L81</f>
        <v>1195268.0099999998</v>
      </c>
      <c r="G81" s="8">
        <f t="shared" si="8"/>
        <v>32304.540810810806</v>
      </c>
      <c r="H81" s="26">
        <f t="shared" si="9"/>
        <v>38673.350700965879</v>
      </c>
      <c r="I81" s="8">
        <f t="shared" si="10"/>
        <v>32304.540810810806</v>
      </c>
      <c r="J81" s="8">
        <f>VPI!R81</f>
        <v>17299.306216216217</v>
      </c>
      <c r="K81" s="221">
        <f t="shared" si="11"/>
        <v>20419.196031591138</v>
      </c>
      <c r="L81" s="315">
        <f t="shared" si="12"/>
        <v>52723.736842401944</v>
      </c>
      <c r="M81" s="128"/>
      <c r="N81" s="129"/>
      <c r="O81" s="126"/>
      <c r="P81" s="126"/>
      <c r="Q81" s="130"/>
    </row>
    <row r="82" spans="1:17" s="125" customFormat="1" x14ac:dyDescent="0.25">
      <c r="A82" s="174">
        <f>Données!A82</f>
        <v>5533</v>
      </c>
      <c r="B82" s="325" t="str">
        <f>Données!B82</f>
        <v>Poliez-Pittet</v>
      </c>
      <c r="C82" s="174">
        <f>Données!AR82</f>
        <v>0</v>
      </c>
      <c r="D82" s="326">
        <f>Données!Z82</f>
        <v>848</v>
      </c>
      <c r="E82" s="127">
        <f>Données!X82</f>
        <v>73</v>
      </c>
      <c r="F82" s="31">
        <f>VPI!L82</f>
        <v>1874960.07</v>
      </c>
      <c r="G82" s="8">
        <f t="shared" si="8"/>
        <v>51368.769041095889</v>
      </c>
      <c r="H82" s="26">
        <f t="shared" si="9"/>
        <v>75739.03324346205</v>
      </c>
      <c r="I82" s="8">
        <f t="shared" si="10"/>
        <v>51368.769041095889</v>
      </c>
      <c r="J82" s="8">
        <f>VPI!R82</f>
        <v>28012.381095890411</v>
      </c>
      <c r="K82" s="221">
        <f t="shared" si="11"/>
        <v>33064.349157103505</v>
      </c>
      <c r="L82" s="315">
        <f t="shared" si="12"/>
        <v>84433.118198199401</v>
      </c>
      <c r="M82" s="128"/>
      <c r="N82" s="129"/>
      <c r="O82" s="126"/>
      <c r="P82" s="126"/>
      <c r="Q82" s="130"/>
    </row>
    <row r="83" spans="1:17" s="125" customFormat="1" x14ac:dyDescent="0.25">
      <c r="A83" s="174">
        <f>Données!A83</f>
        <v>5534</v>
      </c>
      <c r="B83" s="325" t="str">
        <f>Données!B83</f>
        <v>Rueyres</v>
      </c>
      <c r="C83" s="174">
        <f>Données!AR83</f>
        <v>0</v>
      </c>
      <c r="D83" s="326">
        <f>Données!Z83</f>
        <v>303</v>
      </c>
      <c r="E83" s="127">
        <f>Données!X83</f>
        <v>73</v>
      </c>
      <c r="F83" s="31">
        <f>VPI!L83</f>
        <v>1012932.74</v>
      </c>
      <c r="G83" s="8">
        <f t="shared" si="8"/>
        <v>27751.58191780822</v>
      </c>
      <c r="H83" s="26">
        <f t="shared" si="9"/>
        <v>27062.41400090684</v>
      </c>
      <c r="I83" s="8">
        <f t="shared" si="10"/>
        <v>27062.41400090684</v>
      </c>
      <c r="J83" s="8">
        <f>VPI!R83</f>
        <v>15042.055228310503</v>
      </c>
      <c r="K83" s="221">
        <f t="shared" si="11"/>
        <v>17754.855055226202</v>
      </c>
      <c r="L83" s="315">
        <f t="shared" si="12"/>
        <v>44817.269056133038</v>
      </c>
      <c r="M83" s="128"/>
      <c r="N83" s="129"/>
      <c r="O83" s="126"/>
      <c r="P83" s="126"/>
      <c r="Q83" s="130"/>
    </row>
    <row r="84" spans="1:17" s="125" customFormat="1" x14ac:dyDescent="0.25">
      <c r="A84" s="174">
        <f>Données!A84</f>
        <v>5535</v>
      </c>
      <c r="B84" s="325" t="str">
        <f>Données!B84</f>
        <v>Saint-Barthélemy</v>
      </c>
      <c r="C84" s="174">
        <f>Données!AR84</f>
        <v>0</v>
      </c>
      <c r="D84" s="326">
        <f>Données!Z84</f>
        <v>814</v>
      </c>
      <c r="E84" s="127">
        <f>Données!X84</f>
        <v>75</v>
      </c>
      <c r="F84" s="31">
        <f>VPI!L84</f>
        <v>1761567.5799999998</v>
      </c>
      <c r="G84" s="8">
        <f t="shared" si="8"/>
        <v>46975.135466666659</v>
      </c>
      <c r="H84" s="26">
        <f t="shared" si="9"/>
        <v>72702.326721908146</v>
      </c>
      <c r="I84" s="8">
        <f t="shared" si="10"/>
        <v>46975.135466666659</v>
      </c>
      <c r="J84" s="8">
        <f>VPI!R84</f>
        <v>25492.610399999998</v>
      </c>
      <c r="K84" s="221">
        <f t="shared" si="11"/>
        <v>30090.143651346589</v>
      </c>
      <c r="L84" s="315">
        <f t="shared" si="12"/>
        <v>77065.279118013248</v>
      </c>
      <c r="M84" s="128"/>
      <c r="N84" s="129"/>
      <c r="O84" s="126"/>
      <c r="P84" s="126"/>
      <c r="Q84" s="130"/>
    </row>
    <row r="85" spans="1:17" s="125" customFormat="1" x14ac:dyDescent="0.25">
      <c r="A85" s="174">
        <f>Données!A85</f>
        <v>5537</v>
      </c>
      <c r="B85" s="325" t="str">
        <f>Données!B85</f>
        <v>Villars-le-Terroir</v>
      </c>
      <c r="C85" s="174">
        <f>Données!AR85</f>
        <v>0</v>
      </c>
      <c r="D85" s="326">
        <f>Données!Z85</f>
        <v>1308</v>
      </c>
      <c r="E85" s="127">
        <f>Données!X85</f>
        <v>76</v>
      </c>
      <c r="F85" s="31">
        <f>VPI!L85</f>
        <v>2702459.8800000004</v>
      </c>
      <c r="G85" s="8">
        <f t="shared" si="8"/>
        <v>71117.365263157903</v>
      </c>
      <c r="H85" s="26">
        <f t="shared" si="9"/>
        <v>116823.8861821325</v>
      </c>
      <c r="I85" s="8">
        <f t="shared" si="10"/>
        <v>71117.365263157903</v>
      </c>
      <c r="J85" s="8">
        <f>VPI!R85</f>
        <v>39162.728026315795</v>
      </c>
      <c r="K85" s="221">
        <f t="shared" si="11"/>
        <v>46225.635335111052</v>
      </c>
      <c r="L85" s="315">
        <f t="shared" si="12"/>
        <v>117343.00059826896</v>
      </c>
      <c r="M85" s="128"/>
      <c r="N85" s="129"/>
      <c r="O85" s="126"/>
      <c r="P85" s="126"/>
      <c r="Q85" s="130"/>
    </row>
    <row r="86" spans="1:17" s="125" customFormat="1" x14ac:dyDescent="0.25">
      <c r="A86" s="174">
        <f>Données!A86</f>
        <v>5539</v>
      </c>
      <c r="B86" s="325" t="str">
        <f>Données!B86</f>
        <v>Vuarrens</v>
      </c>
      <c r="C86" s="174">
        <f>Données!AR86</f>
        <v>0</v>
      </c>
      <c r="D86" s="326">
        <f>Données!Z86</f>
        <v>1106</v>
      </c>
      <c r="E86" s="127">
        <f>Données!X86</f>
        <v>73.5</v>
      </c>
      <c r="F86" s="31">
        <f>VPI!L86</f>
        <v>2323835.4699999997</v>
      </c>
      <c r="G86" s="8">
        <f t="shared" si="8"/>
        <v>63233.618231292508</v>
      </c>
      <c r="H86" s="26">
        <f t="shared" si="9"/>
        <v>98782.276848194597</v>
      </c>
      <c r="I86" s="8">
        <f t="shared" si="10"/>
        <v>63233.618231292508</v>
      </c>
      <c r="J86" s="8">
        <f>VPI!R86</f>
        <v>34442.458945578233</v>
      </c>
      <c r="K86" s="221">
        <f t="shared" si="11"/>
        <v>40654.076656585021</v>
      </c>
      <c r="L86" s="315">
        <f t="shared" si="12"/>
        <v>103887.69488787753</v>
      </c>
      <c r="M86" s="128"/>
      <c r="N86" s="129"/>
      <c r="O86" s="126"/>
      <c r="P86" s="126"/>
      <c r="Q86" s="130"/>
    </row>
    <row r="87" spans="1:17" s="125" customFormat="1" x14ac:dyDescent="0.25">
      <c r="A87" s="174">
        <f>Données!A87</f>
        <v>5540</v>
      </c>
      <c r="B87" s="325" t="str">
        <f>Données!B87</f>
        <v>Montilliez</v>
      </c>
      <c r="C87" s="174">
        <f>Données!AR87</f>
        <v>0</v>
      </c>
      <c r="D87" s="326">
        <f>Données!Z87</f>
        <v>1895</v>
      </c>
      <c r="E87" s="127">
        <f>Données!X87</f>
        <v>72.5</v>
      </c>
      <c r="F87" s="31">
        <f>VPI!L87</f>
        <v>4519718.2200000007</v>
      </c>
      <c r="G87" s="8">
        <f t="shared" si="8"/>
        <v>124681.8819310345</v>
      </c>
      <c r="H87" s="26">
        <f t="shared" si="9"/>
        <v>169251.73112778369</v>
      </c>
      <c r="I87" s="8">
        <f t="shared" si="10"/>
        <v>124681.8819310345</v>
      </c>
      <c r="J87" s="8">
        <f>VPI!R87</f>
        <v>67464.467689655183</v>
      </c>
      <c r="K87" s="221">
        <f t="shared" si="11"/>
        <v>79631.528207223339</v>
      </c>
      <c r="L87" s="315">
        <f t="shared" si="12"/>
        <v>204313.41013825784</v>
      </c>
      <c r="M87" s="128"/>
      <c r="N87" s="129"/>
      <c r="O87" s="126"/>
      <c r="P87" s="126"/>
      <c r="Q87" s="130"/>
    </row>
    <row r="88" spans="1:17" s="125" customFormat="1" x14ac:dyDescent="0.25">
      <c r="A88" s="174">
        <f>Données!A88</f>
        <v>5541</v>
      </c>
      <c r="B88" s="325" t="str">
        <f>Données!B88</f>
        <v>Goumoëns</v>
      </c>
      <c r="C88" s="174">
        <f>Données!AR88</f>
        <v>0</v>
      </c>
      <c r="D88" s="326">
        <f>Données!Z88</f>
        <v>1175</v>
      </c>
      <c r="E88" s="127">
        <f>Données!X88</f>
        <v>75.5</v>
      </c>
      <c r="F88" s="31">
        <f>VPI!L88</f>
        <v>2920597.1</v>
      </c>
      <c r="G88" s="8">
        <f t="shared" si="8"/>
        <v>77366.810596026495</v>
      </c>
      <c r="H88" s="26">
        <f t="shared" si="9"/>
        <v>104945.00478899517</v>
      </c>
      <c r="I88" s="8">
        <f t="shared" si="10"/>
        <v>77366.810596026495</v>
      </c>
      <c r="J88" s="8">
        <f>VPI!R88</f>
        <v>41726.211258278148</v>
      </c>
      <c r="K88" s="221">
        <f t="shared" si="11"/>
        <v>49251.43683159355</v>
      </c>
      <c r="L88" s="315">
        <f t="shared" si="12"/>
        <v>126618.24742762005</v>
      </c>
      <c r="M88" s="128"/>
      <c r="N88" s="129"/>
      <c r="O88" s="126"/>
      <c r="P88" s="126"/>
      <c r="Q88" s="130"/>
    </row>
    <row r="89" spans="1:17" s="125" customFormat="1" x14ac:dyDescent="0.25">
      <c r="A89" s="174">
        <f>Données!A89</f>
        <v>5551</v>
      </c>
      <c r="B89" s="325" t="str">
        <f>Données!B89</f>
        <v>Bonvillars</v>
      </c>
      <c r="C89" s="174">
        <f>Données!AR89</f>
        <v>0</v>
      </c>
      <c r="D89" s="326">
        <f>Données!Z89</f>
        <v>501</v>
      </c>
      <c r="E89" s="127">
        <f>Données!X89</f>
        <v>56</v>
      </c>
      <c r="F89" s="31">
        <f>VPI!L89</f>
        <v>910514.19</v>
      </c>
      <c r="G89" s="8">
        <f t="shared" si="8"/>
        <v>32518.363928571427</v>
      </c>
      <c r="H89" s="26">
        <f t="shared" si="9"/>
        <v>44746.763744073687</v>
      </c>
      <c r="I89" s="8">
        <f t="shared" si="10"/>
        <v>32518.363928571427</v>
      </c>
      <c r="J89" s="8">
        <f>VPI!R89</f>
        <v>18575.023035714283</v>
      </c>
      <c r="K89" s="221">
        <f t="shared" si="11"/>
        <v>21924.985425255421</v>
      </c>
      <c r="L89" s="315">
        <f t="shared" si="12"/>
        <v>54443.349353826852</v>
      </c>
      <c r="M89" s="128"/>
      <c r="N89" s="129"/>
      <c r="O89" s="126"/>
      <c r="P89" s="126"/>
      <c r="Q89" s="130"/>
    </row>
    <row r="90" spans="1:17" s="125" customFormat="1" x14ac:dyDescent="0.25">
      <c r="A90" s="174">
        <f>Données!A90</f>
        <v>5552</v>
      </c>
      <c r="B90" s="325" t="str">
        <f>Données!B90</f>
        <v>Bullet</v>
      </c>
      <c r="C90" s="174">
        <f>Données!AR90</f>
        <v>0</v>
      </c>
      <c r="D90" s="326">
        <f>Données!Z90</f>
        <v>651</v>
      </c>
      <c r="E90" s="127">
        <f>Données!X90</f>
        <v>71.5</v>
      </c>
      <c r="F90" s="31">
        <f>VPI!L90</f>
        <v>1223549.0299999998</v>
      </c>
      <c r="G90" s="8">
        <f t="shared" si="8"/>
        <v>34225.147692307684</v>
      </c>
      <c r="H90" s="26">
        <f t="shared" si="9"/>
        <v>58143.998397987962</v>
      </c>
      <c r="I90" s="8">
        <f t="shared" si="10"/>
        <v>34225.147692307684</v>
      </c>
      <c r="J90" s="8">
        <f>VPI!R90</f>
        <v>19038.952167832165</v>
      </c>
      <c r="K90" s="221">
        <f t="shared" si="11"/>
        <v>22472.583102010864</v>
      </c>
      <c r="L90" s="315">
        <f t="shared" si="12"/>
        <v>56697.730794318544</v>
      </c>
      <c r="M90" s="128"/>
      <c r="N90" s="129"/>
      <c r="O90" s="126"/>
      <c r="P90" s="126"/>
      <c r="Q90" s="130"/>
    </row>
    <row r="91" spans="1:17" s="125" customFormat="1" x14ac:dyDescent="0.25">
      <c r="A91" s="174">
        <f>Données!A91</f>
        <v>5553</v>
      </c>
      <c r="B91" s="325" t="str">
        <f>Données!B91</f>
        <v>Champagne</v>
      </c>
      <c r="C91" s="174">
        <f>Données!AR91</f>
        <v>0</v>
      </c>
      <c r="D91" s="326">
        <f>Données!Z91</f>
        <v>1077</v>
      </c>
      <c r="E91" s="127">
        <f>Données!X91</f>
        <v>65</v>
      </c>
      <c r="F91" s="31">
        <f>VPI!L91</f>
        <v>2227135.1</v>
      </c>
      <c r="G91" s="8">
        <f t="shared" si="8"/>
        <v>68527.233846153846</v>
      </c>
      <c r="H91" s="26">
        <f t="shared" si="9"/>
        <v>96192.144815104504</v>
      </c>
      <c r="I91" s="8">
        <f t="shared" si="10"/>
        <v>68527.233846153846</v>
      </c>
      <c r="J91" s="8">
        <f>VPI!R91</f>
        <v>38263.796923076923</v>
      </c>
      <c r="K91" s="221">
        <f t="shared" si="11"/>
        <v>45164.58408909502</v>
      </c>
      <c r="L91" s="315">
        <f t="shared" si="12"/>
        <v>113691.81793524887</v>
      </c>
      <c r="M91" s="128"/>
      <c r="N91" s="129"/>
      <c r="O91" s="126"/>
      <c r="P91" s="126"/>
      <c r="Q91" s="130"/>
    </row>
    <row r="92" spans="1:17" s="125" customFormat="1" x14ac:dyDescent="0.25">
      <c r="A92" s="174">
        <f>Données!A92</f>
        <v>5554</v>
      </c>
      <c r="B92" s="325" t="str">
        <f>Données!B92</f>
        <v>Concise</v>
      </c>
      <c r="C92" s="174">
        <f>Données!AR92</f>
        <v>0</v>
      </c>
      <c r="D92" s="326">
        <f>Données!Z92</f>
        <v>1002</v>
      </c>
      <c r="E92" s="127">
        <f>Données!X92</f>
        <v>75</v>
      </c>
      <c r="F92" s="31">
        <f>VPI!L92</f>
        <v>2348372.3000000003</v>
      </c>
      <c r="G92" s="8">
        <f t="shared" si="8"/>
        <v>62623.261333333343</v>
      </c>
      <c r="H92" s="26">
        <f t="shared" si="9"/>
        <v>89493.527488147374</v>
      </c>
      <c r="I92" s="8">
        <f t="shared" si="10"/>
        <v>62623.261333333343</v>
      </c>
      <c r="J92" s="8">
        <f>VPI!R92</f>
        <v>33907.166000000005</v>
      </c>
      <c r="K92" s="221">
        <f t="shared" si="11"/>
        <v>40022.244867871792</v>
      </c>
      <c r="L92" s="315">
        <f t="shared" si="12"/>
        <v>102645.50620120513</v>
      </c>
      <c r="M92" s="128"/>
      <c r="N92" s="129"/>
      <c r="O92" s="126"/>
      <c r="P92" s="126"/>
      <c r="Q92" s="130"/>
    </row>
    <row r="93" spans="1:17" s="125" customFormat="1" x14ac:dyDescent="0.25">
      <c r="A93" s="174">
        <f>Données!A93</f>
        <v>5555</v>
      </c>
      <c r="B93" s="325" t="str">
        <f>Données!B93</f>
        <v>Corcelles-près-Concise</v>
      </c>
      <c r="C93" s="174">
        <f>Données!AR93</f>
        <v>0</v>
      </c>
      <c r="D93" s="326">
        <f>Données!Z93</f>
        <v>412</v>
      </c>
      <c r="E93" s="127">
        <f>Données!X93</f>
        <v>69</v>
      </c>
      <c r="F93" s="31">
        <f>VPI!L93</f>
        <v>825488.06</v>
      </c>
      <c r="G93" s="8">
        <f t="shared" si="8"/>
        <v>23927.190144927539</v>
      </c>
      <c r="H93" s="26">
        <f t="shared" si="9"/>
        <v>36797.737849417877</v>
      </c>
      <c r="I93" s="8">
        <f t="shared" si="10"/>
        <v>23927.190144927539</v>
      </c>
      <c r="J93" s="8">
        <f>VPI!R93</f>
        <v>13425.201594202899</v>
      </c>
      <c r="K93" s="221">
        <f t="shared" si="11"/>
        <v>15846.405612422199</v>
      </c>
      <c r="L93" s="315">
        <f t="shared" si="12"/>
        <v>39773.595757349736</v>
      </c>
      <c r="M93" s="128"/>
      <c r="N93" s="129"/>
      <c r="O93" s="126"/>
      <c r="P93" s="126"/>
      <c r="Q93" s="130"/>
    </row>
    <row r="94" spans="1:17" s="125" customFormat="1" x14ac:dyDescent="0.25">
      <c r="A94" s="174">
        <f>Données!A94</f>
        <v>5556</v>
      </c>
      <c r="B94" s="325" t="str">
        <f>Données!B94</f>
        <v>Fiez</v>
      </c>
      <c r="C94" s="174">
        <f>Données!AR94</f>
        <v>0</v>
      </c>
      <c r="D94" s="326">
        <f>Données!Z94</f>
        <v>436</v>
      </c>
      <c r="E94" s="127">
        <f>Données!X94</f>
        <v>69</v>
      </c>
      <c r="F94" s="31">
        <f>VPI!L94</f>
        <v>839709.89999999991</v>
      </c>
      <c r="G94" s="8">
        <f t="shared" si="8"/>
        <v>24339.417391304345</v>
      </c>
      <c r="H94" s="26">
        <f t="shared" si="9"/>
        <v>38941.295394044166</v>
      </c>
      <c r="I94" s="8">
        <f t="shared" si="10"/>
        <v>24339.417391304345</v>
      </c>
      <c r="J94" s="8">
        <f>VPI!R94</f>
        <v>13304.241787439612</v>
      </c>
      <c r="K94" s="221">
        <f t="shared" si="11"/>
        <v>15703.630984620786</v>
      </c>
      <c r="L94" s="315">
        <f t="shared" si="12"/>
        <v>40043.048375925129</v>
      </c>
      <c r="M94" s="128"/>
      <c r="N94" s="129"/>
      <c r="O94" s="126"/>
      <c r="P94" s="126"/>
      <c r="Q94" s="130"/>
    </row>
    <row r="95" spans="1:17" s="125" customFormat="1" x14ac:dyDescent="0.25">
      <c r="A95" s="174">
        <f>Données!A95</f>
        <v>5557</v>
      </c>
      <c r="B95" s="325" t="str">
        <f>Données!B95</f>
        <v>Fontaines-sur-Grandson</v>
      </c>
      <c r="C95" s="174">
        <f>Données!AR95</f>
        <v>0</v>
      </c>
      <c r="D95" s="326">
        <f>Données!Z95</f>
        <v>214</v>
      </c>
      <c r="E95" s="127">
        <f>Données!X95</f>
        <v>69</v>
      </c>
      <c r="F95" s="31">
        <f>VPI!L95</f>
        <v>312803.83999999997</v>
      </c>
      <c r="G95" s="8">
        <f t="shared" si="8"/>
        <v>9066.7779710144914</v>
      </c>
      <c r="H95" s="26">
        <f t="shared" si="9"/>
        <v>19113.388106251034</v>
      </c>
      <c r="I95" s="8">
        <f t="shared" si="10"/>
        <v>9066.7779710144914</v>
      </c>
      <c r="J95" s="8">
        <f>VPI!R95</f>
        <v>5098.7534782608691</v>
      </c>
      <c r="K95" s="221">
        <f t="shared" si="11"/>
        <v>6018.3018606706764</v>
      </c>
      <c r="L95" s="315">
        <f t="shared" si="12"/>
        <v>15085.079831685169</v>
      </c>
      <c r="M95" s="128"/>
      <c r="N95" s="129"/>
      <c r="O95" s="126"/>
      <c r="P95" s="126"/>
      <c r="Q95" s="130"/>
    </row>
    <row r="96" spans="1:17" s="125" customFormat="1" x14ac:dyDescent="0.25">
      <c r="A96" s="174">
        <f>Données!A96</f>
        <v>5559</v>
      </c>
      <c r="B96" s="325" t="str">
        <f>Données!B96</f>
        <v>Giez</v>
      </c>
      <c r="C96" s="174">
        <f>Données!AR96</f>
        <v>0</v>
      </c>
      <c r="D96" s="326">
        <f>Données!Z96</f>
        <v>450</v>
      </c>
      <c r="E96" s="127">
        <f>Données!X96</f>
        <v>66</v>
      </c>
      <c r="F96" s="31">
        <f>VPI!L96</f>
        <v>1291437.92</v>
      </c>
      <c r="G96" s="8">
        <f t="shared" si="8"/>
        <v>39134.482424242422</v>
      </c>
      <c r="H96" s="26">
        <f t="shared" si="9"/>
        <v>40191.703961742831</v>
      </c>
      <c r="I96" s="8">
        <f t="shared" si="10"/>
        <v>39134.482424242422</v>
      </c>
      <c r="J96" s="8">
        <f>VPI!R96</f>
        <v>21011.030606060605</v>
      </c>
      <c r="K96" s="221">
        <f t="shared" si="11"/>
        <v>24800.321319750114</v>
      </c>
      <c r="L96" s="315">
        <f t="shared" si="12"/>
        <v>63934.803743992539</v>
      </c>
      <c r="M96" s="128"/>
      <c r="N96" s="129"/>
      <c r="O96" s="126"/>
      <c r="P96" s="126"/>
      <c r="Q96" s="130"/>
    </row>
    <row r="97" spans="1:17" s="125" customFormat="1" x14ac:dyDescent="0.25">
      <c r="A97" s="174">
        <f>Données!A97</f>
        <v>5560</v>
      </c>
      <c r="B97" s="325" t="str">
        <f>Données!B97</f>
        <v>Grandevent</v>
      </c>
      <c r="C97" s="174">
        <f>Données!AR97</f>
        <v>0</v>
      </c>
      <c r="D97" s="326">
        <f>Données!Z97</f>
        <v>237</v>
      </c>
      <c r="E97" s="127">
        <f>Données!X97</f>
        <v>71</v>
      </c>
      <c r="F97" s="31">
        <f>VPI!L97</f>
        <v>593639.84000000008</v>
      </c>
      <c r="G97" s="8">
        <f t="shared" si="8"/>
        <v>16722.249014084511</v>
      </c>
      <c r="H97" s="26">
        <f t="shared" si="9"/>
        <v>21167.630753184556</v>
      </c>
      <c r="I97" s="8">
        <f t="shared" si="10"/>
        <v>16722.249014084511</v>
      </c>
      <c r="J97" s="8">
        <f>VPI!R97</f>
        <v>8996.1449295774655</v>
      </c>
      <c r="K97" s="221">
        <f t="shared" si="11"/>
        <v>10618.578834881468</v>
      </c>
      <c r="L97" s="315">
        <f t="shared" si="12"/>
        <v>27340.827848965979</v>
      </c>
      <c r="M97" s="128"/>
      <c r="N97" s="129"/>
      <c r="O97" s="126"/>
      <c r="P97" s="126"/>
      <c r="Q97" s="130"/>
    </row>
    <row r="98" spans="1:17" s="125" customFormat="1" x14ac:dyDescent="0.25">
      <c r="A98" s="174">
        <f>Données!A98</f>
        <v>5561</v>
      </c>
      <c r="B98" s="325" t="str">
        <f>Données!B98</f>
        <v>Grandson</v>
      </c>
      <c r="C98" s="174">
        <f>Données!AR98</f>
        <v>0</v>
      </c>
      <c r="D98" s="326">
        <f>Données!Z98</f>
        <v>3358</v>
      </c>
      <c r="E98" s="127">
        <f>Données!X98</f>
        <v>69</v>
      </c>
      <c r="F98" s="31">
        <f>VPI!L98</f>
        <v>8429084.0799999982</v>
      </c>
      <c r="G98" s="8">
        <f t="shared" si="8"/>
        <v>244321.27768115938</v>
      </c>
      <c r="H98" s="26">
        <f t="shared" si="9"/>
        <v>299919.42645229428</v>
      </c>
      <c r="I98" s="8">
        <f t="shared" si="10"/>
        <v>244321.27768115938</v>
      </c>
      <c r="J98" s="8">
        <f>VPI!R98</f>
        <v>132376.08594202899</v>
      </c>
      <c r="K98" s="221">
        <f t="shared" si="11"/>
        <v>156249.80649289076</v>
      </c>
      <c r="L98" s="315">
        <f t="shared" si="12"/>
        <v>400571.08417405013</v>
      </c>
      <c r="M98" s="128"/>
      <c r="N98" s="129"/>
      <c r="O98" s="126"/>
      <c r="P98" s="126"/>
      <c r="Q98" s="130"/>
    </row>
    <row r="99" spans="1:17" s="125" customFormat="1" x14ac:dyDescent="0.25">
      <c r="A99" s="174">
        <f>Données!A99</f>
        <v>5562</v>
      </c>
      <c r="B99" s="325" t="str">
        <f>Données!B99</f>
        <v>Mauborget</v>
      </c>
      <c r="C99" s="174">
        <f>Données!AR99</f>
        <v>0</v>
      </c>
      <c r="D99" s="326">
        <f>Données!Z99</f>
        <v>138</v>
      </c>
      <c r="E99" s="127">
        <f>Données!X99</f>
        <v>70</v>
      </c>
      <c r="F99" s="31">
        <f>VPI!L99</f>
        <v>290239.32999999996</v>
      </c>
      <c r="G99" s="8">
        <f t="shared" si="8"/>
        <v>8292.5522857142842</v>
      </c>
      <c r="H99" s="26">
        <f t="shared" si="9"/>
        <v>12325.455881601134</v>
      </c>
      <c r="I99" s="8">
        <f t="shared" si="10"/>
        <v>8292.5522857142842</v>
      </c>
      <c r="J99" s="8">
        <f>VPI!R99</f>
        <v>4559.8505476190467</v>
      </c>
      <c r="K99" s="221">
        <f t="shared" si="11"/>
        <v>5382.2090344474309</v>
      </c>
      <c r="L99" s="315">
        <f t="shared" si="12"/>
        <v>13674.761320161715</v>
      </c>
      <c r="M99" s="128"/>
      <c r="N99" s="129"/>
      <c r="O99" s="126"/>
      <c r="P99" s="126"/>
      <c r="Q99" s="130"/>
    </row>
    <row r="100" spans="1:17" s="125" customFormat="1" x14ac:dyDescent="0.25">
      <c r="A100" s="174">
        <f>Données!A100</f>
        <v>5563</v>
      </c>
      <c r="B100" s="325" t="str">
        <f>Données!B100</f>
        <v>Mutrux</v>
      </c>
      <c r="C100" s="174">
        <f>Données!AR100</f>
        <v>0</v>
      </c>
      <c r="D100" s="326">
        <f>Données!Z100</f>
        <v>151</v>
      </c>
      <c r="E100" s="127">
        <f>Données!X100</f>
        <v>80</v>
      </c>
      <c r="F100" s="31">
        <f>VPI!L100</f>
        <v>160100.59</v>
      </c>
      <c r="G100" s="8">
        <f t="shared" si="8"/>
        <v>4002.5147499999998</v>
      </c>
      <c r="H100" s="26">
        <f t="shared" si="9"/>
        <v>13486.549551607039</v>
      </c>
      <c r="I100" s="8">
        <f t="shared" si="10"/>
        <v>4002.5147499999998</v>
      </c>
      <c r="J100" s="8">
        <f>VPI!R100</f>
        <v>2282.08925</v>
      </c>
      <c r="K100" s="221">
        <f t="shared" si="11"/>
        <v>2693.6587615089352</v>
      </c>
      <c r="L100" s="315">
        <f t="shared" si="12"/>
        <v>6696.173511508935</v>
      </c>
      <c r="M100" s="128"/>
      <c r="N100" s="129"/>
      <c r="O100" s="126"/>
      <c r="P100" s="126"/>
      <c r="Q100" s="130"/>
    </row>
    <row r="101" spans="1:17" s="125" customFormat="1" x14ac:dyDescent="0.25">
      <c r="A101" s="174">
        <f>Données!A101</f>
        <v>5564</v>
      </c>
      <c r="B101" s="325" t="str">
        <f>Données!B101</f>
        <v>Novalles</v>
      </c>
      <c r="C101" s="174">
        <f>Données!AR101</f>
        <v>0</v>
      </c>
      <c r="D101" s="326">
        <f>Données!Z101</f>
        <v>99</v>
      </c>
      <c r="E101" s="127">
        <f>Données!X101</f>
        <v>76</v>
      </c>
      <c r="F101" s="31">
        <f>VPI!L101</f>
        <v>179446.25000000003</v>
      </c>
      <c r="G101" s="8">
        <f t="shared" si="8"/>
        <v>4722.2697368421059</v>
      </c>
      <c r="H101" s="26">
        <f t="shared" si="9"/>
        <v>8842.1748715834219</v>
      </c>
      <c r="I101" s="8">
        <f t="shared" si="10"/>
        <v>4722.2697368421059</v>
      </c>
      <c r="J101" s="8">
        <f>VPI!R101</f>
        <v>2548.8725328947371</v>
      </c>
      <c r="K101" s="221">
        <f t="shared" si="11"/>
        <v>3008.5557916726439</v>
      </c>
      <c r="L101" s="315">
        <f t="shared" si="12"/>
        <v>7730.8255285147497</v>
      </c>
      <c r="M101" s="128"/>
      <c r="N101" s="129"/>
      <c r="O101" s="126"/>
      <c r="P101" s="126"/>
      <c r="Q101" s="130"/>
    </row>
    <row r="102" spans="1:17" s="125" customFormat="1" x14ac:dyDescent="0.25">
      <c r="A102" s="174">
        <f>Données!A102</f>
        <v>5565</v>
      </c>
      <c r="B102" s="325" t="str">
        <f>Données!B102</f>
        <v>Onnens</v>
      </c>
      <c r="C102" s="174">
        <f>Données!AR102</f>
        <v>0</v>
      </c>
      <c r="D102" s="326">
        <f>Données!Z102</f>
        <v>496</v>
      </c>
      <c r="E102" s="127">
        <f>Données!X102</f>
        <v>63.5</v>
      </c>
      <c r="F102" s="31">
        <f>VPI!L102</f>
        <v>585481.21</v>
      </c>
      <c r="G102" s="8">
        <f t="shared" si="8"/>
        <v>18440.353070866142</v>
      </c>
      <c r="H102" s="26">
        <f t="shared" si="9"/>
        <v>44300.189255609876</v>
      </c>
      <c r="I102" s="8">
        <f t="shared" si="10"/>
        <v>18440.353070866142</v>
      </c>
      <c r="J102" s="8">
        <f>VPI!R102</f>
        <v>11658.700944881888</v>
      </c>
      <c r="K102" s="221">
        <f t="shared" si="11"/>
        <v>13761.320661754837</v>
      </c>
      <c r="L102" s="315">
        <f t="shared" si="12"/>
        <v>32201.673732620977</v>
      </c>
      <c r="M102" s="128"/>
      <c r="N102" s="129"/>
      <c r="O102" s="126"/>
      <c r="P102" s="126"/>
      <c r="Q102" s="130"/>
    </row>
    <row r="103" spans="1:17" s="125" customFormat="1" x14ac:dyDescent="0.25">
      <c r="A103" s="174">
        <f>Données!A103</f>
        <v>5566</v>
      </c>
      <c r="B103" s="325" t="str">
        <f>Données!B103</f>
        <v>Provence</v>
      </c>
      <c r="C103" s="174">
        <f>Données!AR103</f>
        <v>0</v>
      </c>
      <c r="D103" s="326">
        <f>Données!Z103</f>
        <v>403</v>
      </c>
      <c r="E103" s="127">
        <f>Données!X103</f>
        <v>81</v>
      </c>
      <c r="F103" s="31">
        <f>VPI!L103</f>
        <v>628754.81999999995</v>
      </c>
      <c r="G103" s="8">
        <f t="shared" si="8"/>
        <v>15524.810370370369</v>
      </c>
      <c r="H103" s="26">
        <f t="shared" si="9"/>
        <v>35993.903770183024</v>
      </c>
      <c r="I103" s="8">
        <f t="shared" si="10"/>
        <v>15524.810370370369</v>
      </c>
      <c r="J103" s="8">
        <f>VPI!R103</f>
        <v>8528.9197942386818</v>
      </c>
      <c r="K103" s="221">
        <f t="shared" si="11"/>
        <v>10067.090728356925</v>
      </c>
      <c r="L103" s="315">
        <f t="shared" si="12"/>
        <v>25591.901098727292</v>
      </c>
      <c r="M103" s="128"/>
      <c r="N103" s="129"/>
      <c r="O103" s="126"/>
      <c r="P103" s="126"/>
      <c r="Q103" s="130"/>
    </row>
    <row r="104" spans="1:17" s="125" customFormat="1" x14ac:dyDescent="0.25">
      <c r="A104" s="174">
        <f>Données!A104</f>
        <v>5568</v>
      </c>
      <c r="B104" s="325" t="str">
        <f>Données!B104</f>
        <v>Sainte-Croix</v>
      </c>
      <c r="C104" s="174">
        <f>Données!AR104</f>
        <v>0</v>
      </c>
      <c r="D104" s="326">
        <f>Données!Z104</f>
        <v>4869</v>
      </c>
      <c r="E104" s="127">
        <f>Données!X104</f>
        <v>70</v>
      </c>
      <c r="F104" s="31">
        <f>VPI!L104</f>
        <v>6718328.709999999</v>
      </c>
      <c r="G104" s="8">
        <f t="shared" si="8"/>
        <v>191952.24885714284</v>
      </c>
      <c r="H104" s="26">
        <f t="shared" si="9"/>
        <v>434874.23686605744</v>
      </c>
      <c r="I104" s="8">
        <f t="shared" si="10"/>
        <v>191952.24885714284</v>
      </c>
      <c r="J104" s="8">
        <f>VPI!R104</f>
        <v>106004.96942857141</v>
      </c>
      <c r="K104" s="221">
        <f t="shared" si="11"/>
        <v>125122.72018491749</v>
      </c>
      <c r="L104" s="315">
        <f t="shared" si="12"/>
        <v>317074.96904206031</v>
      </c>
      <c r="M104" s="128"/>
      <c r="N104" s="129"/>
      <c r="O104" s="126"/>
      <c r="P104" s="126"/>
      <c r="Q104" s="130"/>
    </row>
    <row r="105" spans="1:17" s="125" customFormat="1" x14ac:dyDescent="0.25">
      <c r="A105" s="174">
        <f>Données!A105</f>
        <v>5571</v>
      </c>
      <c r="B105" s="325" t="str">
        <f>Données!B105</f>
        <v>Tévenon</v>
      </c>
      <c r="C105" s="174">
        <f>Données!AR105</f>
        <v>0</v>
      </c>
      <c r="D105" s="326">
        <f>Données!Z105</f>
        <v>867</v>
      </c>
      <c r="E105" s="127">
        <f>Données!X105</f>
        <v>71.5</v>
      </c>
      <c r="F105" s="31">
        <f>VPI!L105</f>
        <v>1672752.83</v>
      </c>
      <c r="G105" s="8">
        <f t="shared" si="8"/>
        <v>46790.288951048955</v>
      </c>
      <c r="H105" s="26">
        <f t="shared" si="9"/>
        <v>77436.01629962452</v>
      </c>
      <c r="I105" s="8">
        <f t="shared" si="10"/>
        <v>46790.288951048955</v>
      </c>
      <c r="J105" s="8">
        <f>VPI!R105</f>
        <v>25907.008578088578</v>
      </c>
      <c r="K105" s="221">
        <f t="shared" si="11"/>
        <v>30579.277581214425</v>
      </c>
      <c r="L105" s="315">
        <f t="shared" si="12"/>
        <v>77369.566532263387</v>
      </c>
      <c r="M105" s="128"/>
      <c r="N105" s="129"/>
      <c r="O105" s="126"/>
      <c r="P105" s="126"/>
      <c r="Q105" s="130"/>
    </row>
    <row r="106" spans="1:17" s="125" customFormat="1" x14ac:dyDescent="0.25">
      <c r="A106" s="174">
        <f>Données!A106</f>
        <v>5581</v>
      </c>
      <c r="B106" s="325" t="str">
        <f>Données!B106</f>
        <v>Belmont-sur-Lausanne</v>
      </c>
      <c r="C106" s="174">
        <f>Données!AR106</f>
        <v>1</v>
      </c>
      <c r="D106" s="326">
        <f>Données!Z106</f>
        <v>3835</v>
      </c>
      <c r="E106" s="127">
        <f>Données!X106</f>
        <v>72</v>
      </c>
      <c r="F106" s="31">
        <f>VPI!L106</f>
        <v>15789509.700000001</v>
      </c>
      <c r="G106" s="8">
        <f t="shared" si="8"/>
        <v>438597.4916666667</v>
      </c>
      <c r="H106" s="26">
        <f t="shared" si="9"/>
        <v>342522.63265174167</v>
      </c>
      <c r="I106" s="8">
        <f t="shared" si="10"/>
        <v>0</v>
      </c>
      <c r="J106" s="8">
        <f>VPI!R106</f>
        <v>233670.95416666666</v>
      </c>
      <c r="K106" s="221">
        <f t="shared" si="11"/>
        <v>275812.96962912142</v>
      </c>
      <c r="L106" s="315">
        <f t="shared" si="12"/>
        <v>275812.96962912142</v>
      </c>
      <c r="M106" s="128"/>
      <c r="N106" s="129"/>
      <c r="O106" s="126"/>
      <c r="P106" s="126"/>
      <c r="Q106" s="130"/>
    </row>
    <row r="107" spans="1:17" s="125" customFormat="1" x14ac:dyDescent="0.25">
      <c r="A107" s="174">
        <f>Données!A107</f>
        <v>5582</v>
      </c>
      <c r="B107" s="325" t="str">
        <f>Données!B107</f>
        <v>Cheseaux-sur-Lausanne</v>
      </c>
      <c r="C107" s="174">
        <f>Données!AR107</f>
        <v>0</v>
      </c>
      <c r="D107" s="326">
        <f>Données!Z107</f>
        <v>4525</v>
      </c>
      <c r="E107" s="127">
        <f>Données!X107</f>
        <v>73</v>
      </c>
      <c r="F107" s="31">
        <f>VPI!L107</f>
        <v>11321637.429999998</v>
      </c>
      <c r="G107" s="8">
        <f t="shared" si="8"/>
        <v>310181.84739726019</v>
      </c>
      <c r="H107" s="26">
        <f t="shared" si="9"/>
        <v>404149.91205974738</v>
      </c>
      <c r="I107" s="8">
        <f t="shared" si="10"/>
        <v>310181.84739726019</v>
      </c>
      <c r="J107" s="8">
        <f>VPI!R107</f>
        <v>170428.79082191776</v>
      </c>
      <c r="K107" s="221">
        <f t="shared" si="11"/>
        <v>201165.22857764323</v>
      </c>
      <c r="L107" s="315">
        <f t="shared" si="12"/>
        <v>511347.07597490342</v>
      </c>
      <c r="M107" s="128"/>
      <c r="N107" s="129"/>
      <c r="O107" s="126"/>
      <c r="P107" s="126"/>
      <c r="Q107" s="130"/>
    </row>
    <row r="108" spans="1:17" s="125" customFormat="1" x14ac:dyDescent="0.25">
      <c r="A108" s="174">
        <f>Données!A108</f>
        <v>5583</v>
      </c>
      <c r="B108" s="325" t="str">
        <f>Données!B108</f>
        <v>Crissier</v>
      </c>
      <c r="C108" s="174">
        <f>Données!AR108</f>
        <v>1</v>
      </c>
      <c r="D108" s="326">
        <f>Données!Z108</f>
        <v>9161</v>
      </c>
      <c r="E108" s="127">
        <f>Données!X108</f>
        <v>63.5</v>
      </c>
      <c r="F108" s="31">
        <f>VPI!L108</f>
        <v>18664643.68</v>
      </c>
      <c r="G108" s="8">
        <f t="shared" si="8"/>
        <v>587862.79307086614</v>
      </c>
      <c r="H108" s="26">
        <f t="shared" si="9"/>
        <v>818213.77776339126</v>
      </c>
      <c r="I108" s="8">
        <f t="shared" si="10"/>
        <v>0</v>
      </c>
      <c r="J108" s="8">
        <f>VPI!R108</f>
        <v>340496.54456692917</v>
      </c>
      <c r="K108" s="221">
        <f t="shared" si="11"/>
        <v>401904.30787762854</v>
      </c>
      <c r="L108" s="315">
        <f t="shared" si="12"/>
        <v>401904.30787762854</v>
      </c>
      <c r="M108" s="128"/>
      <c r="N108" s="129"/>
      <c r="O108" s="126"/>
      <c r="P108" s="126"/>
      <c r="Q108" s="130"/>
    </row>
    <row r="109" spans="1:17" s="125" customFormat="1" x14ac:dyDescent="0.25">
      <c r="A109" s="174">
        <f>Données!A109</f>
        <v>5584</v>
      </c>
      <c r="B109" s="325" t="str">
        <f>Données!B109</f>
        <v>Epalinges</v>
      </c>
      <c r="C109" s="174">
        <f>Données!AR109</f>
        <v>0</v>
      </c>
      <c r="D109" s="326">
        <f>Données!Z109</f>
        <v>9825</v>
      </c>
      <c r="E109" s="127">
        <f>Données!X109</f>
        <v>64.5</v>
      </c>
      <c r="F109" s="31">
        <f>VPI!L109</f>
        <v>28818619.050000004</v>
      </c>
      <c r="G109" s="8">
        <f t="shared" si="8"/>
        <v>893600.59069767455</v>
      </c>
      <c r="H109" s="26">
        <f t="shared" si="9"/>
        <v>877518.86983138509</v>
      </c>
      <c r="I109" s="8">
        <f t="shared" si="10"/>
        <v>877518.86983138509</v>
      </c>
      <c r="J109" s="8">
        <f>VPI!R109</f>
        <v>489766.22341085278</v>
      </c>
      <c r="K109" s="221">
        <f t="shared" si="11"/>
        <v>578094.42763107806</v>
      </c>
      <c r="L109" s="315">
        <f t="shared" si="12"/>
        <v>1455613.2974624631</v>
      </c>
      <c r="M109" s="128"/>
      <c r="N109" s="129"/>
      <c r="O109" s="126"/>
      <c r="P109" s="126"/>
      <c r="Q109" s="130"/>
    </row>
    <row r="110" spans="1:17" s="125" customFormat="1" x14ac:dyDescent="0.25">
      <c r="A110" s="174">
        <f>Données!A110</f>
        <v>5585</v>
      </c>
      <c r="B110" s="325" t="str">
        <f>Données!B110</f>
        <v>Jouxtens-Mézery</v>
      </c>
      <c r="C110" s="174">
        <f>Données!AR110</f>
        <v>0</v>
      </c>
      <c r="D110" s="326">
        <f>Données!Z110</f>
        <v>1468</v>
      </c>
      <c r="E110" s="127">
        <f>Données!X110</f>
        <v>59</v>
      </c>
      <c r="F110" s="31">
        <f>VPI!L110</f>
        <v>14324878.479999997</v>
      </c>
      <c r="G110" s="8">
        <f t="shared" si="8"/>
        <v>485589.10101694905</v>
      </c>
      <c r="H110" s="26">
        <f t="shared" si="9"/>
        <v>131114.26981297438</v>
      </c>
      <c r="I110" s="8">
        <f t="shared" si="10"/>
        <v>131114.26981297438</v>
      </c>
      <c r="J110" s="8">
        <f>VPI!R110</f>
        <v>252946.52254237281</v>
      </c>
      <c r="K110" s="221">
        <f t="shared" si="11"/>
        <v>298564.84212415438</v>
      </c>
      <c r="L110" s="315">
        <f t="shared" si="12"/>
        <v>429679.11193712876</v>
      </c>
      <c r="M110" s="128"/>
      <c r="N110" s="129"/>
      <c r="O110" s="126"/>
      <c r="P110" s="126"/>
      <c r="Q110" s="130"/>
    </row>
    <row r="111" spans="1:17" s="125" customFormat="1" x14ac:dyDescent="0.25">
      <c r="A111" s="174">
        <f>Données!A111</f>
        <v>5586</v>
      </c>
      <c r="B111" s="325" t="str">
        <f>Données!B111</f>
        <v>Lausanne</v>
      </c>
      <c r="C111" s="174">
        <f>Données!AR111</f>
        <v>1</v>
      </c>
      <c r="D111" s="326">
        <f>Données!Z111</f>
        <v>141513</v>
      </c>
      <c r="E111" s="127">
        <f>Données!X111</f>
        <v>78.5</v>
      </c>
      <c r="F111" s="31">
        <f>VPI!L111</f>
        <v>485663379.07999992</v>
      </c>
      <c r="G111" s="8">
        <f t="shared" si="8"/>
        <v>12373589.275923565</v>
      </c>
      <c r="H111" s="26">
        <f t="shared" si="9"/>
        <v>12639219.117195807</v>
      </c>
      <c r="I111" s="8">
        <f t="shared" si="10"/>
        <v>0</v>
      </c>
      <c r="J111" s="8">
        <f>VPI!R111</f>
        <v>6671978.8432696378</v>
      </c>
      <c r="K111" s="221">
        <f t="shared" si="11"/>
        <v>7875254.7770756604</v>
      </c>
      <c r="L111" s="315">
        <f t="shared" si="12"/>
        <v>7875254.7770756604</v>
      </c>
      <c r="M111" s="128"/>
      <c r="N111" s="129"/>
      <c r="O111" s="126"/>
      <c r="P111" s="126"/>
      <c r="Q111" s="130"/>
    </row>
    <row r="112" spans="1:17" s="125" customFormat="1" x14ac:dyDescent="0.25">
      <c r="A112" s="174">
        <f>Données!A112</f>
        <v>5587</v>
      </c>
      <c r="B112" s="325" t="str">
        <f>Données!B112</f>
        <v>Le Mont-sur-Lausanne</v>
      </c>
      <c r="C112" s="174">
        <f>Données!AR112</f>
        <v>0</v>
      </c>
      <c r="D112" s="326">
        <f>Données!Z112</f>
        <v>9297</v>
      </c>
      <c r="E112" s="127">
        <f>Données!X112</f>
        <v>73.5</v>
      </c>
      <c r="F112" s="31">
        <f>VPI!L112</f>
        <v>32383889.279999994</v>
      </c>
      <c r="G112" s="8">
        <f t="shared" si="8"/>
        <v>881194.26612244884</v>
      </c>
      <c r="H112" s="26">
        <f t="shared" si="9"/>
        <v>830360.60384960694</v>
      </c>
      <c r="I112" s="8">
        <f t="shared" si="10"/>
        <v>830360.60384960694</v>
      </c>
      <c r="J112" s="8">
        <f>VPI!R112</f>
        <v>484050.33068027202</v>
      </c>
      <c r="K112" s="221">
        <f t="shared" si="11"/>
        <v>571347.68688306655</v>
      </c>
      <c r="L112" s="315">
        <f t="shared" si="12"/>
        <v>1401708.2907326734</v>
      </c>
      <c r="M112" s="128"/>
      <c r="N112" s="129"/>
      <c r="O112" s="126"/>
      <c r="P112" s="126"/>
      <c r="Q112" s="130"/>
    </row>
    <row r="113" spans="1:17" s="125" customFormat="1" x14ac:dyDescent="0.25">
      <c r="A113" s="174">
        <f>Données!A113</f>
        <v>5588</v>
      </c>
      <c r="B113" s="325" t="str">
        <f>Données!B113</f>
        <v>Paudex</v>
      </c>
      <c r="C113" s="174">
        <f>Données!AR113</f>
        <v>1</v>
      </c>
      <c r="D113" s="326">
        <f>Données!Z113</f>
        <v>1550</v>
      </c>
      <c r="E113" s="127">
        <f>Données!X113</f>
        <v>66.5</v>
      </c>
      <c r="F113" s="31">
        <f>VPI!L113</f>
        <v>8536499.4699999988</v>
      </c>
      <c r="G113" s="8">
        <f t="shared" si="8"/>
        <v>256736.82616541348</v>
      </c>
      <c r="H113" s="26">
        <f t="shared" si="9"/>
        <v>138438.09142378086</v>
      </c>
      <c r="I113" s="8">
        <f t="shared" si="10"/>
        <v>0</v>
      </c>
      <c r="J113" s="8">
        <f>VPI!R113</f>
        <v>137556.51114930178</v>
      </c>
      <c r="K113" s="221">
        <f t="shared" si="11"/>
        <v>162364.50938977004</v>
      </c>
      <c r="L113" s="315">
        <f t="shared" si="12"/>
        <v>162364.50938977004</v>
      </c>
      <c r="M113" s="128"/>
      <c r="N113" s="129"/>
      <c r="O113" s="126"/>
      <c r="P113" s="126"/>
      <c r="Q113" s="130"/>
    </row>
    <row r="114" spans="1:17" s="125" customFormat="1" x14ac:dyDescent="0.25">
      <c r="A114" s="174">
        <f>Données!A114</f>
        <v>5589</v>
      </c>
      <c r="B114" s="325" t="str">
        <f>Données!B114</f>
        <v>Prilly</v>
      </c>
      <c r="C114" s="174">
        <f>Données!AR114</f>
        <v>1</v>
      </c>
      <c r="D114" s="326">
        <f>Données!Z114</f>
        <v>12318</v>
      </c>
      <c r="E114" s="127">
        <f>Données!X114</f>
        <v>72.5</v>
      </c>
      <c r="F114" s="31">
        <f>VPI!L114</f>
        <v>26484693.790000003</v>
      </c>
      <c r="G114" s="8">
        <f t="shared" si="8"/>
        <v>730612.24248275871</v>
      </c>
      <c r="H114" s="26">
        <f t="shared" si="9"/>
        <v>1100180.9097794404</v>
      </c>
      <c r="I114" s="8">
        <f t="shared" si="10"/>
        <v>0</v>
      </c>
      <c r="J114" s="8">
        <f>VPI!R114</f>
        <v>404219.10002122016</v>
      </c>
      <c r="K114" s="221">
        <f t="shared" si="11"/>
        <v>477119.07864314085</v>
      </c>
      <c r="L114" s="315">
        <f t="shared" si="12"/>
        <v>477119.07864314085</v>
      </c>
      <c r="M114" s="128"/>
      <c r="N114" s="129"/>
      <c r="O114" s="126"/>
      <c r="P114" s="126"/>
      <c r="Q114" s="130"/>
    </row>
    <row r="115" spans="1:17" s="125" customFormat="1" x14ac:dyDescent="0.25">
      <c r="A115" s="174">
        <f>Données!A115</f>
        <v>5590</v>
      </c>
      <c r="B115" s="325" t="str">
        <f>Données!B115</f>
        <v>Pully</v>
      </c>
      <c r="C115" s="174">
        <f>Données!AR115</f>
        <v>1</v>
      </c>
      <c r="D115" s="326">
        <f>Données!Z115</f>
        <v>19005</v>
      </c>
      <c r="E115" s="127">
        <f>Données!X115</f>
        <v>61</v>
      </c>
      <c r="F115" s="31">
        <f>VPI!L115</f>
        <v>79308782.810000002</v>
      </c>
      <c r="G115" s="8">
        <f t="shared" si="8"/>
        <v>2600287.9609836065</v>
      </c>
      <c r="H115" s="26">
        <f t="shared" si="9"/>
        <v>1697429.630650939</v>
      </c>
      <c r="I115" s="8">
        <f t="shared" si="10"/>
        <v>0</v>
      </c>
      <c r="J115" s="8">
        <f>VPI!R115</f>
        <v>1396472.1616393442</v>
      </c>
      <c r="K115" s="221">
        <f t="shared" si="11"/>
        <v>1648322.6821225951</v>
      </c>
      <c r="L115" s="315">
        <f t="shared" si="12"/>
        <v>1648322.6821225951</v>
      </c>
      <c r="M115" s="128"/>
      <c r="N115" s="129"/>
      <c r="O115" s="126"/>
      <c r="P115" s="126"/>
      <c r="Q115" s="130"/>
    </row>
    <row r="116" spans="1:17" s="125" customFormat="1" x14ac:dyDescent="0.25">
      <c r="A116" s="174">
        <f>Données!A116</f>
        <v>5591</v>
      </c>
      <c r="B116" s="325" t="str">
        <f>Données!B116</f>
        <v>Renens</v>
      </c>
      <c r="C116" s="174">
        <f>Données!AR116</f>
        <v>1</v>
      </c>
      <c r="D116" s="326">
        <f>Données!Z116</f>
        <v>21116</v>
      </c>
      <c r="E116" s="127">
        <f>Données!X116</f>
        <v>77</v>
      </c>
      <c r="F116" s="31">
        <f>VPI!L116</f>
        <v>40740755.189999998</v>
      </c>
      <c r="G116" s="8">
        <f t="shared" si="8"/>
        <v>1058201.4335064935</v>
      </c>
      <c r="H116" s="26">
        <f t="shared" si="9"/>
        <v>1885973.379680359</v>
      </c>
      <c r="I116" s="8">
        <f t="shared" si="10"/>
        <v>0</v>
      </c>
      <c r="J116" s="8">
        <f>VPI!R116</f>
        <v>592907.73419294995</v>
      </c>
      <c r="K116" s="221">
        <f t="shared" si="11"/>
        <v>699837.27103365946</v>
      </c>
      <c r="L116" s="315">
        <f t="shared" si="12"/>
        <v>699837.27103365946</v>
      </c>
      <c r="M116" s="128"/>
      <c r="N116" s="129"/>
      <c r="O116" s="126"/>
      <c r="P116" s="126"/>
      <c r="Q116" s="130"/>
    </row>
    <row r="117" spans="1:17" s="125" customFormat="1" x14ac:dyDescent="0.25">
      <c r="A117" s="174">
        <f>Données!A117</f>
        <v>5592</v>
      </c>
      <c r="B117" s="325" t="str">
        <f>Données!B117</f>
        <v>Romanel-sur-Lausanne</v>
      </c>
      <c r="C117" s="174">
        <f>Données!AR117</f>
        <v>0</v>
      </c>
      <c r="D117" s="326">
        <f>Données!Z117</f>
        <v>3798</v>
      </c>
      <c r="E117" s="127">
        <f>Données!X117</f>
        <v>70.5</v>
      </c>
      <c r="F117" s="31">
        <f>VPI!L117</f>
        <v>7031394.7799999993</v>
      </c>
      <c r="G117" s="8">
        <f t="shared" si="8"/>
        <v>199472.19234042551</v>
      </c>
      <c r="H117" s="26">
        <f t="shared" si="9"/>
        <v>339217.98143710947</v>
      </c>
      <c r="I117" s="8">
        <f t="shared" si="10"/>
        <v>199472.19234042551</v>
      </c>
      <c r="J117" s="8">
        <f>VPI!R117</f>
        <v>113604.64354609928</v>
      </c>
      <c r="K117" s="221">
        <f t="shared" si="11"/>
        <v>134092.97793066149</v>
      </c>
      <c r="L117" s="315">
        <f t="shared" si="12"/>
        <v>333565.17027108697</v>
      </c>
      <c r="M117" s="128"/>
      <c r="N117" s="129"/>
      <c r="O117" s="126"/>
      <c r="P117" s="126"/>
      <c r="Q117" s="130"/>
    </row>
    <row r="118" spans="1:17" s="125" customFormat="1" x14ac:dyDescent="0.25">
      <c r="A118" s="174">
        <f>Données!A118</f>
        <v>5601</v>
      </c>
      <c r="B118" s="325" t="str">
        <f>Données!B118</f>
        <v>Chexbres</v>
      </c>
      <c r="C118" s="174">
        <f>Données!AR118</f>
        <v>1</v>
      </c>
      <c r="D118" s="326">
        <f>Données!Z118</f>
        <v>2204</v>
      </c>
      <c r="E118" s="127">
        <f>Données!X118</f>
        <v>67.5</v>
      </c>
      <c r="F118" s="31">
        <f>VPI!L118</f>
        <v>6597323.7700000005</v>
      </c>
      <c r="G118" s="8">
        <f t="shared" si="8"/>
        <v>195476.25985185188</v>
      </c>
      <c r="H118" s="26">
        <f t="shared" si="9"/>
        <v>196850.0345148471</v>
      </c>
      <c r="I118" s="8">
        <f t="shared" si="10"/>
        <v>0</v>
      </c>
      <c r="J118" s="8">
        <f>VPI!R118</f>
        <v>106015.29511111112</v>
      </c>
      <c r="K118" s="221">
        <f t="shared" si="11"/>
        <v>125134.90808039161</v>
      </c>
      <c r="L118" s="315">
        <f t="shared" si="12"/>
        <v>125134.90808039161</v>
      </c>
      <c r="M118" s="128"/>
      <c r="N118" s="129"/>
      <c r="O118" s="126"/>
      <c r="P118" s="126"/>
      <c r="Q118" s="130"/>
    </row>
    <row r="119" spans="1:17" s="125" customFormat="1" x14ac:dyDescent="0.25">
      <c r="A119" s="174">
        <f>Données!A119</f>
        <v>5604</v>
      </c>
      <c r="B119" s="325" t="str">
        <f>Données!B119</f>
        <v>Forel (Lavaux)</v>
      </c>
      <c r="C119" s="174">
        <f>Données!AR119</f>
        <v>0</v>
      </c>
      <c r="D119" s="326">
        <f>Données!Z119</f>
        <v>2067</v>
      </c>
      <c r="E119" s="127">
        <f>Données!X119</f>
        <v>69</v>
      </c>
      <c r="F119" s="31">
        <f>VPI!L119</f>
        <v>4444689.6500000004</v>
      </c>
      <c r="G119" s="8">
        <f t="shared" si="8"/>
        <v>128831.58405797102</v>
      </c>
      <c r="H119" s="26">
        <f t="shared" si="9"/>
        <v>184613.89353093875</v>
      </c>
      <c r="I119" s="8">
        <f t="shared" si="10"/>
        <v>128831.58405797102</v>
      </c>
      <c r="J119" s="8">
        <f>VPI!R119</f>
        <v>70961.315942029003</v>
      </c>
      <c r="K119" s="221">
        <f t="shared" si="11"/>
        <v>83759.024944116492</v>
      </c>
      <c r="L119" s="315">
        <f t="shared" si="12"/>
        <v>212590.6090020875</v>
      </c>
      <c r="M119" s="128"/>
      <c r="N119" s="129"/>
      <c r="O119" s="126"/>
      <c r="P119" s="126"/>
      <c r="Q119" s="130"/>
    </row>
    <row r="120" spans="1:17" s="125" customFormat="1" x14ac:dyDescent="0.25">
      <c r="A120" s="174">
        <f>Données!A120</f>
        <v>5606</v>
      </c>
      <c r="B120" s="325" t="str">
        <f>Données!B120</f>
        <v>Lutry</v>
      </c>
      <c r="C120" s="174">
        <f>Données!AR120</f>
        <v>1</v>
      </c>
      <c r="D120" s="326">
        <f>Données!Z120</f>
        <v>10713</v>
      </c>
      <c r="E120" s="127">
        <f>Données!X120</f>
        <v>54</v>
      </c>
      <c r="F120" s="31">
        <f>VPI!L120</f>
        <v>61851804.209999993</v>
      </c>
      <c r="G120" s="8">
        <f t="shared" si="8"/>
        <v>2290807.563333333</v>
      </c>
      <c r="H120" s="26">
        <f t="shared" si="9"/>
        <v>956830.49898255768</v>
      </c>
      <c r="I120" s="8">
        <f t="shared" si="10"/>
        <v>0</v>
      </c>
      <c r="J120" s="8">
        <f>VPI!R120</f>
        <v>1212171.2253174603</v>
      </c>
      <c r="K120" s="221">
        <f t="shared" si="11"/>
        <v>1430783.4987283684</v>
      </c>
      <c r="L120" s="315">
        <f t="shared" si="12"/>
        <v>1430783.4987283684</v>
      </c>
      <c r="M120" s="128"/>
      <c r="N120" s="129"/>
      <c r="O120" s="126"/>
      <c r="P120" s="126"/>
      <c r="Q120" s="130"/>
    </row>
    <row r="121" spans="1:17" s="125" customFormat="1" x14ac:dyDescent="0.25">
      <c r="A121" s="174">
        <f>Données!A121</f>
        <v>5607</v>
      </c>
      <c r="B121" s="325" t="str">
        <f>Données!B121</f>
        <v>Puidoux</v>
      </c>
      <c r="C121" s="174">
        <f>Données!AR121</f>
        <v>1</v>
      </c>
      <c r="D121" s="326">
        <f>Données!Z121</f>
        <v>2991</v>
      </c>
      <c r="E121" s="127">
        <f>Données!X121</f>
        <v>68.5</v>
      </c>
      <c r="F121" s="31">
        <f>VPI!L121</f>
        <v>7252726.4299999997</v>
      </c>
      <c r="G121" s="8">
        <f t="shared" si="8"/>
        <v>211758.43591240875</v>
      </c>
      <c r="H121" s="26">
        <f t="shared" si="9"/>
        <v>267140.85899905069</v>
      </c>
      <c r="I121" s="8">
        <f t="shared" si="10"/>
        <v>0</v>
      </c>
      <c r="J121" s="8">
        <f>VPI!R121</f>
        <v>117496.04099650904</v>
      </c>
      <c r="K121" s="221">
        <f t="shared" si="11"/>
        <v>138686.17989978247</v>
      </c>
      <c r="L121" s="315">
        <f t="shared" si="12"/>
        <v>138686.17989978247</v>
      </c>
      <c r="M121" s="128"/>
      <c r="N121" s="129"/>
      <c r="O121" s="126"/>
      <c r="P121" s="126"/>
      <c r="Q121" s="130"/>
    </row>
    <row r="122" spans="1:17" s="125" customFormat="1" x14ac:dyDescent="0.25">
      <c r="A122" s="174">
        <f>Données!A122</f>
        <v>5609</v>
      </c>
      <c r="B122" s="325" t="str">
        <f>Données!B122</f>
        <v>Rivaz</v>
      </c>
      <c r="C122" s="174">
        <f>Données!AR122</f>
        <v>1</v>
      </c>
      <c r="D122" s="326">
        <f>Données!Z122</f>
        <v>332</v>
      </c>
      <c r="E122" s="127">
        <f>Données!X122</f>
        <v>62</v>
      </c>
      <c r="F122" s="31">
        <f>VPI!L122</f>
        <v>863664.20000000007</v>
      </c>
      <c r="G122" s="8">
        <f t="shared" si="8"/>
        <v>27860.13548387097</v>
      </c>
      <c r="H122" s="26">
        <f t="shared" si="9"/>
        <v>29652.546033996932</v>
      </c>
      <c r="I122" s="8">
        <f t="shared" si="10"/>
        <v>0</v>
      </c>
      <c r="J122" s="8">
        <f>VPI!R122</f>
        <v>14930.201612903227</v>
      </c>
      <c r="K122" s="221">
        <f t="shared" si="11"/>
        <v>17622.828899304273</v>
      </c>
      <c r="L122" s="315">
        <f t="shared" si="12"/>
        <v>17622.828899304273</v>
      </c>
      <c r="M122" s="128"/>
      <c r="N122" s="129"/>
      <c r="O122" s="126"/>
      <c r="P122" s="126"/>
      <c r="Q122" s="130"/>
    </row>
    <row r="123" spans="1:17" s="125" customFormat="1" x14ac:dyDescent="0.25">
      <c r="A123" s="174">
        <f>Données!A123</f>
        <v>5610</v>
      </c>
      <c r="B123" s="325" t="str">
        <f>Données!B123</f>
        <v>St-Saphorin (Lavaux)</v>
      </c>
      <c r="C123" s="174">
        <f>Données!AR123</f>
        <v>1</v>
      </c>
      <c r="D123" s="326">
        <f>Données!Z123</f>
        <v>402</v>
      </c>
      <c r="E123" s="127">
        <f>Données!X123</f>
        <v>72</v>
      </c>
      <c r="F123" s="31">
        <f>VPI!L123</f>
        <v>1423771.45</v>
      </c>
      <c r="G123" s="8">
        <f t="shared" si="8"/>
        <v>39549.206944444442</v>
      </c>
      <c r="H123" s="26">
        <f t="shared" si="9"/>
        <v>35904.588872490262</v>
      </c>
      <c r="I123" s="8">
        <f t="shared" si="10"/>
        <v>0</v>
      </c>
      <c r="J123" s="8">
        <f>VPI!R123</f>
        <v>21326.679629629627</v>
      </c>
      <c r="K123" s="221">
        <f t="shared" si="11"/>
        <v>25172.896913758294</v>
      </c>
      <c r="L123" s="315">
        <f t="shared" si="12"/>
        <v>25172.896913758294</v>
      </c>
      <c r="M123" s="128"/>
      <c r="N123" s="129"/>
      <c r="O123" s="126"/>
      <c r="P123" s="126"/>
      <c r="Q123" s="130"/>
    </row>
    <row r="124" spans="1:17" s="125" customFormat="1" x14ac:dyDescent="0.25">
      <c r="A124" s="174">
        <f>Données!A124</f>
        <v>5611</v>
      </c>
      <c r="B124" s="325" t="str">
        <f>Données!B124</f>
        <v>Savigny</v>
      </c>
      <c r="C124" s="174">
        <f>Données!AR124</f>
        <v>1</v>
      </c>
      <c r="D124" s="326">
        <f>Données!Z124</f>
        <v>3421</v>
      </c>
      <c r="E124" s="127">
        <f>Données!X124</f>
        <v>69</v>
      </c>
      <c r="F124" s="31">
        <f>VPI!L124</f>
        <v>8947359.5299999993</v>
      </c>
      <c r="G124" s="8">
        <f t="shared" si="8"/>
        <v>259343.75449275359</v>
      </c>
      <c r="H124" s="26">
        <f t="shared" si="9"/>
        <v>305546.26500693825</v>
      </c>
      <c r="I124" s="8">
        <f t="shared" si="10"/>
        <v>0</v>
      </c>
      <c r="J124" s="8">
        <f>VPI!R124</f>
        <v>139629.67036231884</v>
      </c>
      <c r="K124" s="221">
        <f t="shared" si="11"/>
        <v>164811.5580659541</v>
      </c>
      <c r="L124" s="315">
        <f t="shared" si="12"/>
        <v>164811.5580659541</v>
      </c>
      <c r="M124" s="128"/>
      <c r="N124" s="129"/>
      <c r="O124" s="126"/>
      <c r="P124" s="126"/>
      <c r="Q124" s="130"/>
    </row>
    <row r="125" spans="1:17" s="125" customFormat="1" x14ac:dyDescent="0.25">
      <c r="A125" s="174">
        <f>Données!A125</f>
        <v>5613</v>
      </c>
      <c r="B125" s="325" t="str">
        <f>Données!B125</f>
        <v>Bourg-en-Lavaux</v>
      </c>
      <c r="C125" s="174">
        <f>Données!AR125</f>
        <v>1</v>
      </c>
      <c r="D125" s="326">
        <f>Données!Z125</f>
        <v>5389</v>
      </c>
      <c r="E125" s="127">
        <f>Données!X125</f>
        <v>62.5</v>
      </c>
      <c r="F125" s="31">
        <f>VPI!L125</f>
        <v>21313592.370000005</v>
      </c>
      <c r="G125" s="8">
        <f t="shared" si="8"/>
        <v>682034.95584000018</v>
      </c>
      <c r="H125" s="26">
        <f t="shared" si="9"/>
        <v>481317.98366629361</v>
      </c>
      <c r="I125" s="8">
        <f t="shared" si="10"/>
        <v>0</v>
      </c>
      <c r="J125" s="8">
        <f>VPI!R125</f>
        <v>367206.35685333336</v>
      </c>
      <c r="K125" s="221">
        <f t="shared" si="11"/>
        <v>433431.17295686749</v>
      </c>
      <c r="L125" s="315">
        <f t="shared" si="12"/>
        <v>433431.17295686749</v>
      </c>
      <c r="M125" s="128"/>
      <c r="N125" s="129"/>
      <c r="O125" s="126"/>
      <c r="P125" s="126"/>
      <c r="Q125" s="130"/>
    </row>
    <row r="126" spans="1:17" s="125" customFormat="1" x14ac:dyDescent="0.25">
      <c r="A126" s="174">
        <f>Données!A126</f>
        <v>5621</v>
      </c>
      <c r="B126" s="325" t="str">
        <f>Données!B126</f>
        <v>Aclens</v>
      </c>
      <c r="C126" s="174">
        <f>Données!AR126</f>
        <v>0</v>
      </c>
      <c r="D126" s="326">
        <f>Données!Z126</f>
        <v>557</v>
      </c>
      <c r="E126" s="127">
        <f>Données!X126</f>
        <v>62</v>
      </c>
      <c r="F126" s="31">
        <f>VPI!L126</f>
        <v>2091524.31</v>
      </c>
      <c r="G126" s="8">
        <f t="shared" si="8"/>
        <v>67468.526129032267</v>
      </c>
      <c r="H126" s="26">
        <f t="shared" si="9"/>
        <v>49748.398014868348</v>
      </c>
      <c r="I126" s="8">
        <f t="shared" si="10"/>
        <v>49748.398014868348</v>
      </c>
      <c r="J126" s="8">
        <f>VPI!R126</f>
        <v>39203.094076246336</v>
      </c>
      <c r="K126" s="221">
        <f t="shared" si="11"/>
        <v>46273.281308669233</v>
      </c>
      <c r="L126" s="315">
        <f t="shared" si="12"/>
        <v>96021.679323537581</v>
      </c>
      <c r="M126" s="128"/>
      <c r="N126" s="129"/>
      <c r="O126" s="126"/>
      <c r="P126" s="126"/>
      <c r="Q126" s="130"/>
    </row>
    <row r="127" spans="1:17" s="125" customFormat="1" x14ac:dyDescent="0.25">
      <c r="A127" s="174">
        <f>Données!A127</f>
        <v>5622</v>
      </c>
      <c r="B127" s="325" t="str">
        <f>Données!B127</f>
        <v>Bremblens</v>
      </c>
      <c r="C127" s="174">
        <f>Données!AR127</f>
        <v>0</v>
      </c>
      <c r="D127" s="326">
        <f>Données!Z127</f>
        <v>604</v>
      </c>
      <c r="E127" s="127">
        <f>Données!X127</f>
        <v>68</v>
      </c>
      <c r="F127" s="31">
        <f>VPI!L127</f>
        <v>1943785.1900000002</v>
      </c>
      <c r="G127" s="8">
        <f t="shared" si="8"/>
        <v>57170.152647058829</v>
      </c>
      <c r="H127" s="26">
        <f t="shared" si="9"/>
        <v>53946.198206428155</v>
      </c>
      <c r="I127" s="8">
        <f t="shared" si="10"/>
        <v>53946.198206428155</v>
      </c>
      <c r="J127" s="8">
        <f>VPI!R127</f>
        <v>30852.761617647058</v>
      </c>
      <c r="K127" s="221">
        <f t="shared" si="11"/>
        <v>36416.985728372187</v>
      </c>
      <c r="L127" s="315">
        <f t="shared" si="12"/>
        <v>90363.183934800341</v>
      </c>
      <c r="M127" s="128"/>
      <c r="N127" s="129"/>
      <c r="O127" s="126"/>
      <c r="P127" s="126"/>
      <c r="Q127" s="130"/>
    </row>
    <row r="128" spans="1:17" s="125" customFormat="1" x14ac:dyDescent="0.25">
      <c r="A128" s="174">
        <f>Données!A128</f>
        <v>5623</v>
      </c>
      <c r="B128" s="325" t="str">
        <f>Données!B128</f>
        <v>Buchillon</v>
      </c>
      <c r="C128" s="174">
        <f>Données!AR128</f>
        <v>1</v>
      </c>
      <c r="D128" s="326">
        <f>Données!Z128</f>
        <v>670</v>
      </c>
      <c r="E128" s="127">
        <f>Données!X128</f>
        <v>52</v>
      </c>
      <c r="F128" s="31">
        <f>VPI!L128</f>
        <v>4226133.99</v>
      </c>
      <c r="G128" s="8">
        <f t="shared" si="8"/>
        <v>162543.61500000002</v>
      </c>
      <c r="H128" s="26">
        <f t="shared" si="9"/>
        <v>59840.981454150438</v>
      </c>
      <c r="I128" s="8">
        <f t="shared" si="10"/>
        <v>0</v>
      </c>
      <c r="J128" s="8">
        <f>VPI!R128</f>
        <v>88403.083461538452</v>
      </c>
      <c r="K128" s="221">
        <f t="shared" si="11"/>
        <v>104346.37484514626</v>
      </c>
      <c r="L128" s="315">
        <f t="shared" si="12"/>
        <v>104346.37484514626</v>
      </c>
      <c r="M128" s="128"/>
      <c r="N128" s="129"/>
      <c r="O128" s="126"/>
      <c r="P128" s="126"/>
      <c r="Q128" s="130"/>
    </row>
    <row r="129" spans="1:17" s="125" customFormat="1" x14ac:dyDescent="0.25">
      <c r="A129" s="174">
        <f>Données!A129</f>
        <v>5624</v>
      </c>
      <c r="B129" s="325" t="str">
        <f>Données!B129</f>
        <v>Bussigny</v>
      </c>
      <c r="C129" s="174">
        <f>Données!AR129</f>
        <v>1</v>
      </c>
      <c r="D129" s="326">
        <f>Données!Z129</f>
        <v>10392</v>
      </c>
      <c r="E129" s="127">
        <f>Données!X129</f>
        <v>62.5</v>
      </c>
      <c r="F129" s="31">
        <f>VPI!L129</f>
        <v>29616571.869999997</v>
      </c>
      <c r="G129" s="8">
        <f t="shared" si="8"/>
        <v>947730.29983999988</v>
      </c>
      <c r="H129" s="26">
        <f t="shared" si="9"/>
        <v>928160.41682318109</v>
      </c>
      <c r="I129" s="8">
        <f t="shared" si="10"/>
        <v>0</v>
      </c>
      <c r="J129" s="8">
        <f>VPI!R129</f>
        <v>522420.75055999996</v>
      </c>
      <c r="K129" s="221">
        <f t="shared" si="11"/>
        <v>616638.12313213339</v>
      </c>
      <c r="L129" s="315">
        <f t="shared" si="12"/>
        <v>616638.12313213339</v>
      </c>
      <c r="M129" s="128"/>
      <c r="N129" s="129"/>
      <c r="O129" s="126"/>
      <c r="P129" s="126"/>
      <c r="Q129" s="130"/>
    </row>
    <row r="130" spans="1:17" s="125" customFormat="1" x14ac:dyDescent="0.25">
      <c r="A130" s="174">
        <f>Données!A130</f>
        <v>5627</v>
      </c>
      <c r="B130" s="325" t="str">
        <f>Données!B130</f>
        <v>Chavannes-près-Renens</v>
      </c>
      <c r="C130" s="174">
        <f>Données!AR130</f>
        <v>1</v>
      </c>
      <c r="D130" s="326">
        <f>Données!Z130</f>
        <v>8725</v>
      </c>
      <c r="E130" s="127">
        <f>Données!X130</f>
        <v>77.5</v>
      </c>
      <c r="F130" s="31">
        <f>VPI!L130</f>
        <v>13126371.49</v>
      </c>
      <c r="G130" s="8">
        <f t="shared" si="8"/>
        <v>338745.07070967741</v>
      </c>
      <c r="H130" s="26">
        <f t="shared" si="9"/>
        <v>779272.48236934713</v>
      </c>
      <c r="I130" s="8">
        <f t="shared" si="10"/>
        <v>0</v>
      </c>
      <c r="J130" s="8">
        <f>VPI!R130</f>
        <v>188690.75535483871</v>
      </c>
      <c r="K130" s="221">
        <f t="shared" si="11"/>
        <v>222720.69612408907</v>
      </c>
      <c r="L130" s="315">
        <f t="shared" si="12"/>
        <v>222720.69612408907</v>
      </c>
      <c r="M130" s="128"/>
      <c r="N130" s="129"/>
      <c r="O130" s="126"/>
      <c r="P130" s="126"/>
      <c r="Q130" s="130"/>
    </row>
    <row r="131" spans="1:17" s="125" customFormat="1" x14ac:dyDescent="0.25">
      <c r="A131" s="174">
        <f>Données!A131</f>
        <v>5628</v>
      </c>
      <c r="B131" s="325" t="str">
        <f>Données!B131</f>
        <v>Chigny</v>
      </c>
      <c r="C131" s="174">
        <f>Données!AR131</f>
        <v>0</v>
      </c>
      <c r="D131" s="326">
        <f>Données!Z131</f>
        <v>419</v>
      </c>
      <c r="E131" s="127">
        <f>Données!X131</f>
        <v>62</v>
      </c>
      <c r="F131" s="31">
        <f>VPI!L131</f>
        <v>1601758.51</v>
      </c>
      <c r="G131" s="8">
        <f t="shared" si="8"/>
        <v>51669.629354838711</v>
      </c>
      <c r="H131" s="26">
        <f t="shared" si="9"/>
        <v>37422.942133267214</v>
      </c>
      <c r="I131" s="8">
        <f t="shared" si="10"/>
        <v>37422.942133267214</v>
      </c>
      <c r="J131" s="8">
        <f>VPI!R131</f>
        <v>27627.379193548386</v>
      </c>
      <c r="K131" s="221">
        <f t="shared" si="11"/>
        <v>32609.913053238943</v>
      </c>
      <c r="L131" s="315">
        <f t="shared" si="12"/>
        <v>70032.85518650616</v>
      </c>
      <c r="M131" s="128"/>
      <c r="N131" s="129"/>
      <c r="O131" s="126"/>
      <c r="P131" s="126"/>
      <c r="Q131" s="130"/>
    </row>
    <row r="132" spans="1:17" s="125" customFormat="1" x14ac:dyDescent="0.25">
      <c r="A132" s="174">
        <f>Données!A132</f>
        <v>5629</v>
      </c>
      <c r="B132" s="325" t="str">
        <f>Données!B132</f>
        <v>Clarmont</v>
      </c>
      <c r="C132" s="174">
        <f>Données!AR132</f>
        <v>0</v>
      </c>
      <c r="D132" s="326">
        <f>Données!Z132</f>
        <v>213</v>
      </c>
      <c r="E132" s="127">
        <f>Données!X132</f>
        <v>72</v>
      </c>
      <c r="F132" s="31">
        <f>VPI!L132</f>
        <v>678183.39999999991</v>
      </c>
      <c r="G132" s="8">
        <f t="shared" si="8"/>
        <v>18838.427777777775</v>
      </c>
      <c r="H132" s="26">
        <f t="shared" si="9"/>
        <v>19024.073208558275</v>
      </c>
      <c r="I132" s="8">
        <f t="shared" si="10"/>
        <v>18838.427777777775</v>
      </c>
      <c r="J132" s="8">
        <f>VPI!R132</f>
        <v>9964.7430555555547</v>
      </c>
      <c r="K132" s="221">
        <f t="shared" si="11"/>
        <v>11761.861389856922</v>
      </c>
      <c r="L132" s="315">
        <f t="shared" si="12"/>
        <v>30600.289167634699</v>
      </c>
      <c r="M132" s="128"/>
      <c r="N132" s="129"/>
      <c r="O132" s="126"/>
      <c r="P132" s="126"/>
      <c r="Q132" s="130"/>
    </row>
    <row r="133" spans="1:17" s="125" customFormat="1" x14ac:dyDescent="0.25">
      <c r="A133" s="174">
        <f>Données!A133</f>
        <v>5631</v>
      </c>
      <c r="B133" s="325" t="str">
        <f>Données!B133</f>
        <v>Denens</v>
      </c>
      <c r="C133" s="174">
        <f>Données!AR133</f>
        <v>0</v>
      </c>
      <c r="D133" s="326">
        <f>Données!Z133</f>
        <v>715</v>
      </c>
      <c r="E133" s="127">
        <f>Données!X133</f>
        <v>68</v>
      </c>
      <c r="F133" s="31">
        <f>VPI!L133</f>
        <v>2615753.62</v>
      </c>
      <c r="G133" s="8">
        <f t="shared" si="8"/>
        <v>76933.930000000008</v>
      </c>
      <c r="H133" s="26">
        <f t="shared" si="9"/>
        <v>63860.151850324721</v>
      </c>
      <c r="I133" s="8">
        <f t="shared" si="10"/>
        <v>63860.151850324721</v>
      </c>
      <c r="J133" s="8">
        <f>VPI!R133</f>
        <v>41694.310588235297</v>
      </c>
      <c r="K133" s="221">
        <f t="shared" si="11"/>
        <v>49213.782949582179</v>
      </c>
      <c r="L133" s="315">
        <f t="shared" si="12"/>
        <v>113073.9347999069</v>
      </c>
      <c r="M133" s="128"/>
      <c r="N133" s="129"/>
      <c r="O133" s="126"/>
      <c r="P133" s="126"/>
      <c r="Q133" s="130"/>
    </row>
    <row r="134" spans="1:17" s="125" customFormat="1" x14ac:dyDescent="0.25">
      <c r="A134" s="174">
        <f>Données!A134</f>
        <v>5632</v>
      </c>
      <c r="B134" s="325" t="str">
        <f>Données!B134</f>
        <v>Denges</v>
      </c>
      <c r="C134" s="174">
        <f>Données!AR134</f>
        <v>0</v>
      </c>
      <c r="D134" s="326">
        <f>Données!Z134</f>
        <v>1778</v>
      </c>
      <c r="E134" s="127">
        <f>Données!X134</f>
        <v>62</v>
      </c>
      <c r="F134" s="31">
        <f>VPI!L134</f>
        <v>4640456.1099999994</v>
      </c>
      <c r="G134" s="8">
        <f t="shared" si="8"/>
        <v>149692.13258064515</v>
      </c>
      <c r="H134" s="26">
        <f t="shared" si="9"/>
        <v>158801.88809773055</v>
      </c>
      <c r="I134" s="8">
        <f t="shared" si="10"/>
        <v>149692.13258064515</v>
      </c>
      <c r="J134" s="8">
        <f>VPI!R134</f>
        <v>81642.531612903229</v>
      </c>
      <c r="K134" s="221">
        <f t="shared" si="11"/>
        <v>96366.57312629951</v>
      </c>
      <c r="L134" s="315">
        <f t="shared" si="12"/>
        <v>246058.70570694466</v>
      </c>
      <c r="M134" s="128"/>
      <c r="N134" s="129"/>
      <c r="O134" s="126"/>
      <c r="P134" s="126"/>
      <c r="Q134" s="130"/>
    </row>
    <row r="135" spans="1:17" s="125" customFormat="1" x14ac:dyDescent="0.25">
      <c r="A135" s="174">
        <f>Données!A135</f>
        <v>5633</v>
      </c>
      <c r="B135" s="325" t="str">
        <f>Données!B135</f>
        <v>Echandens</v>
      </c>
      <c r="C135" s="174">
        <f>Données!AR135</f>
        <v>0</v>
      </c>
      <c r="D135" s="326">
        <f>Données!Z135</f>
        <v>2891</v>
      </c>
      <c r="E135" s="127">
        <f>Données!X135</f>
        <v>60.5</v>
      </c>
      <c r="F135" s="31">
        <f>VPI!L135</f>
        <v>8361586.7000000011</v>
      </c>
      <c r="G135" s="8">
        <f t="shared" ref="G135:G198" si="13">F135/E135*2</f>
        <v>276416.08925619838</v>
      </c>
      <c r="H135" s="26">
        <f t="shared" ref="H135:H198" si="14">+$G$306/$D$306*D135</f>
        <v>258209.36922977449</v>
      </c>
      <c r="I135" s="8">
        <f t="shared" ref="I135:I198" si="15">IF(C135=1,0,IF(H135&gt;G135,G135,H135))</f>
        <v>258209.36922977449</v>
      </c>
      <c r="J135" s="8">
        <f>VPI!R135</f>
        <v>149835.3479338843</v>
      </c>
      <c r="K135" s="221">
        <f t="shared" ref="K135:K198" si="16">+$K$5*J135</f>
        <v>176857.80595384128</v>
      </c>
      <c r="L135" s="315">
        <f t="shared" ref="L135:L198" si="17">+K135+I135</f>
        <v>435067.17518361576</v>
      </c>
      <c r="M135" s="128"/>
      <c r="N135" s="129"/>
      <c r="O135" s="126"/>
      <c r="P135" s="126"/>
      <c r="Q135" s="130"/>
    </row>
    <row r="136" spans="1:17" s="125" customFormat="1" x14ac:dyDescent="0.25">
      <c r="A136" s="174">
        <f>Données!A136</f>
        <v>5634</v>
      </c>
      <c r="B136" s="325" t="str">
        <f>Données!B136</f>
        <v>Echichens</v>
      </c>
      <c r="C136" s="174">
        <f>Données!AR136</f>
        <v>0</v>
      </c>
      <c r="D136" s="326">
        <f>Données!Z136</f>
        <v>3211</v>
      </c>
      <c r="E136" s="127">
        <f>Données!X136</f>
        <v>66</v>
      </c>
      <c r="F136" s="31">
        <f>VPI!L136</f>
        <v>11298127.010000004</v>
      </c>
      <c r="G136" s="8">
        <f t="shared" si="13"/>
        <v>342367.48515151528</v>
      </c>
      <c r="H136" s="26">
        <f t="shared" si="14"/>
        <v>286790.13649145828</v>
      </c>
      <c r="I136" s="8">
        <f t="shared" si="15"/>
        <v>286790.13649145828</v>
      </c>
      <c r="J136" s="8">
        <f>VPI!R136</f>
        <v>183137.63424242428</v>
      </c>
      <c r="K136" s="221">
        <f t="shared" si="16"/>
        <v>216166.08247864316</v>
      </c>
      <c r="L136" s="315">
        <f t="shared" si="17"/>
        <v>502956.21897010144</v>
      </c>
      <c r="M136" s="128"/>
      <c r="N136" s="129"/>
      <c r="O136" s="126"/>
      <c r="P136" s="126"/>
      <c r="Q136" s="130"/>
    </row>
    <row r="137" spans="1:17" s="125" customFormat="1" x14ac:dyDescent="0.25">
      <c r="A137" s="174">
        <f>Données!A137</f>
        <v>5635</v>
      </c>
      <c r="B137" s="325" t="str">
        <f>Données!B137</f>
        <v>Ecublens</v>
      </c>
      <c r="C137" s="174">
        <f>Données!AR137</f>
        <v>1</v>
      </c>
      <c r="D137" s="326">
        <f>Données!Z137</f>
        <v>13129</v>
      </c>
      <c r="E137" s="127">
        <f>Données!X137</f>
        <v>62.5</v>
      </c>
      <c r="F137" s="31">
        <f>VPI!L137</f>
        <v>28986007</v>
      </c>
      <c r="G137" s="8">
        <f t="shared" si="13"/>
        <v>927552.22400000005</v>
      </c>
      <c r="H137" s="26">
        <f t="shared" si="14"/>
        <v>1172615.2918082704</v>
      </c>
      <c r="I137" s="8">
        <f t="shared" si="15"/>
        <v>0</v>
      </c>
      <c r="J137" s="8">
        <f>VPI!R137</f>
        <v>516165.47293333331</v>
      </c>
      <c r="K137" s="221">
        <f t="shared" si="16"/>
        <v>609254.72067110275</v>
      </c>
      <c r="L137" s="315">
        <f t="shared" si="17"/>
        <v>609254.72067110275</v>
      </c>
      <c r="M137" s="128"/>
      <c r="N137" s="129"/>
      <c r="O137" s="126"/>
      <c r="P137" s="126"/>
      <c r="Q137" s="130"/>
    </row>
    <row r="138" spans="1:17" s="125" customFormat="1" x14ac:dyDescent="0.25">
      <c r="A138" s="174">
        <f>Données!A138</f>
        <v>5636</v>
      </c>
      <c r="B138" s="325" t="str">
        <f>Données!B138</f>
        <v>Etoy</v>
      </c>
      <c r="C138" s="174">
        <f>Données!AR138</f>
        <v>0</v>
      </c>
      <c r="D138" s="326">
        <f>Données!Z138</f>
        <v>2938</v>
      </c>
      <c r="E138" s="127">
        <f>Données!X138</f>
        <v>60</v>
      </c>
      <c r="F138" s="31">
        <f>VPI!L138</f>
        <v>9905113.2300000004</v>
      </c>
      <c r="G138" s="8">
        <f t="shared" si="13"/>
        <v>330170.44099999999</v>
      </c>
      <c r="H138" s="26">
        <f t="shared" si="14"/>
        <v>262407.16942133429</v>
      </c>
      <c r="I138" s="8">
        <f t="shared" si="15"/>
        <v>262407.16942133429</v>
      </c>
      <c r="J138" s="8">
        <f>VPI!R138</f>
        <v>189458.35050000003</v>
      </c>
      <c r="K138" s="221">
        <f t="shared" si="16"/>
        <v>223626.72527612836</v>
      </c>
      <c r="L138" s="315">
        <f t="shared" si="17"/>
        <v>486033.89469746267</v>
      </c>
      <c r="M138" s="128"/>
      <c r="N138" s="129"/>
      <c r="O138" s="126"/>
      <c r="P138" s="126"/>
      <c r="Q138" s="130"/>
    </row>
    <row r="139" spans="1:17" s="125" customFormat="1" x14ac:dyDescent="0.25">
      <c r="A139" s="174">
        <f>Données!A139</f>
        <v>5637</v>
      </c>
      <c r="B139" s="325" t="str">
        <f>Données!B139</f>
        <v>Lavigny</v>
      </c>
      <c r="C139" s="174">
        <f>Données!AR139</f>
        <v>0</v>
      </c>
      <c r="D139" s="326">
        <f>Données!Z139</f>
        <v>1038</v>
      </c>
      <c r="E139" s="127">
        <f>Données!X139</f>
        <v>73</v>
      </c>
      <c r="F139" s="31">
        <f>VPI!L139</f>
        <v>2441415.77</v>
      </c>
      <c r="G139" s="8">
        <f t="shared" si="13"/>
        <v>66888.103287671227</v>
      </c>
      <c r="H139" s="26">
        <f t="shared" si="14"/>
        <v>92708.863805086803</v>
      </c>
      <c r="I139" s="8">
        <f t="shared" si="15"/>
        <v>66888.103287671227</v>
      </c>
      <c r="J139" s="8">
        <f>VPI!R139</f>
        <v>36293.809863013703</v>
      </c>
      <c r="K139" s="221">
        <f t="shared" si="16"/>
        <v>42839.314424730001</v>
      </c>
      <c r="L139" s="315">
        <f t="shared" si="17"/>
        <v>109727.41771240122</v>
      </c>
      <c r="M139" s="128"/>
      <c r="N139" s="129"/>
      <c r="O139" s="126"/>
      <c r="P139" s="126"/>
      <c r="Q139" s="130"/>
    </row>
    <row r="140" spans="1:17" s="125" customFormat="1" x14ac:dyDescent="0.25">
      <c r="A140" s="174">
        <f>Données!A140</f>
        <v>5638</v>
      </c>
      <c r="B140" s="325" t="str">
        <f>Données!B140</f>
        <v>Lonay</v>
      </c>
      <c r="C140" s="174">
        <f>Données!AR140</f>
        <v>0</v>
      </c>
      <c r="D140" s="326">
        <f>Données!Z140</f>
        <v>2675</v>
      </c>
      <c r="E140" s="127">
        <f>Données!X140</f>
        <v>55</v>
      </c>
      <c r="F140" s="31">
        <f>VPI!L140</f>
        <v>7676323.0000000009</v>
      </c>
      <c r="G140" s="8">
        <f t="shared" si="13"/>
        <v>279139.01818181819</v>
      </c>
      <c r="H140" s="26">
        <f t="shared" si="14"/>
        <v>238917.35132813794</v>
      </c>
      <c r="I140" s="8">
        <f t="shared" si="15"/>
        <v>238917.35132813794</v>
      </c>
      <c r="J140" s="8">
        <f>VPI!R140</f>
        <v>153893.84090909091</v>
      </c>
      <c r="K140" s="221">
        <f t="shared" si="16"/>
        <v>181648.23873870619</v>
      </c>
      <c r="L140" s="315">
        <f t="shared" si="17"/>
        <v>420565.59006684413</v>
      </c>
      <c r="M140" s="128"/>
      <c r="N140" s="129"/>
      <c r="O140" s="126"/>
      <c r="P140" s="126"/>
      <c r="Q140" s="130"/>
    </row>
    <row r="141" spans="1:17" s="125" customFormat="1" x14ac:dyDescent="0.25">
      <c r="A141" s="174">
        <f>Données!A141</f>
        <v>5639</v>
      </c>
      <c r="B141" s="325" t="str">
        <f>Données!B141</f>
        <v>Lully</v>
      </c>
      <c r="C141" s="174">
        <f>Données!AR141</f>
        <v>0</v>
      </c>
      <c r="D141" s="326">
        <f>Données!Z141</f>
        <v>825</v>
      </c>
      <c r="E141" s="127">
        <f>Données!X141</f>
        <v>61</v>
      </c>
      <c r="F141" s="31">
        <f>VPI!L141</f>
        <v>2972275.9699999993</v>
      </c>
      <c r="G141" s="8">
        <f t="shared" si="13"/>
        <v>97451.671147540954</v>
      </c>
      <c r="H141" s="26">
        <f t="shared" si="14"/>
        <v>73684.790596528517</v>
      </c>
      <c r="I141" s="8">
        <f t="shared" si="15"/>
        <v>73684.790596528517</v>
      </c>
      <c r="J141" s="8">
        <f>VPI!R141</f>
        <v>52242.173114754092</v>
      </c>
      <c r="K141" s="221">
        <f t="shared" si="16"/>
        <v>61663.928056636658</v>
      </c>
      <c r="L141" s="315">
        <f t="shared" si="17"/>
        <v>135348.71865316518</v>
      </c>
      <c r="M141" s="128"/>
      <c r="N141" s="129"/>
      <c r="O141" s="126"/>
      <c r="P141" s="126"/>
      <c r="Q141" s="130"/>
    </row>
    <row r="142" spans="1:17" s="125" customFormat="1" x14ac:dyDescent="0.25">
      <c r="A142" s="174">
        <f>Données!A142</f>
        <v>5640</v>
      </c>
      <c r="B142" s="325" t="str">
        <f>Données!B142</f>
        <v>Lussy-sur-Morges</v>
      </c>
      <c r="C142" s="174">
        <f>Données!AR142</f>
        <v>1</v>
      </c>
      <c r="D142" s="326">
        <f>Données!Z142</f>
        <v>730</v>
      </c>
      <c r="E142" s="127">
        <f>Données!X142</f>
        <v>64.5</v>
      </c>
      <c r="F142" s="31">
        <f>VPI!L142</f>
        <v>3495412.38</v>
      </c>
      <c r="G142" s="8">
        <f t="shared" si="13"/>
        <v>108384.87999999999</v>
      </c>
      <c r="H142" s="26">
        <f t="shared" si="14"/>
        <v>65199.875315716148</v>
      </c>
      <c r="I142" s="8">
        <f t="shared" si="15"/>
        <v>0</v>
      </c>
      <c r="J142" s="8">
        <f>VPI!R142</f>
        <v>57771.49271317829</v>
      </c>
      <c r="K142" s="221">
        <f t="shared" si="16"/>
        <v>68190.447640162325</v>
      </c>
      <c r="L142" s="315">
        <f t="shared" si="17"/>
        <v>68190.447640162325</v>
      </c>
      <c r="M142" s="128"/>
      <c r="N142" s="129"/>
      <c r="O142" s="126"/>
      <c r="P142" s="126"/>
      <c r="Q142" s="130"/>
    </row>
    <row r="143" spans="1:17" s="125" customFormat="1" x14ac:dyDescent="0.25">
      <c r="A143" s="174">
        <f>Données!A143</f>
        <v>5642</v>
      </c>
      <c r="B143" s="325" t="str">
        <f>Données!B143</f>
        <v>Morges</v>
      </c>
      <c r="C143" s="174">
        <f>Données!AR143</f>
        <v>1</v>
      </c>
      <c r="D143" s="326">
        <f>Données!Z143</f>
        <v>17530</v>
      </c>
      <c r="E143" s="127">
        <f>Données!X143</f>
        <v>67</v>
      </c>
      <c r="F143" s="31">
        <f>VPI!L143</f>
        <v>61651305.960000001</v>
      </c>
      <c r="G143" s="8">
        <f t="shared" si="13"/>
        <v>1840337.4913432836</v>
      </c>
      <c r="H143" s="26">
        <f t="shared" si="14"/>
        <v>1565690.1565541152</v>
      </c>
      <c r="I143" s="8">
        <f t="shared" si="15"/>
        <v>0</v>
      </c>
      <c r="J143" s="8">
        <f>VPI!R143</f>
        <v>980547.23447761196</v>
      </c>
      <c r="K143" s="221">
        <f t="shared" si="16"/>
        <v>1157386.6575218195</v>
      </c>
      <c r="L143" s="315">
        <f t="shared" si="17"/>
        <v>1157386.6575218195</v>
      </c>
      <c r="M143" s="128"/>
      <c r="N143" s="129"/>
      <c r="O143" s="126"/>
      <c r="P143" s="126"/>
      <c r="Q143" s="130"/>
    </row>
    <row r="144" spans="1:17" s="125" customFormat="1" x14ac:dyDescent="0.25">
      <c r="A144" s="174">
        <f>Données!A144</f>
        <v>5643</v>
      </c>
      <c r="B144" s="325" t="str">
        <f>Données!B144</f>
        <v>Préverenges</v>
      </c>
      <c r="C144" s="174">
        <f>Données!AR144</f>
        <v>1</v>
      </c>
      <c r="D144" s="326">
        <f>Données!Z144</f>
        <v>5209</v>
      </c>
      <c r="E144" s="127">
        <f>Données!X144</f>
        <v>62.5</v>
      </c>
      <c r="F144" s="31">
        <f>VPI!L144</f>
        <v>14525460.289999999</v>
      </c>
      <c r="G144" s="8">
        <f t="shared" si="13"/>
        <v>464814.72927999997</v>
      </c>
      <c r="H144" s="26">
        <f t="shared" si="14"/>
        <v>465241.30208159646</v>
      </c>
      <c r="I144" s="8">
        <f t="shared" si="15"/>
        <v>0</v>
      </c>
      <c r="J144" s="8">
        <f>VPI!R144</f>
        <v>252724.38943999997</v>
      </c>
      <c r="K144" s="221">
        <f t="shared" si="16"/>
        <v>298302.64783117146</v>
      </c>
      <c r="L144" s="315">
        <f t="shared" si="17"/>
        <v>298302.64783117146</v>
      </c>
      <c r="M144" s="128"/>
      <c r="N144" s="129"/>
      <c r="O144" s="126"/>
      <c r="P144" s="126"/>
      <c r="Q144" s="130"/>
    </row>
    <row r="145" spans="1:17" s="125" customFormat="1" x14ac:dyDescent="0.25">
      <c r="A145" s="174">
        <f>Données!A145</f>
        <v>5645</v>
      </c>
      <c r="B145" s="325" t="str">
        <f>Données!B145</f>
        <v>Romanel-sur-Morges</v>
      </c>
      <c r="C145" s="174">
        <f>Données!AR145</f>
        <v>0</v>
      </c>
      <c r="D145" s="326">
        <f>Données!Z145</f>
        <v>458</v>
      </c>
      <c r="E145" s="127">
        <f>Données!X145</f>
        <v>56</v>
      </c>
      <c r="F145" s="31">
        <f>VPI!L145</f>
        <v>1146811.8500000001</v>
      </c>
      <c r="G145" s="8">
        <f t="shared" si="13"/>
        <v>40957.566071428577</v>
      </c>
      <c r="H145" s="26">
        <f t="shared" si="14"/>
        <v>40906.223143284922</v>
      </c>
      <c r="I145" s="8">
        <f t="shared" si="15"/>
        <v>40906.223143284922</v>
      </c>
      <c r="J145" s="8">
        <f>VPI!R145</f>
        <v>23768.997321428575</v>
      </c>
      <c r="K145" s="221">
        <f t="shared" si="16"/>
        <v>28055.680945496981</v>
      </c>
      <c r="L145" s="315">
        <f t="shared" si="17"/>
        <v>68961.904088781899</v>
      </c>
      <c r="M145" s="128"/>
      <c r="N145" s="129"/>
      <c r="O145" s="126"/>
      <c r="P145" s="126"/>
      <c r="Q145" s="130"/>
    </row>
    <row r="146" spans="1:17" s="125" customFormat="1" x14ac:dyDescent="0.25">
      <c r="A146" s="174">
        <f>Données!A146</f>
        <v>5646</v>
      </c>
      <c r="B146" s="325" t="str">
        <f>Données!B146</f>
        <v>Saint-Prex</v>
      </c>
      <c r="C146" s="174">
        <f>Données!AR146</f>
        <v>1</v>
      </c>
      <c r="D146" s="326">
        <f>Données!Z146</f>
        <v>5876</v>
      </c>
      <c r="E146" s="127">
        <f>Données!X146</f>
        <v>59</v>
      </c>
      <c r="F146" s="31">
        <f>VPI!L146</f>
        <v>28533166.309999995</v>
      </c>
      <c r="G146" s="8">
        <f t="shared" si="13"/>
        <v>967225.97661016928</v>
      </c>
      <c r="H146" s="26">
        <f t="shared" si="14"/>
        <v>524814.33884266857</v>
      </c>
      <c r="I146" s="8">
        <f t="shared" si="15"/>
        <v>0</v>
      </c>
      <c r="J146" s="8">
        <f>VPI!R146</f>
        <v>515578.26330508466</v>
      </c>
      <c r="K146" s="221">
        <f t="shared" si="16"/>
        <v>608561.60914622515</v>
      </c>
      <c r="L146" s="315">
        <f t="shared" si="17"/>
        <v>608561.60914622515</v>
      </c>
      <c r="M146" s="128"/>
      <c r="N146" s="129"/>
      <c r="O146" s="126"/>
      <c r="P146" s="126"/>
      <c r="Q146" s="130"/>
    </row>
    <row r="147" spans="1:17" s="125" customFormat="1" x14ac:dyDescent="0.25">
      <c r="A147" s="174">
        <f>Données!A147</f>
        <v>5648</v>
      </c>
      <c r="B147" s="325" t="str">
        <f>Données!B147</f>
        <v>Saint-Sulpice</v>
      </c>
      <c r="C147" s="174">
        <f>Données!AR147</f>
        <v>1</v>
      </c>
      <c r="D147" s="326">
        <f>Données!Z147</f>
        <v>5036</v>
      </c>
      <c r="E147" s="127">
        <f>Données!X147</f>
        <v>55</v>
      </c>
      <c r="F147" s="31">
        <f>VPI!L147</f>
        <v>20863430.350000001</v>
      </c>
      <c r="G147" s="8">
        <f t="shared" si="13"/>
        <v>758670.19454545458</v>
      </c>
      <c r="H147" s="26">
        <f t="shared" si="14"/>
        <v>449789.82478074863</v>
      </c>
      <c r="I147" s="8">
        <f t="shared" si="15"/>
        <v>0</v>
      </c>
      <c r="J147" s="8">
        <f>VPI!R147</f>
        <v>417040.44568181824</v>
      </c>
      <c r="K147" s="221">
        <f t="shared" si="16"/>
        <v>492252.72430270677</v>
      </c>
      <c r="L147" s="315">
        <f t="shared" si="17"/>
        <v>492252.72430270677</v>
      </c>
      <c r="M147" s="128"/>
      <c r="N147" s="129"/>
      <c r="O147" s="126"/>
      <c r="P147" s="126"/>
      <c r="Q147" s="130"/>
    </row>
    <row r="148" spans="1:17" s="125" customFormat="1" x14ac:dyDescent="0.25">
      <c r="A148" s="174">
        <f>Données!A148</f>
        <v>5649</v>
      </c>
      <c r="B148" s="325" t="str">
        <f>Données!B148</f>
        <v>Tolochenaz</v>
      </c>
      <c r="C148" s="174">
        <f>Données!AR148</f>
        <v>1</v>
      </c>
      <c r="D148" s="326">
        <f>Données!Z148</f>
        <v>1890</v>
      </c>
      <c r="E148" s="127">
        <f>Données!X148</f>
        <v>64</v>
      </c>
      <c r="F148" s="31">
        <f>VPI!L148</f>
        <v>10466263.4</v>
      </c>
      <c r="G148" s="8">
        <f t="shared" si="13"/>
        <v>327070.73125000001</v>
      </c>
      <c r="H148" s="26">
        <f t="shared" si="14"/>
        <v>168805.1566393199</v>
      </c>
      <c r="I148" s="8">
        <f t="shared" si="15"/>
        <v>0</v>
      </c>
      <c r="J148" s="8">
        <f>VPI!R148</f>
        <v>173464.05234375002</v>
      </c>
      <c r="K148" s="221">
        <f t="shared" si="16"/>
        <v>204747.89248605716</v>
      </c>
      <c r="L148" s="315">
        <f t="shared" si="17"/>
        <v>204747.89248605716</v>
      </c>
      <c r="M148" s="128"/>
      <c r="N148" s="129"/>
      <c r="O148" s="126"/>
      <c r="P148" s="126"/>
      <c r="Q148" s="130"/>
    </row>
    <row r="149" spans="1:17" s="125" customFormat="1" x14ac:dyDescent="0.25">
      <c r="A149" s="174">
        <f>Données!A149</f>
        <v>5650</v>
      </c>
      <c r="B149" s="325" t="str">
        <f>Données!B149</f>
        <v>Vaux-sur-Morges</v>
      </c>
      <c r="C149" s="174">
        <f>Données!AR149</f>
        <v>0</v>
      </c>
      <c r="D149" s="326">
        <f>Données!Z149</f>
        <v>185</v>
      </c>
      <c r="E149" s="127">
        <f>Données!X149</f>
        <v>56</v>
      </c>
      <c r="F149" s="31">
        <f>VPI!L149</f>
        <v>5016524.3800000008</v>
      </c>
      <c r="G149" s="8">
        <f t="shared" si="13"/>
        <v>179161.58500000002</v>
      </c>
      <c r="H149" s="26">
        <f t="shared" si="14"/>
        <v>16523.256073160941</v>
      </c>
      <c r="I149" s="8">
        <f t="shared" si="15"/>
        <v>16523.256073160941</v>
      </c>
      <c r="J149" s="8">
        <f>VPI!R149</f>
        <v>90407.863928571445</v>
      </c>
      <c r="K149" s="221">
        <f t="shared" si="16"/>
        <v>106712.71282685552</v>
      </c>
      <c r="L149" s="315">
        <f t="shared" si="17"/>
        <v>123235.96890001647</v>
      </c>
      <c r="M149" s="128"/>
      <c r="N149" s="129"/>
      <c r="O149" s="126"/>
      <c r="P149" s="126"/>
      <c r="Q149" s="130"/>
    </row>
    <row r="150" spans="1:17" s="125" customFormat="1" x14ac:dyDescent="0.25">
      <c r="A150" s="174">
        <f>Données!A150</f>
        <v>5651</v>
      </c>
      <c r="B150" s="325" t="str">
        <f>Données!B150</f>
        <v>Villars-Sainte-Croix</v>
      </c>
      <c r="C150" s="174">
        <f>Données!AR150</f>
        <v>1</v>
      </c>
      <c r="D150" s="326">
        <f>Données!Z150</f>
        <v>978</v>
      </c>
      <c r="E150" s="127">
        <f>Données!X150</f>
        <v>60.5</v>
      </c>
      <c r="F150" s="31">
        <f>VPI!L150</f>
        <v>3007567.5100000002</v>
      </c>
      <c r="G150" s="8">
        <f t="shared" si="13"/>
        <v>99423.719338842988</v>
      </c>
      <c r="H150" s="26">
        <f t="shared" si="14"/>
        <v>87349.969943521079</v>
      </c>
      <c r="I150" s="8">
        <f t="shared" si="15"/>
        <v>0</v>
      </c>
      <c r="J150" s="8">
        <f>VPI!R150</f>
        <v>56008.147272727285</v>
      </c>
      <c r="K150" s="221">
        <f t="shared" si="16"/>
        <v>66109.086932978025</v>
      </c>
      <c r="L150" s="315">
        <f t="shared" si="17"/>
        <v>66109.086932978025</v>
      </c>
      <c r="M150" s="128"/>
      <c r="N150" s="129"/>
      <c r="O150" s="126"/>
      <c r="P150" s="126"/>
      <c r="Q150" s="130"/>
    </row>
    <row r="151" spans="1:17" s="125" customFormat="1" x14ac:dyDescent="0.25">
      <c r="A151" s="174">
        <f>Données!A151</f>
        <v>5652</v>
      </c>
      <c r="B151" s="325" t="str">
        <f>Données!B151</f>
        <v>Villars-sous-Yens</v>
      </c>
      <c r="C151" s="174">
        <f>Données!AR151</f>
        <v>0</v>
      </c>
      <c r="D151" s="326">
        <f>Données!Z151</f>
        <v>615</v>
      </c>
      <c r="E151" s="127">
        <f>Données!X151</f>
        <v>76</v>
      </c>
      <c r="F151" s="31">
        <f>VPI!L151</f>
        <v>1855115.71</v>
      </c>
      <c r="G151" s="8">
        <f t="shared" si="13"/>
        <v>48818.834473684212</v>
      </c>
      <c r="H151" s="26">
        <f t="shared" si="14"/>
        <v>54928.662081048533</v>
      </c>
      <c r="I151" s="8">
        <f t="shared" si="15"/>
        <v>48818.834473684212</v>
      </c>
      <c r="J151" s="8">
        <f>VPI!R151</f>
        <v>25957.212521929825</v>
      </c>
      <c r="K151" s="221">
        <f t="shared" si="16"/>
        <v>30638.535690068089</v>
      </c>
      <c r="L151" s="315">
        <f t="shared" si="17"/>
        <v>79457.370163752305</v>
      </c>
      <c r="M151" s="128"/>
      <c r="N151" s="129"/>
      <c r="O151" s="126"/>
      <c r="P151" s="126"/>
      <c r="Q151" s="130"/>
    </row>
    <row r="152" spans="1:17" s="125" customFormat="1" x14ac:dyDescent="0.25">
      <c r="A152" s="174">
        <f>Données!A152</f>
        <v>5653</v>
      </c>
      <c r="B152" s="325" t="str">
        <f>Données!B152</f>
        <v>Vufflens-le-Château</v>
      </c>
      <c r="C152" s="174">
        <f>Données!AR152</f>
        <v>0</v>
      </c>
      <c r="D152" s="326">
        <f>Données!Z152</f>
        <v>884</v>
      </c>
      <c r="E152" s="127">
        <f>Données!X152</f>
        <v>58.5</v>
      </c>
      <c r="F152" s="31">
        <f>VPI!L152</f>
        <v>3919069.6300000004</v>
      </c>
      <c r="G152" s="8">
        <f t="shared" si="13"/>
        <v>133985.2864957265</v>
      </c>
      <c r="H152" s="26">
        <f t="shared" si="14"/>
        <v>78954.369560401479</v>
      </c>
      <c r="I152" s="8">
        <f t="shared" si="15"/>
        <v>78954.369560401479</v>
      </c>
      <c r="J152" s="8">
        <f>VPI!R152</f>
        <v>71346.970598290602</v>
      </c>
      <c r="K152" s="221">
        <f t="shared" si="16"/>
        <v>84214.231524558418</v>
      </c>
      <c r="L152" s="315">
        <f t="shared" si="17"/>
        <v>163168.6010849599</v>
      </c>
      <c r="M152" s="128"/>
      <c r="N152" s="129"/>
      <c r="O152" s="126"/>
      <c r="P152" s="126"/>
      <c r="Q152" s="130"/>
    </row>
    <row r="153" spans="1:17" s="125" customFormat="1" x14ac:dyDescent="0.25">
      <c r="A153" s="174">
        <f>Données!A153</f>
        <v>5654</v>
      </c>
      <c r="B153" s="325" t="str">
        <f>Données!B153</f>
        <v>Vullierens</v>
      </c>
      <c r="C153" s="174">
        <f>Données!AR153</f>
        <v>0</v>
      </c>
      <c r="D153" s="326">
        <f>Données!Z153</f>
        <v>562</v>
      </c>
      <c r="E153" s="127">
        <f>Données!X153</f>
        <v>76</v>
      </c>
      <c r="F153" s="31">
        <f>VPI!L153</f>
        <v>1459302.7099999997</v>
      </c>
      <c r="G153" s="8">
        <f t="shared" si="13"/>
        <v>38402.702894736838</v>
      </c>
      <c r="H153" s="26">
        <f t="shared" si="14"/>
        <v>50194.972503332159</v>
      </c>
      <c r="I153" s="8">
        <f t="shared" si="15"/>
        <v>38402.702894736838</v>
      </c>
      <c r="J153" s="8">
        <f>VPI!R153</f>
        <v>20741.31131578947</v>
      </c>
      <c r="K153" s="221">
        <f t="shared" si="16"/>
        <v>24481.958780078705</v>
      </c>
      <c r="L153" s="315">
        <f t="shared" si="17"/>
        <v>62884.661674815543</v>
      </c>
      <c r="M153" s="128"/>
      <c r="N153" s="129"/>
      <c r="O153" s="126"/>
      <c r="P153" s="126"/>
      <c r="Q153" s="130"/>
    </row>
    <row r="154" spans="1:17" s="125" customFormat="1" x14ac:dyDescent="0.25">
      <c r="A154" s="174">
        <f>Données!A154</f>
        <v>5655</v>
      </c>
      <c r="B154" s="325" t="str">
        <f>Données!B154</f>
        <v>Yens</v>
      </c>
      <c r="C154" s="174">
        <f>Données!AR154</f>
        <v>0</v>
      </c>
      <c r="D154" s="326">
        <f>Données!Z154</f>
        <v>1513</v>
      </c>
      <c r="E154" s="127">
        <f>Données!X154</f>
        <v>71.5</v>
      </c>
      <c r="F154" s="31">
        <f>VPI!L154</f>
        <v>5370339.4899999993</v>
      </c>
      <c r="G154" s="8">
        <f t="shared" si="13"/>
        <v>150219.28643356642</v>
      </c>
      <c r="H154" s="26">
        <f t="shared" si="14"/>
        <v>135133.44020914868</v>
      </c>
      <c r="I154" s="8">
        <f t="shared" si="15"/>
        <v>135133.44020914868</v>
      </c>
      <c r="J154" s="8">
        <f>VPI!R154</f>
        <v>81488.710349650341</v>
      </c>
      <c r="K154" s="221">
        <f t="shared" si="16"/>
        <v>96185.010554429231</v>
      </c>
      <c r="L154" s="315">
        <f t="shared" si="17"/>
        <v>231318.45076357792</v>
      </c>
      <c r="M154" s="128"/>
      <c r="N154" s="129"/>
      <c r="O154" s="126"/>
      <c r="P154" s="126"/>
      <c r="Q154" s="130"/>
    </row>
    <row r="155" spans="1:17" s="125" customFormat="1" x14ac:dyDescent="0.25">
      <c r="A155" s="174">
        <f>Données!A155</f>
        <v>5656</v>
      </c>
      <c r="B155" s="325" t="str">
        <f>Données!B155</f>
        <v>Hautemorges</v>
      </c>
      <c r="C155" s="174">
        <f>Données!AR155</f>
        <v>0</v>
      </c>
      <c r="D155" s="326">
        <f>Données!Z155</f>
        <v>4257</v>
      </c>
      <c r="E155" s="127">
        <f>Données!X155</f>
        <v>72.5</v>
      </c>
      <c r="F155" s="31">
        <f>VPI!L155</f>
        <v>11332310.189999999</v>
      </c>
      <c r="G155" s="8">
        <f t="shared" si="13"/>
        <v>312615.45351724135</v>
      </c>
      <c r="H155" s="26">
        <f t="shared" si="14"/>
        <v>380213.5194780872</v>
      </c>
      <c r="I155" s="8">
        <f t="shared" si="15"/>
        <v>312615.45351724135</v>
      </c>
      <c r="J155" s="8">
        <f>VPI!R155</f>
        <v>168934.99020689653</v>
      </c>
      <c r="K155" s="221">
        <f t="shared" si="16"/>
        <v>199402.02448095885</v>
      </c>
      <c r="L155" s="315">
        <f t="shared" si="17"/>
        <v>512017.47799820022</v>
      </c>
      <c r="M155" s="128"/>
      <c r="N155" s="129"/>
      <c r="O155" s="126"/>
      <c r="P155" s="126"/>
      <c r="Q155" s="130"/>
    </row>
    <row r="156" spans="1:17" s="125" customFormat="1" x14ac:dyDescent="0.25">
      <c r="A156" s="174">
        <f>Données!A156</f>
        <v>5661</v>
      </c>
      <c r="B156" s="325" t="str">
        <f>Données!B156</f>
        <v>Boulens</v>
      </c>
      <c r="C156" s="174">
        <f>Données!AR156</f>
        <v>0</v>
      </c>
      <c r="D156" s="326">
        <f>Données!Z156</f>
        <v>383</v>
      </c>
      <c r="E156" s="127">
        <f>Données!X156</f>
        <v>71.5</v>
      </c>
      <c r="F156" s="31">
        <f>VPI!L156</f>
        <v>726555.55</v>
      </c>
      <c r="G156" s="8">
        <f t="shared" si="13"/>
        <v>20323.232167832168</v>
      </c>
      <c r="H156" s="26">
        <f t="shared" si="14"/>
        <v>34207.605816327785</v>
      </c>
      <c r="I156" s="8">
        <f t="shared" si="15"/>
        <v>20323.232167832168</v>
      </c>
      <c r="J156" s="8">
        <f>VPI!R156</f>
        <v>11008.776923076925</v>
      </c>
      <c r="K156" s="221">
        <f t="shared" si="16"/>
        <v>12994.184347673316</v>
      </c>
      <c r="L156" s="315">
        <f t="shared" si="17"/>
        <v>33317.41651550548</v>
      </c>
      <c r="M156" s="128"/>
      <c r="N156" s="129"/>
      <c r="O156" s="126"/>
      <c r="P156" s="126"/>
      <c r="Q156" s="130"/>
    </row>
    <row r="157" spans="1:17" s="125" customFormat="1" x14ac:dyDescent="0.25">
      <c r="A157" s="174">
        <f>Données!A157</f>
        <v>5663</v>
      </c>
      <c r="B157" s="325" t="str">
        <f>Données!B157</f>
        <v>Bussy-sur-Moudon</v>
      </c>
      <c r="C157" s="174">
        <f>Données!AR157</f>
        <v>0</v>
      </c>
      <c r="D157" s="326">
        <f>Données!Z157</f>
        <v>246</v>
      </c>
      <c r="E157" s="127">
        <f>Données!X157</f>
        <v>78.5</v>
      </c>
      <c r="F157" s="31">
        <f>VPI!L157</f>
        <v>472091.79</v>
      </c>
      <c r="G157" s="8">
        <f t="shared" si="13"/>
        <v>12027.816305732484</v>
      </c>
      <c r="H157" s="26">
        <f t="shared" si="14"/>
        <v>21971.464832419413</v>
      </c>
      <c r="I157" s="8">
        <f t="shared" si="15"/>
        <v>12027.816305732484</v>
      </c>
      <c r="J157" s="8">
        <f>VPI!R157</f>
        <v>6460.7661146496821</v>
      </c>
      <c r="K157" s="221">
        <f t="shared" si="16"/>
        <v>7625.9503219631561</v>
      </c>
      <c r="L157" s="315">
        <f t="shared" si="17"/>
        <v>19653.766627695641</v>
      </c>
      <c r="M157" s="128"/>
      <c r="N157" s="129"/>
      <c r="O157" s="126"/>
      <c r="P157" s="126"/>
      <c r="Q157" s="130"/>
    </row>
    <row r="158" spans="1:17" s="125" customFormat="1" x14ac:dyDescent="0.25">
      <c r="A158" s="174">
        <f>Données!A158</f>
        <v>5665</v>
      </c>
      <c r="B158" s="325" t="str">
        <f>Données!B158</f>
        <v>Chavannes-sur-Moudon</v>
      </c>
      <c r="C158" s="174">
        <f>Données!AR158</f>
        <v>0</v>
      </c>
      <c r="D158" s="326">
        <f>Données!Z158</f>
        <v>218</v>
      </c>
      <c r="E158" s="127">
        <f>Données!X158</f>
        <v>70</v>
      </c>
      <c r="F158" s="31">
        <f>VPI!L158</f>
        <v>376439.36000000004</v>
      </c>
      <c r="G158" s="8">
        <f t="shared" si="13"/>
        <v>10755.410285714286</v>
      </c>
      <c r="H158" s="26">
        <f t="shared" si="14"/>
        <v>19470.647697022083</v>
      </c>
      <c r="I158" s="8">
        <f t="shared" si="15"/>
        <v>10755.410285714286</v>
      </c>
      <c r="J158" s="8">
        <f>VPI!R158</f>
        <v>5786.5608571428584</v>
      </c>
      <c r="K158" s="221">
        <f t="shared" si="16"/>
        <v>6830.1537075500073</v>
      </c>
      <c r="L158" s="315">
        <f t="shared" si="17"/>
        <v>17585.563993264295</v>
      </c>
      <c r="M158" s="128"/>
      <c r="N158" s="129"/>
      <c r="O158" s="126"/>
      <c r="P158" s="126"/>
      <c r="Q158" s="130"/>
    </row>
    <row r="159" spans="1:17" s="125" customFormat="1" x14ac:dyDescent="0.25">
      <c r="A159" s="174">
        <f>Données!A159</f>
        <v>5669</v>
      </c>
      <c r="B159" s="325" t="str">
        <f>Données!B159</f>
        <v>Curtilles</v>
      </c>
      <c r="C159" s="174">
        <f>Données!AR159</f>
        <v>0</v>
      </c>
      <c r="D159" s="326">
        <f>Données!Z159</f>
        <v>294</v>
      </c>
      <c r="E159" s="127">
        <f>Données!X159</f>
        <v>73</v>
      </c>
      <c r="F159" s="31">
        <f>VPI!L159</f>
        <v>566581.5399999998</v>
      </c>
      <c r="G159" s="8">
        <f t="shared" si="13"/>
        <v>15522.781917808214</v>
      </c>
      <c r="H159" s="26">
        <f t="shared" si="14"/>
        <v>26258.579921671982</v>
      </c>
      <c r="I159" s="8">
        <f t="shared" si="15"/>
        <v>15522.781917808214</v>
      </c>
      <c r="J159" s="8">
        <f>VPI!R159</f>
        <v>8428.0279452054765</v>
      </c>
      <c r="K159" s="221">
        <f t="shared" si="16"/>
        <v>9948.0032679900141</v>
      </c>
      <c r="L159" s="315">
        <f t="shared" si="17"/>
        <v>25470.785185798228</v>
      </c>
      <c r="M159" s="128"/>
      <c r="N159" s="129"/>
      <c r="O159" s="126"/>
      <c r="P159" s="126"/>
      <c r="Q159" s="130"/>
    </row>
    <row r="160" spans="1:17" s="125" customFormat="1" x14ac:dyDescent="0.25">
      <c r="A160" s="174">
        <f>Données!A160</f>
        <v>5671</v>
      </c>
      <c r="B160" s="325" t="str">
        <f>Données!B160</f>
        <v>Dompierre</v>
      </c>
      <c r="C160" s="174">
        <f>Données!AR160</f>
        <v>0</v>
      </c>
      <c r="D160" s="326">
        <f>Données!Z160</f>
        <v>248</v>
      </c>
      <c r="E160" s="127">
        <f>Données!X160</f>
        <v>78</v>
      </c>
      <c r="F160" s="31">
        <f>VPI!L160</f>
        <v>489251.01999999996</v>
      </c>
      <c r="G160" s="8">
        <f t="shared" si="13"/>
        <v>12544.897948717948</v>
      </c>
      <c r="H160" s="26">
        <f t="shared" si="14"/>
        <v>22150.094627804938</v>
      </c>
      <c r="I160" s="8">
        <f t="shared" si="15"/>
        <v>12544.897948717948</v>
      </c>
      <c r="J160" s="8">
        <f>VPI!R160</f>
        <v>6751.3758974358971</v>
      </c>
      <c r="K160" s="221">
        <f t="shared" si="16"/>
        <v>7968.9709060977584</v>
      </c>
      <c r="L160" s="315">
        <f t="shared" si="17"/>
        <v>20513.868854815708</v>
      </c>
      <c r="M160" s="128"/>
      <c r="N160" s="129"/>
      <c r="O160" s="126"/>
      <c r="P160" s="126"/>
      <c r="Q160" s="130"/>
    </row>
    <row r="161" spans="1:17" s="125" customFormat="1" x14ac:dyDescent="0.25">
      <c r="A161" s="174">
        <f>Données!A161</f>
        <v>5673</v>
      </c>
      <c r="B161" s="325" t="str">
        <f>Données!B161</f>
        <v>Hermenches</v>
      </c>
      <c r="C161" s="174">
        <f>Données!AR161</f>
        <v>0</v>
      </c>
      <c r="D161" s="326">
        <f>Données!Z161</f>
        <v>374</v>
      </c>
      <c r="E161" s="127">
        <f>Données!X161</f>
        <v>73.5</v>
      </c>
      <c r="F161" s="31">
        <f>VPI!L161</f>
        <v>659276.54999999981</v>
      </c>
      <c r="G161" s="8">
        <f t="shared" si="13"/>
        <v>17939.497959183667</v>
      </c>
      <c r="H161" s="26">
        <f t="shared" si="14"/>
        <v>33403.771737092931</v>
      </c>
      <c r="I161" s="8">
        <f t="shared" si="15"/>
        <v>17939.497959183667</v>
      </c>
      <c r="J161" s="8">
        <f>VPI!R161</f>
        <v>9675.0074829931946</v>
      </c>
      <c r="K161" s="221">
        <f t="shared" si="16"/>
        <v>11419.872677735601</v>
      </c>
      <c r="L161" s="315">
        <f t="shared" si="17"/>
        <v>29359.370636919266</v>
      </c>
      <c r="M161" s="128"/>
      <c r="N161" s="129"/>
      <c r="O161" s="126"/>
      <c r="P161" s="126"/>
      <c r="Q161" s="130"/>
    </row>
    <row r="162" spans="1:17" s="125" customFormat="1" x14ac:dyDescent="0.25">
      <c r="A162" s="174">
        <f>Données!A162</f>
        <v>5674</v>
      </c>
      <c r="B162" s="325" t="str">
        <f>Données!B162</f>
        <v>Lovatens</v>
      </c>
      <c r="C162" s="174">
        <f>Données!AR162</f>
        <v>0</v>
      </c>
      <c r="D162" s="326">
        <f>Données!Z162</f>
        <v>143</v>
      </c>
      <c r="E162" s="127">
        <f>Données!X162</f>
        <v>75</v>
      </c>
      <c r="F162" s="31">
        <f>VPI!L162</f>
        <v>244161.88</v>
      </c>
      <c r="G162" s="8">
        <f t="shared" si="13"/>
        <v>6510.9834666666666</v>
      </c>
      <c r="H162" s="26">
        <f t="shared" si="14"/>
        <v>12772.030370064944</v>
      </c>
      <c r="I162" s="8">
        <f t="shared" si="15"/>
        <v>6510.9834666666666</v>
      </c>
      <c r="J162" s="8">
        <f>VPI!R162</f>
        <v>3538.9463999999998</v>
      </c>
      <c r="K162" s="221">
        <f t="shared" si="16"/>
        <v>4177.1871879552937</v>
      </c>
      <c r="L162" s="315">
        <f t="shared" si="17"/>
        <v>10688.170654621961</v>
      </c>
      <c r="M162" s="128"/>
      <c r="N162" s="129"/>
      <c r="O162" s="126"/>
      <c r="P162" s="126"/>
      <c r="Q162" s="130"/>
    </row>
    <row r="163" spans="1:17" s="125" customFormat="1" x14ac:dyDescent="0.25">
      <c r="A163" s="174">
        <f>Données!A163</f>
        <v>5675</v>
      </c>
      <c r="B163" s="325" t="str">
        <f>Données!B163</f>
        <v>Lucens</v>
      </c>
      <c r="C163" s="174">
        <f>Données!AR163</f>
        <v>0</v>
      </c>
      <c r="D163" s="326">
        <f>Données!Z163</f>
        <v>4420</v>
      </c>
      <c r="E163" s="127">
        <f>Données!X163</f>
        <v>69.5</v>
      </c>
      <c r="F163" s="31">
        <f>VPI!L163</f>
        <v>5722883.4699999997</v>
      </c>
      <c r="G163" s="8">
        <f t="shared" si="13"/>
        <v>164687.29410071942</v>
      </c>
      <c r="H163" s="198">
        <f t="shared" si="14"/>
        <v>394771.84780200734</v>
      </c>
      <c r="I163" s="8">
        <f t="shared" si="15"/>
        <v>164687.29410071942</v>
      </c>
      <c r="J163" s="8">
        <f>VPI!R163</f>
        <v>92803.818404185746</v>
      </c>
      <c r="K163" s="221">
        <f t="shared" si="16"/>
        <v>109540.77214373589</v>
      </c>
      <c r="L163" s="315">
        <f t="shared" si="17"/>
        <v>274228.06624445529</v>
      </c>
      <c r="M163" s="128"/>
      <c r="N163" s="129"/>
      <c r="O163" s="126"/>
      <c r="P163" s="126"/>
      <c r="Q163" s="130"/>
    </row>
    <row r="164" spans="1:17" s="125" customFormat="1" x14ac:dyDescent="0.25">
      <c r="A164" s="174">
        <f>Données!A164</f>
        <v>5678</v>
      </c>
      <c r="B164" s="325" t="str">
        <f>Données!B164</f>
        <v>Moudon</v>
      </c>
      <c r="C164" s="174">
        <f>Données!AR164</f>
        <v>0</v>
      </c>
      <c r="D164" s="326">
        <f>Données!Z164</f>
        <v>6132</v>
      </c>
      <c r="E164" s="127">
        <f>Données!X164</f>
        <v>72.5</v>
      </c>
      <c r="F164" s="31">
        <f>VPI!L164</f>
        <v>8498985.3199999984</v>
      </c>
      <c r="G164" s="8">
        <f t="shared" si="13"/>
        <v>234454.76744827582</v>
      </c>
      <c r="H164" s="26">
        <f t="shared" si="14"/>
        <v>547678.95265201561</v>
      </c>
      <c r="I164" s="8">
        <f t="shared" si="15"/>
        <v>234454.76744827582</v>
      </c>
      <c r="J164" s="8">
        <f>VPI!R164</f>
        <v>130675.7416551724</v>
      </c>
      <c r="K164" s="221">
        <f t="shared" si="16"/>
        <v>154242.80905145724</v>
      </c>
      <c r="L164" s="315">
        <f t="shared" si="17"/>
        <v>388697.57649973303</v>
      </c>
      <c r="M164" s="128"/>
      <c r="N164" s="129"/>
      <c r="O164" s="126"/>
      <c r="P164" s="126"/>
      <c r="Q164" s="130"/>
    </row>
    <row r="165" spans="1:17" s="125" customFormat="1" x14ac:dyDescent="0.25">
      <c r="A165" s="174">
        <f>Données!A165</f>
        <v>5680</v>
      </c>
      <c r="B165" s="325" t="str">
        <f>Données!B165</f>
        <v>Ogens</v>
      </c>
      <c r="C165" s="174">
        <f>Données!AR165</f>
        <v>0</v>
      </c>
      <c r="D165" s="326">
        <f>Données!Z165</f>
        <v>324</v>
      </c>
      <c r="E165" s="127">
        <f>Données!X165</f>
        <v>78</v>
      </c>
      <c r="F165" s="31">
        <f>VPI!L165</f>
        <v>728606.07000000007</v>
      </c>
      <c r="G165" s="8">
        <f t="shared" si="13"/>
        <v>18682.206923076923</v>
      </c>
      <c r="H165" s="26">
        <f t="shared" si="14"/>
        <v>28938.026852454837</v>
      </c>
      <c r="I165" s="8">
        <f t="shared" si="15"/>
        <v>18682.206923076923</v>
      </c>
      <c r="J165" s="8">
        <f>VPI!R165</f>
        <v>10096.830811965814</v>
      </c>
      <c r="K165" s="221">
        <f t="shared" si="16"/>
        <v>11917.770867254683</v>
      </c>
      <c r="L165" s="315">
        <f t="shared" si="17"/>
        <v>30599.977790331606</v>
      </c>
      <c r="M165" s="128"/>
      <c r="N165" s="129"/>
      <c r="O165" s="126"/>
      <c r="P165" s="126"/>
      <c r="Q165" s="130"/>
    </row>
    <row r="166" spans="1:17" s="125" customFormat="1" x14ac:dyDescent="0.25">
      <c r="A166" s="174">
        <f>Données!A166</f>
        <v>5683</v>
      </c>
      <c r="B166" s="325" t="str">
        <f>Données!B166</f>
        <v>Prévonloup</v>
      </c>
      <c r="C166" s="174">
        <f>Données!AR166</f>
        <v>0</v>
      </c>
      <c r="D166" s="326">
        <f>Données!Z166</f>
        <v>220</v>
      </c>
      <c r="E166" s="127">
        <f>Données!X166</f>
        <v>72.5</v>
      </c>
      <c r="F166" s="31">
        <f>VPI!L166</f>
        <v>341781.71000000008</v>
      </c>
      <c r="G166" s="8">
        <f t="shared" si="13"/>
        <v>9428.4609655172444</v>
      </c>
      <c r="H166" s="26">
        <f t="shared" si="14"/>
        <v>19649.277492407607</v>
      </c>
      <c r="I166" s="8">
        <f t="shared" si="15"/>
        <v>9428.4609655172444</v>
      </c>
      <c r="J166" s="8">
        <f>VPI!R166</f>
        <v>5181.5891034482765</v>
      </c>
      <c r="K166" s="221">
        <f t="shared" si="16"/>
        <v>6116.0766990347456</v>
      </c>
      <c r="L166" s="315">
        <f t="shared" si="17"/>
        <v>15544.53766455199</v>
      </c>
      <c r="M166" s="128"/>
      <c r="N166" s="129"/>
      <c r="O166" s="126"/>
      <c r="P166" s="126"/>
      <c r="Q166" s="130"/>
    </row>
    <row r="167" spans="1:17" s="125" customFormat="1" x14ac:dyDescent="0.25">
      <c r="A167" s="174">
        <f>Données!A167</f>
        <v>5684</v>
      </c>
      <c r="B167" s="325" t="str">
        <f>Données!B167</f>
        <v>Rossenges</v>
      </c>
      <c r="C167" s="174">
        <f>Données!AR167</f>
        <v>0</v>
      </c>
      <c r="D167" s="326">
        <f>Données!Z167</f>
        <v>93</v>
      </c>
      <c r="E167" s="127">
        <f>Données!X167</f>
        <v>75</v>
      </c>
      <c r="F167" s="31">
        <f>VPI!L167</f>
        <v>513865.94000000006</v>
      </c>
      <c r="G167" s="8">
        <f t="shared" si="13"/>
        <v>13703.091733333335</v>
      </c>
      <c r="H167" s="26">
        <f t="shared" si="14"/>
        <v>8306.2854854268517</v>
      </c>
      <c r="I167" s="8">
        <f t="shared" si="15"/>
        <v>8306.2854854268517</v>
      </c>
      <c r="J167" s="8">
        <f>VPI!R167</f>
        <v>7033.3142000000007</v>
      </c>
      <c r="K167" s="221">
        <f t="shared" si="16"/>
        <v>8301.7561286330983</v>
      </c>
      <c r="L167" s="315">
        <f t="shared" si="17"/>
        <v>16608.041614059948</v>
      </c>
      <c r="M167" s="128"/>
      <c r="N167" s="129"/>
      <c r="O167" s="126"/>
      <c r="P167" s="126"/>
      <c r="Q167" s="130"/>
    </row>
    <row r="168" spans="1:17" s="125" customFormat="1" x14ac:dyDescent="0.25">
      <c r="A168" s="174">
        <f>Données!A168</f>
        <v>5688</v>
      </c>
      <c r="B168" s="325" t="str">
        <f>Données!B168</f>
        <v>Syens</v>
      </c>
      <c r="C168" s="174">
        <f>Données!AR168</f>
        <v>0</v>
      </c>
      <c r="D168" s="326">
        <f>Données!Z168</f>
        <v>164</v>
      </c>
      <c r="E168" s="127">
        <f>Données!X168</f>
        <v>65</v>
      </c>
      <c r="F168" s="31">
        <f>VPI!L168</f>
        <v>318292.38</v>
      </c>
      <c r="G168" s="8">
        <f t="shared" si="13"/>
        <v>9793.6116923076916</v>
      </c>
      <c r="H168" s="26">
        <f t="shared" si="14"/>
        <v>14647.643221612943</v>
      </c>
      <c r="I168" s="8">
        <f t="shared" si="15"/>
        <v>9793.6116923076916</v>
      </c>
      <c r="J168" s="8">
        <f>VPI!R168</f>
        <v>5277.0104615384616</v>
      </c>
      <c r="K168" s="221">
        <f t="shared" si="16"/>
        <v>6228.7070780853055</v>
      </c>
      <c r="L168" s="315">
        <f t="shared" si="17"/>
        <v>16022.318770392998</v>
      </c>
      <c r="M168" s="128"/>
      <c r="N168" s="129"/>
      <c r="O168" s="126"/>
      <c r="P168" s="126"/>
      <c r="Q168" s="130"/>
    </row>
    <row r="169" spans="1:17" s="125" customFormat="1" x14ac:dyDescent="0.25">
      <c r="A169" s="174">
        <f>Données!A169</f>
        <v>5690</v>
      </c>
      <c r="B169" s="325" t="str">
        <f>Données!B169</f>
        <v>Villars-le-Comte</v>
      </c>
      <c r="C169" s="174">
        <f>Données!AR169</f>
        <v>0</v>
      </c>
      <c r="D169" s="326">
        <f>Données!Z169</f>
        <v>138</v>
      </c>
      <c r="E169" s="127">
        <f>Données!X169</f>
        <v>70</v>
      </c>
      <c r="F169" s="31">
        <f>VPI!L169</f>
        <v>280675.34000000003</v>
      </c>
      <c r="G169" s="8">
        <f t="shared" si="13"/>
        <v>8019.2954285714295</v>
      </c>
      <c r="H169" s="26">
        <f t="shared" si="14"/>
        <v>12325.455881601134</v>
      </c>
      <c r="I169" s="8">
        <f t="shared" si="15"/>
        <v>8019.2954285714295</v>
      </c>
      <c r="J169" s="8">
        <f>VPI!R169</f>
        <v>4331.3836666666666</v>
      </c>
      <c r="K169" s="221">
        <f t="shared" si="16"/>
        <v>5112.5386805855051</v>
      </c>
      <c r="L169" s="315">
        <f t="shared" si="17"/>
        <v>13131.834109156935</v>
      </c>
      <c r="M169" s="128"/>
      <c r="N169" s="129"/>
      <c r="O169" s="126"/>
      <c r="P169" s="126"/>
      <c r="Q169" s="130"/>
    </row>
    <row r="170" spans="1:17" s="125" customFormat="1" x14ac:dyDescent="0.25">
      <c r="A170" s="174">
        <f>Données!A170</f>
        <v>5692</v>
      </c>
      <c r="B170" s="325" t="str">
        <f>Données!B170</f>
        <v>Vucherens</v>
      </c>
      <c r="C170" s="174">
        <f>Données!AR170</f>
        <v>0</v>
      </c>
      <c r="D170" s="326">
        <f>Données!Z170</f>
        <v>637</v>
      </c>
      <c r="E170" s="127">
        <f>Données!X170</f>
        <v>77</v>
      </c>
      <c r="F170" s="31">
        <f>VPI!L170</f>
        <v>1344863.6900000002</v>
      </c>
      <c r="G170" s="8">
        <f t="shared" si="13"/>
        <v>34931.524415584419</v>
      </c>
      <c r="H170" s="26">
        <f t="shared" si="14"/>
        <v>56893.589830289297</v>
      </c>
      <c r="I170" s="8">
        <f t="shared" si="15"/>
        <v>34931.524415584419</v>
      </c>
      <c r="J170" s="8">
        <f>VPI!R170</f>
        <v>18948.300519480523</v>
      </c>
      <c r="K170" s="221">
        <f t="shared" si="16"/>
        <v>22365.582638804779</v>
      </c>
      <c r="L170" s="315">
        <f t="shared" si="17"/>
        <v>57297.107054389198</v>
      </c>
      <c r="M170" s="128"/>
      <c r="N170" s="129"/>
      <c r="O170" s="126"/>
      <c r="P170" s="126"/>
      <c r="Q170" s="130"/>
    </row>
    <row r="171" spans="1:17" s="125" customFormat="1" x14ac:dyDescent="0.25">
      <c r="A171" s="174">
        <f>Données!A171</f>
        <v>5693</v>
      </c>
      <c r="B171" s="325" t="str">
        <f>Données!B171</f>
        <v>Montanaire</v>
      </c>
      <c r="C171" s="174">
        <f>Données!AR171</f>
        <v>0</v>
      </c>
      <c r="D171" s="326">
        <f>Données!Z171</f>
        <v>2820</v>
      </c>
      <c r="E171" s="127">
        <f>Données!X171</f>
        <v>70</v>
      </c>
      <c r="F171" s="31">
        <f>VPI!L171</f>
        <v>5150454.2499999991</v>
      </c>
      <c r="G171" s="8">
        <f t="shared" si="13"/>
        <v>147155.8357142857</v>
      </c>
      <c r="H171" s="26">
        <f t="shared" si="14"/>
        <v>251868.01149358842</v>
      </c>
      <c r="I171" s="8">
        <f t="shared" si="15"/>
        <v>147155.8357142857</v>
      </c>
      <c r="J171" s="8">
        <f>VPI!R171</f>
        <v>80078.044999999984</v>
      </c>
      <c r="K171" s="221">
        <f t="shared" si="16"/>
        <v>94519.93497570559</v>
      </c>
      <c r="L171" s="315">
        <f t="shared" si="17"/>
        <v>241675.7706899913</v>
      </c>
      <c r="M171" s="128"/>
      <c r="N171" s="129"/>
      <c r="O171" s="126"/>
      <c r="P171" s="126"/>
      <c r="Q171" s="130"/>
    </row>
    <row r="172" spans="1:17" s="125" customFormat="1" x14ac:dyDescent="0.25">
      <c r="A172" s="174">
        <f>Données!A172</f>
        <v>5701</v>
      </c>
      <c r="B172" s="325" t="str">
        <f>Données!B172</f>
        <v>Arnex-sur-Nyon</v>
      </c>
      <c r="C172" s="174">
        <f>Données!AR172</f>
        <v>0</v>
      </c>
      <c r="D172" s="326">
        <f>Données!Z172</f>
        <v>240</v>
      </c>
      <c r="E172" s="127">
        <f>Données!X172</f>
        <v>70</v>
      </c>
      <c r="F172" s="31">
        <f>VPI!L172</f>
        <v>835242.99</v>
      </c>
      <c r="G172" s="8">
        <f t="shared" si="13"/>
        <v>23864.085428571427</v>
      </c>
      <c r="H172" s="26">
        <f t="shared" si="14"/>
        <v>21435.575446262843</v>
      </c>
      <c r="I172" s="8">
        <f t="shared" si="15"/>
        <v>21435.575446262843</v>
      </c>
      <c r="J172" s="8">
        <f>VPI!R172</f>
        <v>12996.826285714285</v>
      </c>
      <c r="K172" s="221">
        <f t="shared" si="16"/>
        <v>15340.773809054101</v>
      </c>
      <c r="L172" s="315">
        <f t="shared" si="17"/>
        <v>36776.349255316942</v>
      </c>
      <c r="M172" s="128"/>
      <c r="N172" s="129"/>
      <c r="O172" s="126"/>
      <c r="P172" s="126"/>
      <c r="Q172" s="130"/>
    </row>
    <row r="173" spans="1:17" s="125" customFormat="1" x14ac:dyDescent="0.25">
      <c r="A173" s="174">
        <f>Données!A173</f>
        <v>5702</v>
      </c>
      <c r="B173" s="325" t="str">
        <f>Données!B173</f>
        <v>Arzier-Le Muids</v>
      </c>
      <c r="C173" s="174">
        <f>Données!AR173</f>
        <v>0</v>
      </c>
      <c r="D173" s="326">
        <f>Données!Z173</f>
        <v>2954</v>
      </c>
      <c r="E173" s="127">
        <f>Données!X173</f>
        <v>64</v>
      </c>
      <c r="F173" s="31">
        <f>VPI!L173</f>
        <v>11145859.790000001</v>
      </c>
      <c r="G173" s="8">
        <f t="shared" si="13"/>
        <v>348308.11843750003</v>
      </c>
      <c r="H173" s="26">
        <f t="shared" si="14"/>
        <v>263836.20778441848</v>
      </c>
      <c r="I173" s="8">
        <f t="shared" si="15"/>
        <v>263836.20778441848</v>
      </c>
      <c r="J173" s="8">
        <f>VPI!R173</f>
        <v>187984.45531250001</v>
      </c>
      <c r="K173" s="221">
        <f t="shared" si="16"/>
        <v>221887.01650472282</v>
      </c>
      <c r="L173" s="315">
        <f t="shared" si="17"/>
        <v>485723.2242891413</v>
      </c>
      <c r="M173" s="128"/>
      <c r="N173" s="129"/>
      <c r="O173" s="126"/>
      <c r="P173" s="126"/>
      <c r="Q173" s="130"/>
    </row>
    <row r="174" spans="1:17" s="125" customFormat="1" x14ac:dyDescent="0.25">
      <c r="A174" s="174">
        <f>Données!A174</f>
        <v>5703</v>
      </c>
      <c r="B174" s="325" t="str">
        <f>Données!B174</f>
        <v>Bassins</v>
      </c>
      <c r="C174" s="174">
        <f>Données!AR174</f>
        <v>0</v>
      </c>
      <c r="D174" s="326">
        <f>Données!Z174</f>
        <v>1478</v>
      </c>
      <c r="E174" s="127">
        <f>Données!X174</f>
        <v>72.5</v>
      </c>
      <c r="F174" s="31">
        <f>VPI!L174</f>
        <v>4399892.12</v>
      </c>
      <c r="G174" s="8">
        <f t="shared" si="13"/>
        <v>121376.33434482758</v>
      </c>
      <c r="H174" s="26">
        <f t="shared" si="14"/>
        <v>132007.418789902</v>
      </c>
      <c r="I174" s="8">
        <f t="shared" si="15"/>
        <v>121376.33434482758</v>
      </c>
      <c r="J174" s="8">
        <f>VPI!R174</f>
        <v>65441.246975369453</v>
      </c>
      <c r="K174" s="221">
        <f t="shared" si="16"/>
        <v>77243.424322372157</v>
      </c>
      <c r="L174" s="315">
        <f t="shared" si="17"/>
        <v>198619.75866719976</v>
      </c>
      <c r="M174" s="128"/>
      <c r="N174" s="129"/>
      <c r="O174" s="126"/>
      <c r="P174" s="126"/>
      <c r="Q174" s="130"/>
    </row>
    <row r="175" spans="1:17" s="125" customFormat="1" x14ac:dyDescent="0.25">
      <c r="A175" s="174">
        <f>Données!A175</f>
        <v>5704</v>
      </c>
      <c r="B175" s="325" t="str">
        <f>Données!B175</f>
        <v>Begnins</v>
      </c>
      <c r="C175" s="174">
        <f>Données!AR175</f>
        <v>0</v>
      </c>
      <c r="D175" s="326">
        <f>Données!Z175</f>
        <v>1938</v>
      </c>
      <c r="E175" s="127">
        <f>Données!X175</f>
        <v>62.5</v>
      </c>
      <c r="F175" s="31">
        <f>VPI!L175</f>
        <v>7541185.7199999997</v>
      </c>
      <c r="G175" s="8">
        <f t="shared" si="13"/>
        <v>241317.94303999998</v>
      </c>
      <c r="H175" s="26">
        <f t="shared" si="14"/>
        <v>173092.27172857246</v>
      </c>
      <c r="I175" s="8">
        <f t="shared" si="15"/>
        <v>173092.27172857246</v>
      </c>
      <c r="J175" s="8">
        <f>VPI!R175</f>
        <v>129730.03685333332</v>
      </c>
      <c r="K175" s="221">
        <f t="shared" si="16"/>
        <v>153126.54857861425</v>
      </c>
      <c r="L175" s="315">
        <f t="shared" si="17"/>
        <v>326218.82030718669</v>
      </c>
      <c r="M175" s="128"/>
      <c r="N175" s="129"/>
      <c r="O175" s="126"/>
      <c r="P175" s="126"/>
      <c r="Q175" s="130"/>
    </row>
    <row r="176" spans="1:17" s="125" customFormat="1" x14ac:dyDescent="0.25">
      <c r="A176" s="174">
        <f>Données!A176</f>
        <v>5705</v>
      </c>
      <c r="B176" s="325" t="str">
        <f>Données!B176</f>
        <v>Bogis-Bossey</v>
      </c>
      <c r="C176" s="174">
        <f>Données!AR176</f>
        <v>0</v>
      </c>
      <c r="D176" s="326">
        <f>Données!Z176</f>
        <v>923</v>
      </c>
      <c r="E176" s="127">
        <f>Données!X176</f>
        <v>74.5</v>
      </c>
      <c r="F176" s="31">
        <f>VPI!L176</f>
        <v>3560871.2799999993</v>
      </c>
      <c r="G176" s="8">
        <f t="shared" si="13"/>
        <v>95593.859865771796</v>
      </c>
      <c r="H176" s="26">
        <f t="shared" si="14"/>
        <v>82437.65057041918</v>
      </c>
      <c r="I176" s="8">
        <f t="shared" si="15"/>
        <v>82437.65057041918</v>
      </c>
      <c r="J176" s="8">
        <f>VPI!R176</f>
        <v>51044.070201342278</v>
      </c>
      <c r="K176" s="221">
        <f t="shared" si="16"/>
        <v>60249.750057287543</v>
      </c>
      <c r="L176" s="315">
        <f t="shared" si="17"/>
        <v>142687.40062770672</v>
      </c>
      <c r="M176" s="128"/>
      <c r="N176" s="129"/>
      <c r="O176" s="126"/>
      <c r="P176" s="126"/>
      <c r="Q176" s="130"/>
    </row>
    <row r="177" spans="1:17" s="125" customFormat="1" x14ac:dyDescent="0.25">
      <c r="A177" s="174">
        <f>Données!A177</f>
        <v>5706</v>
      </c>
      <c r="B177" s="325" t="str">
        <f>Données!B177</f>
        <v>Borex</v>
      </c>
      <c r="C177" s="174">
        <f>Données!AR177</f>
        <v>0</v>
      </c>
      <c r="D177" s="326">
        <f>Données!Z177</f>
        <v>1131</v>
      </c>
      <c r="E177" s="127">
        <f>Données!X177</f>
        <v>57</v>
      </c>
      <c r="F177" s="31">
        <f>VPI!L177</f>
        <v>8638022.3399999999</v>
      </c>
      <c r="G177" s="8">
        <f t="shared" si="13"/>
        <v>303088.50315789471</v>
      </c>
      <c r="H177" s="26">
        <f t="shared" si="14"/>
        <v>101015.14929051365</v>
      </c>
      <c r="I177" s="8">
        <f t="shared" si="15"/>
        <v>101015.14929051365</v>
      </c>
      <c r="J177" s="8">
        <f>VPI!R177</f>
        <v>156857.9796491228</v>
      </c>
      <c r="K177" s="221">
        <f t="shared" si="16"/>
        <v>185146.953036324</v>
      </c>
      <c r="L177" s="315">
        <f t="shared" si="17"/>
        <v>286162.10232683766</v>
      </c>
      <c r="M177" s="128"/>
      <c r="N177" s="129"/>
      <c r="O177" s="126"/>
      <c r="P177" s="126"/>
      <c r="Q177" s="130"/>
    </row>
    <row r="178" spans="1:17" s="125" customFormat="1" x14ac:dyDescent="0.25">
      <c r="A178" s="174">
        <f>Données!A178</f>
        <v>5707</v>
      </c>
      <c r="B178" s="325" t="str">
        <f>Données!B178</f>
        <v>Chavannes-de-Bogis</v>
      </c>
      <c r="C178" s="174">
        <f>Données!AR178</f>
        <v>0</v>
      </c>
      <c r="D178" s="326">
        <f>Données!Z178</f>
        <v>1314</v>
      </c>
      <c r="E178" s="127">
        <f>Données!X178</f>
        <v>58</v>
      </c>
      <c r="F178" s="31">
        <f>VPI!L178</f>
        <v>4469246.8</v>
      </c>
      <c r="G178" s="8">
        <f t="shared" si="13"/>
        <v>154111.95862068963</v>
      </c>
      <c r="H178" s="26">
        <f t="shared" si="14"/>
        <v>117359.77556828907</v>
      </c>
      <c r="I178" s="8">
        <f t="shared" si="15"/>
        <v>117359.77556828907</v>
      </c>
      <c r="J178" s="8">
        <f>VPI!R178</f>
        <v>86804.197126436775</v>
      </c>
      <c r="K178" s="221">
        <f t="shared" si="16"/>
        <v>102459.13306211629</v>
      </c>
      <c r="L178" s="315">
        <f t="shared" si="17"/>
        <v>219818.90863040538</v>
      </c>
      <c r="M178" s="128"/>
      <c r="N178" s="129"/>
      <c r="O178" s="126"/>
      <c r="P178" s="126"/>
      <c r="Q178" s="130"/>
    </row>
    <row r="179" spans="1:17" s="125" customFormat="1" x14ac:dyDescent="0.25">
      <c r="A179" s="174">
        <f>Données!A179</f>
        <v>5708</v>
      </c>
      <c r="B179" s="325" t="str">
        <f>Données!B179</f>
        <v>Chavannes-des-Bois</v>
      </c>
      <c r="C179" s="174">
        <f>Données!AR179</f>
        <v>0</v>
      </c>
      <c r="D179" s="326">
        <f>Données!Z179</f>
        <v>1019</v>
      </c>
      <c r="E179" s="127">
        <f>Données!X179</f>
        <v>68</v>
      </c>
      <c r="F179" s="31">
        <f>VPI!L179</f>
        <v>4370366.2899999991</v>
      </c>
      <c r="G179" s="8">
        <f t="shared" si="13"/>
        <v>128540.18499999997</v>
      </c>
      <c r="H179" s="26">
        <f t="shared" si="14"/>
        <v>91011.880748924319</v>
      </c>
      <c r="I179" s="8">
        <f t="shared" si="15"/>
        <v>91011.880748924319</v>
      </c>
      <c r="J179" s="8">
        <f>VPI!R179</f>
        <v>68806.761617647047</v>
      </c>
      <c r="K179" s="221">
        <f t="shared" si="16"/>
        <v>81215.90173672291</v>
      </c>
      <c r="L179" s="315">
        <f t="shared" si="17"/>
        <v>172227.78248564724</v>
      </c>
      <c r="M179" s="128"/>
      <c r="N179" s="129"/>
      <c r="O179" s="126"/>
      <c r="P179" s="126"/>
      <c r="Q179" s="130"/>
    </row>
    <row r="180" spans="1:17" s="125" customFormat="1" x14ac:dyDescent="0.25">
      <c r="A180" s="174">
        <f>Données!A180</f>
        <v>5709</v>
      </c>
      <c r="B180" s="325" t="str">
        <f>Données!B180</f>
        <v>Chéserex</v>
      </c>
      <c r="C180" s="174">
        <f>Données!AR180</f>
        <v>0</v>
      </c>
      <c r="D180" s="326">
        <f>Données!Z180</f>
        <v>1251</v>
      </c>
      <c r="E180" s="127">
        <f>Données!X180</f>
        <v>57</v>
      </c>
      <c r="F180" s="31">
        <f>VPI!L180</f>
        <v>4780503.1900000013</v>
      </c>
      <c r="G180" s="8">
        <f t="shared" si="13"/>
        <v>167736.95403508778</v>
      </c>
      <c r="H180" s="26">
        <f t="shared" si="14"/>
        <v>111732.93701364507</v>
      </c>
      <c r="I180" s="8">
        <f t="shared" si="15"/>
        <v>111732.93701364507</v>
      </c>
      <c r="J180" s="8">
        <f>VPI!R180</f>
        <v>90983.63491228073</v>
      </c>
      <c r="K180" s="221">
        <f t="shared" si="16"/>
        <v>107392.32277414008</v>
      </c>
      <c r="L180" s="315">
        <f t="shared" si="17"/>
        <v>219125.25978778515</v>
      </c>
      <c r="M180" s="128"/>
      <c r="N180" s="129"/>
      <c r="O180" s="126"/>
      <c r="P180" s="126"/>
      <c r="Q180" s="130"/>
    </row>
    <row r="181" spans="1:17" s="125" customFormat="1" x14ac:dyDescent="0.25">
      <c r="A181" s="174">
        <f>Données!A181</f>
        <v>5710</v>
      </c>
      <c r="B181" s="325" t="str">
        <f>Données!B181</f>
        <v>Coinsins</v>
      </c>
      <c r="C181" s="174">
        <f>Données!AR181</f>
        <v>0</v>
      </c>
      <c r="D181" s="326">
        <f>Données!Z181</f>
        <v>499</v>
      </c>
      <c r="E181" s="127">
        <f>Données!X181</f>
        <v>51</v>
      </c>
      <c r="F181" s="31">
        <f>VPI!L181</f>
        <v>1572635.72</v>
      </c>
      <c r="G181" s="8">
        <f t="shared" si="13"/>
        <v>61671.989019607841</v>
      </c>
      <c r="H181" s="26">
        <f t="shared" si="14"/>
        <v>44568.133948688162</v>
      </c>
      <c r="I181" s="8">
        <f t="shared" si="15"/>
        <v>44568.133948688162</v>
      </c>
      <c r="J181" s="8">
        <f>VPI!R181</f>
        <v>33549.646470588232</v>
      </c>
      <c r="K181" s="221">
        <f t="shared" si="16"/>
        <v>39600.247519253382</v>
      </c>
      <c r="L181" s="315">
        <f t="shared" si="17"/>
        <v>84168.381467941537</v>
      </c>
      <c r="M181" s="128"/>
      <c r="N181" s="129"/>
      <c r="O181" s="126"/>
      <c r="P181" s="126"/>
      <c r="Q181" s="130"/>
    </row>
    <row r="182" spans="1:17" s="125" customFormat="1" x14ac:dyDescent="0.25">
      <c r="A182" s="174">
        <f>Données!A182</f>
        <v>5711</v>
      </c>
      <c r="B182" s="325" t="str">
        <f>Données!B182</f>
        <v>Commugny</v>
      </c>
      <c r="C182" s="174">
        <f>Données!AR182</f>
        <v>0</v>
      </c>
      <c r="D182" s="326">
        <f>Données!Z182</f>
        <v>2983</v>
      </c>
      <c r="E182" s="127">
        <f>Données!X182</f>
        <v>57</v>
      </c>
      <c r="F182" s="31">
        <f>VPI!L182</f>
        <v>16413012.42</v>
      </c>
      <c r="G182" s="8">
        <f t="shared" si="13"/>
        <v>575895.17263157899</v>
      </c>
      <c r="H182" s="26">
        <f t="shared" si="14"/>
        <v>266426.33981750859</v>
      </c>
      <c r="I182" s="8">
        <f t="shared" si="15"/>
        <v>266426.33981750859</v>
      </c>
      <c r="J182" s="8">
        <f>VPI!R182</f>
        <v>305461.09360323887</v>
      </c>
      <c r="K182" s="221">
        <f t="shared" si="16"/>
        <v>360550.29446568113</v>
      </c>
      <c r="L182" s="315">
        <f t="shared" si="17"/>
        <v>626976.63428318966</v>
      </c>
      <c r="M182" s="128"/>
      <c r="N182" s="129"/>
      <c r="O182" s="126"/>
      <c r="P182" s="126"/>
      <c r="Q182" s="130"/>
    </row>
    <row r="183" spans="1:17" s="125" customFormat="1" x14ac:dyDescent="0.25">
      <c r="A183" s="174">
        <f>Données!A183</f>
        <v>5712</v>
      </c>
      <c r="B183" s="325" t="str">
        <f>Données!B183</f>
        <v>Coppet</v>
      </c>
      <c r="C183" s="174">
        <f>Données!AR183</f>
        <v>0</v>
      </c>
      <c r="D183" s="326">
        <f>Données!Z183</f>
        <v>3184</v>
      </c>
      <c r="E183" s="127">
        <f>Données!X183</f>
        <v>53</v>
      </c>
      <c r="F183" s="31">
        <f>VPI!L183</f>
        <v>21138035.220000003</v>
      </c>
      <c r="G183" s="8">
        <f t="shared" si="13"/>
        <v>797661.70641509444</v>
      </c>
      <c r="H183" s="26">
        <f t="shared" si="14"/>
        <v>284378.6342537537</v>
      </c>
      <c r="I183" s="8">
        <f t="shared" si="15"/>
        <v>284378.6342537537</v>
      </c>
      <c r="J183" s="8">
        <f>VPI!R183</f>
        <v>422782.58779874217</v>
      </c>
      <c r="K183" s="221">
        <f t="shared" si="16"/>
        <v>499030.44845310168</v>
      </c>
      <c r="L183" s="315">
        <f t="shared" si="17"/>
        <v>783409.08270685538</v>
      </c>
      <c r="M183" s="128"/>
      <c r="N183" s="129"/>
      <c r="O183" s="126"/>
      <c r="P183" s="126"/>
      <c r="Q183" s="130"/>
    </row>
    <row r="184" spans="1:17" s="125" customFormat="1" x14ac:dyDescent="0.25">
      <c r="A184" s="174">
        <f>Données!A184</f>
        <v>5713</v>
      </c>
      <c r="B184" s="325" t="str">
        <f>Données!B184</f>
        <v>Crans</v>
      </c>
      <c r="C184" s="174">
        <f>Données!AR184</f>
        <v>1</v>
      </c>
      <c r="D184" s="326">
        <f>Données!Z184</f>
        <v>2357</v>
      </c>
      <c r="E184" s="127">
        <f>Données!X184</f>
        <v>59</v>
      </c>
      <c r="F184" s="31">
        <f>VPI!L184</f>
        <v>15847474.690000001</v>
      </c>
      <c r="G184" s="8">
        <f t="shared" si="13"/>
        <v>537202.53186440677</v>
      </c>
      <c r="H184" s="26">
        <f t="shared" si="14"/>
        <v>210515.21386183967</v>
      </c>
      <c r="I184" s="8">
        <f t="shared" si="15"/>
        <v>0</v>
      </c>
      <c r="J184" s="8">
        <f>VPI!R184</f>
        <v>284269.17355932208</v>
      </c>
      <c r="K184" s="221">
        <f t="shared" si="16"/>
        <v>335536.46071685059</v>
      </c>
      <c r="L184" s="315">
        <f t="shared" si="17"/>
        <v>335536.46071685059</v>
      </c>
      <c r="M184" s="128"/>
      <c r="N184" s="129"/>
      <c r="O184" s="126"/>
      <c r="P184" s="126"/>
      <c r="Q184" s="130"/>
    </row>
    <row r="185" spans="1:17" s="125" customFormat="1" x14ac:dyDescent="0.25">
      <c r="A185" s="174">
        <f>Données!A185</f>
        <v>5714</v>
      </c>
      <c r="B185" s="325" t="str">
        <f>Données!B185</f>
        <v>Crassier</v>
      </c>
      <c r="C185" s="174">
        <f>Données!AR185</f>
        <v>0</v>
      </c>
      <c r="D185" s="326">
        <f>Données!Z185</f>
        <v>1233</v>
      </c>
      <c r="E185" s="127">
        <f>Données!X185</f>
        <v>66.5</v>
      </c>
      <c r="F185" s="31">
        <f>VPI!L185</f>
        <v>3846777.7600000002</v>
      </c>
      <c r="G185" s="8">
        <f t="shared" si="13"/>
        <v>115692.56421052633</v>
      </c>
      <c r="H185" s="26">
        <f t="shared" si="14"/>
        <v>110125.26885517535</v>
      </c>
      <c r="I185" s="8">
        <f t="shared" si="15"/>
        <v>110125.26885517535</v>
      </c>
      <c r="J185" s="8">
        <f>VPI!R185</f>
        <v>62524.655789473691</v>
      </c>
      <c r="K185" s="221">
        <f t="shared" si="16"/>
        <v>73800.832670171061</v>
      </c>
      <c r="L185" s="315">
        <f t="shared" si="17"/>
        <v>183926.1015253464</v>
      </c>
      <c r="M185" s="128"/>
      <c r="N185" s="129"/>
      <c r="O185" s="126"/>
      <c r="P185" s="126"/>
      <c r="Q185" s="130"/>
    </row>
    <row r="186" spans="1:17" s="125" customFormat="1" x14ac:dyDescent="0.25">
      <c r="A186" s="174">
        <f>Données!A186</f>
        <v>5715</v>
      </c>
      <c r="B186" s="325" t="str">
        <f>Données!B186</f>
        <v>Duillier</v>
      </c>
      <c r="C186" s="174">
        <f>Données!AR186</f>
        <v>0</v>
      </c>
      <c r="D186" s="326">
        <f>Données!Z186</f>
        <v>1116</v>
      </c>
      <c r="E186" s="127">
        <f>Données!X186</f>
        <v>66</v>
      </c>
      <c r="F186" s="31">
        <f>VPI!L186</f>
        <v>3694002.41</v>
      </c>
      <c r="G186" s="8">
        <f t="shared" si="13"/>
        <v>111939.46696969698</v>
      </c>
      <c r="H186" s="26">
        <f t="shared" si="14"/>
        <v>99675.42582512222</v>
      </c>
      <c r="I186" s="8">
        <f t="shared" si="15"/>
        <v>99675.42582512222</v>
      </c>
      <c r="J186" s="8">
        <f>VPI!R186</f>
        <v>60550.113787878792</v>
      </c>
      <c r="K186" s="221">
        <f t="shared" si="16"/>
        <v>71470.186591117192</v>
      </c>
      <c r="L186" s="315">
        <f t="shared" si="17"/>
        <v>171145.6124162394</v>
      </c>
      <c r="M186" s="128"/>
      <c r="N186" s="129"/>
      <c r="O186" s="126"/>
      <c r="P186" s="126"/>
      <c r="Q186" s="130"/>
    </row>
    <row r="187" spans="1:17" s="125" customFormat="1" x14ac:dyDescent="0.25">
      <c r="A187" s="174">
        <f>Données!A187</f>
        <v>5716</v>
      </c>
      <c r="B187" s="325" t="str">
        <f>Données!B187</f>
        <v>Eysins</v>
      </c>
      <c r="C187" s="174">
        <f>Données!AR187</f>
        <v>0</v>
      </c>
      <c r="D187" s="326">
        <f>Données!Z187</f>
        <v>1768</v>
      </c>
      <c r="E187" s="127">
        <f>Données!X187</f>
        <v>59.5</v>
      </c>
      <c r="F187" s="31">
        <f>VPI!L187</f>
        <v>12944396.329999998</v>
      </c>
      <c r="G187" s="8">
        <f t="shared" si="13"/>
        <v>435105.75899159658</v>
      </c>
      <c r="H187" s="26">
        <f t="shared" si="14"/>
        <v>157908.73912080296</v>
      </c>
      <c r="I187" s="8">
        <f t="shared" si="15"/>
        <v>157908.73912080296</v>
      </c>
      <c r="J187" s="8">
        <f>VPI!R187</f>
        <v>232557.04084033609</v>
      </c>
      <c r="K187" s="221">
        <f t="shared" si="16"/>
        <v>274498.16461392236</v>
      </c>
      <c r="L187" s="315">
        <f t="shared" si="17"/>
        <v>432406.90373472532</v>
      </c>
      <c r="M187" s="128"/>
      <c r="N187" s="129"/>
      <c r="O187" s="126"/>
      <c r="P187" s="126"/>
      <c r="Q187" s="130"/>
    </row>
    <row r="188" spans="1:17" s="125" customFormat="1" x14ac:dyDescent="0.25">
      <c r="A188" s="174">
        <f>Données!A188</f>
        <v>5717</v>
      </c>
      <c r="B188" s="325" t="str">
        <f>Données!B188</f>
        <v>Founex</v>
      </c>
      <c r="C188" s="174">
        <f>Données!AR188</f>
        <v>0</v>
      </c>
      <c r="D188" s="326">
        <f>Données!Z188</f>
        <v>3763</v>
      </c>
      <c r="E188" s="127">
        <f>Données!X188</f>
        <v>57</v>
      </c>
      <c r="F188" s="31">
        <f>VPI!L188</f>
        <v>19170400.440000001</v>
      </c>
      <c r="G188" s="8">
        <f t="shared" si="13"/>
        <v>672645.62947368424</v>
      </c>
      <c r="H188" s="26">
        <f t="shared" si="14"/>
        <v>336091.96001786285</v>
      </c>
      <c r="I188" s="8">
        <f t="shared" si="15"/>
        <v>336091.96001786285</v>
      </c>
      <c r="J188" s="8">
        <f>VPI!R188</f>
        <v>361582.97087719297</v>
      </c>
      <c r="K188" s="221">
        <f t="shared" si="16"/>
        <v>426793.62234223791</v>
      </c>
      <c r="L188" s="315">
        <f t="shared" si="17"/>
        <v>762885.5823601007</v>
      </c>
      <c r="M188" s="128"/>
      <c r="N188" s="129"/>
      <c r="O188" s="126"/>
      <c r="P188" s="126"/>
      <c r="Q188" s="130"/>
    </row>
    <row r="189" spans="1:17" s="125" customFormat="1" x14ac:dyDescent="0.25">
      <c r="A189" s="174">
        <f>Données!A189</f>
        <v>5718</v>
      </c>
      <c r="B189" s="325" t="str">
        <f>Données!B189</f>
        <v>Genolier</v>
      </c>
      <c r="C189" s="174">
        <f>Données!AR189</f>
        <v>0</v>
      </c>
      <c r="D189" s="326">
        <f>Données!Z189</f>
        <v>2026</v>
      </c>
      <c r="E189" s="127">
        <f>Données!X189</f>
        <v>55</v>
      </c>
      <c r="F189" s="31">
        <f>VPI!L189</f>
        <v>10939555.859999998</v>
      </c>
      <c r="G189" s="8">
        <f t="shared" si="13"/>
        <v>397802.03127272718</v>
      </c>
      <c r="H189" s="26">
        <f t="shared" si="14"/>
        <v>180951.98272553549</v>
      </c>
      <c r="I189" s="8">
        <f t="shared" si="15"/>
        <v>180951.98272553549</v>
      </c>
      <c r="J189" s="8">
        <f>VPI!R189</f>
        <v>212699.2265454545</v>
      </c>
      <c r="K189" s="221">
        <f t="shared" si="16"/>
        <v>251059.03949652161</v>
      </c>
      <c r="L189" s="315">
        <f t="shared" si="17"/>
        <v>432011.0222220571</v>
      </c>
      <c r="M189" s="128"/>
      <c r="N189" s="129"/>
      <c r="O189" s="126"/>
      <c r="P189" s="126"/>
      <c r="Q189" s="130"/>
    </row>
    <row r="190" spans="1:17" s="125" customFormat="1" x14ac:dyDescent="0.25">
      <c r="A190" s="174">
        <f>Données!A190</f>
        <v>5719</v>
      </c>
      <c r="B190" s="325" t="str">
        <f>Données!B190</f>
        <v>Gingins</v>
      </c>
      <c r="C190" s="174">
        <f>Données!AR190</f>
        <v>0</v>
      </c>
      <c r="D190" s="326">
        <f>Données!Z190</f>
        <v>1270</v>
      </c>
      <c r="E190" s="127">
        <f>Données!X190</f>
        <v>60</v>
      </c>
      <c r="F190" s="31">
        <f>VPI!L190</f>
        <v>6743291.4799999986</v>
      </c>
      <c r="G190" s="8">
        <f t="shared" si="13"/>
        <v>224776.38266666661</v>
      </c>
      <c r="H190" s="26">
        <f t="shared" si="14"/>
        <v>113429.92006980754</v>
      </c>
      <c r="I190" s="8">
        <f t="shared" si="15"/>
        <v>113429.92006980754</v>
      </c>
      <c r="J190" s="8">
        <f>VPI!R190</f>
        <v>119943.29911111109</v>
      </c>
      <c r="K190" s="221">
        <f t="shared" si="16"/>
        <v>141574.79534813605</v>
      </c>
      <c r="L190" s="315">
        <f t="shared" si="17"/>
        <v>255004.7154179436</v>
      </c>
      <c r="M190" s="128"/>
      <c r="N190" s="129"/>
      <c r="O190" s="126"/>
      <c r="P190" s="126"/>
      <c r="Q190" s="130"/>
    </row>
    <row r="191" spans="1:17" s="125" customFormat="1" x14ac:dyDescent="0.25">
      <c r="A191" s="174">
        <f>Données!A191</f>
        <v>5720</v>
      </c>
      <c r="B191" s="325" t="str">
        <f>Données!B191</f>
        <v>Givrins</v>
      </c>
      <c r="C191" s="174">
        <f>Données!AR191</f>
        <v>0</v>
      </c>
      <c r="D191" s="326">
        <f>Données!Z191</f>
        <v>1024</v>
      </c>
      <c r="E191" s="127">
        <f>Données!X191</f>
        <v>67</v>
      </c>
      <c r="F191" s="31">
        <f>VPI!L191</f>
        <v>5357263.12</v>
      </c>
      <c r="G191" s="8">
        <f t="shared" si="13"/>
        <v>159918.30208955225</v>
      </c>
      <c r="H191" s="26">
        <f t="shared" si="14"/>
        <v>91458.455237388131</v>
      </c>
      <c r="I191" s="8">
        <f t="shared" si="15"/>
        <v>91458.455237388131</v>
      </c>
      <c r="J191" s="8">
        <f>VPI!R191</f>
        <v>84868.432139303477</v>
      </c>
      <c r="K191" s="221">
        <f t="shared" si="16"/>
        <v>100174.25734228463</v>
      </c>
      <c r="L191" s="315">
        <f t="shared" si="17"/>
        <v>191632.71257967275</v>
      </c>
      <c r="M191" s="128"/>
      <c r="N191" s="129"/>
      <c r="O191" s="126"/>
      <c r="P191" s="126"/>
      <c r="Q191" s="130"/>
    </row>
    <row r="192" spans="1:17" s="125" customFormat="1" x14ac:dyDescent="0.25">
      <c r="A192" s="174">
        <f>Données!A192</f>
        <v>5721</v>
      </c>
      <c r="B192" s="325" t="str">
        <f>Données!B192</f>
        <v>Gland</v>
      </c>
      <c r="C192" s="174">
        <f>Données!AR192</f>
        <v>0</v>
      </c>
      <c r="D192" s="326">
        <f>Données!Z192</f>
        <v>13686</v>
      </c>
      <c r="E192" s="127">
        <f>Données!X192</f>
        <v>61</v>
      </c>
      <c r="F192" s="31">
        <f>VPI!L192</f>
        <v>38386531.850000001</v>
      </c>
      <c r="G192" s="8">
        <f t="shared" si="13"/>
        <v>1258574.8147540984</v>
      </c>
      <c r="H192" s="26">
        <f t="shared" si="14"/>
        <v>1222363.6898231385</v>
      </c>
      <c r="I192" s="8">
        <f t="shared" si="15"/>
        <v>1222363.6898231385</v>
      </c>
      <c r="J192" s="8">
        <f>VPI!R192</f>
        <v>688985.30491803284</v>
      </c>
      <c r="K192" s="221">
        <f t="shared" si="16"/>
        <v>813242.20914820244</v>
      </c>
      <c r="L192" s="315">
        <f t="shared" si="17"/>
        <v>2035605.8989713411</v>
      </c>
      <c r="M192" s="128"/>
      <c r="N192" s="129"/>
      <c r="O192" s="126"/>
      <c r="P192" s="126"/>
      <c r="Q192" s="130"/>
    </row>
    <row r="193" spans="1:17" s="125" customFormat="1" x14ac:dyDescent="0.25">
      <c r="A193" s="174">
        <f>Données!A193</f>
        <v>5722</v>
      </c>
      <c r="B193" s="325" t="str">
        <f>Données!B193</f>
        <v>Grens</v>
      </c>
      <c r="C193" s="174">
        <f>Données!AR193</f>
        <v>0</v>
      </c>
      <c r="D193" s="326">
        <f>Données!Z193</f>
        <v>400</v>
      </c>
      <c r="E193" s="127">
        <f>Données!X193</f>
        <v>62</v>
      </c>
      <c r="F193" s="31">
        <f>VPI!L193</f>
        <v>1194915.69</v>
      </c>
      <c r="G193" s="8">
        <f t="shared" si="13"/>
        <v>38545.667419354839</v>
      </c>
      <c r="H193" s="26">
        <f t="shared" si="14"/>
        <v>35725.959077104737</v>
      </c>
      <c r="I193" s="8">
        <f t="shared" si="15"/>
        <v>35725.959077104737</v>
      </c>
      <c r="J193" s="8">
        <f>VPI!R193</f>
        <v>20912.723225806454</v>
      </c>
      <c r="K193" s="221">
        <f t="shared" si="16"/>
        <v>24684.284431121596</v>
      </c>
      <c r="L193" s="315">
        <f t="shared" si="17"/>
        <v>60410.243508226333</v>
      </c>
      <c r="M193" s="128"/>
      <c r="N193" s="129"/>
      <c r="O193" s="126"/>
      <c r="P193" s="126"/>
      <c r="Q193" s="130"/>
    </row>
    <row r="194" spans="1:17" s="125" customFormat="1" x14ac:dyDescent="0.25">
      <c r="A194" s="174">
        <f>Données!A194</f>
        <v>5723</v>
      </c>
      <c r="B194" s="325" t="str">
        <f>Données!B194</f>
        <v>Mies</v>
      </c>
      <c r="C194" s="174">
        <f>Données!AR194</f>
        <v>0</v>
      </c>
      <c r="D194" s="326">
        <f>Données!Z194</f>
        <v>2226</v>
      </c>
      <c r="E194" s="127">
        <f>Données!X194</f>
        <v>52</v>
      </c>
      <c r="F194" s="31">
        <f>VPI!L194</f>
        <v>12235687.950000001</v>
      </c>
      <c r="G194" s="8">
        <f t="shared" si="13"/>
        <v>470603.38269230776</v>
      </c>
      <c r="H194" s="26">
        <f t="shared" si="14"/>
        <v>198814.96226408787</v>
      </c>
      <c r="I194" s="8">
        <f t="shared" si="15"/>
        <v>198814.96226408787</v>
      </c>
      <c r="J194" s="8">
        <f>VPI!R194</f>
        <v>253771.19326923077</v>
      </c>
      <c r="K194" s="221">
        <f t="shared" si="16"/>
        <v>299538.24030687707</v>
      </c>
      <c r="L194" s="315">
        <f t="shared" si="17"/>
        <v>498353.20257096493</v>
      </c>
      <c r="M194" s="128"/>
      <c r="N194" s="129"/>
      <c r="O194" s="126"/>
      <c r="P194" s="126"/>
      <c r="Q194" s="130"/>
    </row>
    <row r="195" spans="1:17" s="125" customFormat="1" x14ac:dyDescent="0.25">
      <c r="A195" s="174">
        <f>Données!A195</f>
        <v>5724</v>
      </c>
      <c r="B195" s="325" t="str">
        <f>Données!B195</f>
        <v>Nyon</v>
      </c>
      <c r="C195" s="174">
        <f>Données!AR195</f>
        <v>1</v>
      </c>
      <c r="D195" s="326">
        <f>Données!Z195</f>
        <v>22461</v>
      </c>
      <c r="E195" s="127">
        <f>Données!X195</f>
        <v>61</v>
      </c>
      <c r="F195" s="31">
        <f>VPI!L195</f>
        <v>85888362.879999995</v>
      </c>
      <c r="G195" s="8">
        <f t="shared" si="13"/>
        <v>2816011.8977049179</v>
      </c>
      <c r="H195" s="26">
        <f t="shared" si="14"/>
        <v>2006101.9170771239</v>
      </c>
      <c r="I195" s="8">
        <f t="shared" si="15"/>
        <v>0</v>
      </c>
      <c r="J195" s="8">
        <f>VPI!R195</f>
        <v>1520148.6004918031</v>
      </c>
      <c r="K195" s="221">
        <f t="shared" si="16"/>
        <v>1794303.8803194449</v>
      </c>
      <c r="L195" s="315">
        <f t="shared" si="17"/>
        <v>1794303.8803194449</v>
      </c>
      <c r="M195" s="128"/>
      <c r="N195" s="129"/>
      <c r="O195" s="126"/>
      <c r="P195" s="126"/>
      <c r="Q195" s="130"/>
    </row>
    <row r="196" spans="1:17" s="125" customFormat="1" x14ac:dyDescent="0.25">
      <c r="A196" s="174">
        <f>Données!A196</f>
        <v>5725</v>
      </c>
      <c r="B196" s="325" t="str">
        <f>Données!B196</f>
        <v>Prangins</v>
      </c>
      <c r="C196" s="174">
        <f>Données!AR196</f>
        <v>1</v>
      </c>
      <c r="D196" s="326">
        <f>Données!Z196</f>
        <v>4277</v>
      </c>
      <c r="E196" s="127">
        <f>Données!X196</f>
        <v>55</v>
      </c>
      <c r="F196" s="31">
        <f>VPI!L196</f>
        <v>20162487.719999995</v>
      </c>
      <c r="G196" s="8">
        <f t="shared" si="13"/>
        <v>733181.37163636344</v>
      </c>
      <c r="H196" s="26">
        <f t="shared" si="14"/>
        <v>381999.81743194244</v>
      </c>
      <c r="I196" s="8">
        <f t="shared" si="15"/>
        <v>0</v>
      </c>
      <c r="J196" s="8">
        <f>VPI!R196</f>
        <v>388958.996077922</v>
      </c>
      <c r="K196" s="221">
        <f t="shared" si="16"/>
        <v>459106.85029212339</v>
      </c>
      <c r="L196" s="315">
        <f t="shared" si="17"/>
        <v>459106.85029212339</v>
      </c>
      <c r="M196" s="128"/>
      <c r="N196" s="129"/>
      <c r="O196" s="126"/>
      <c r="P196" s="126"/>
      <c r="Q196" s="130"/>
    </row>
    <row r="197" spans="1:17" s="125" customFormat="1" x14ac:dyDescent="0.25">
      <c r="A197" s="174">
        <f>Données!A197</f>
        <v>5726</v>
      </c>
      <c r="B197" s="325" t="str">
        <f>Données!B197</f>
        <v>La Rippe</v>
      </c>
      <c r="C197" s="174">
        <f>Données!AR197</f>
        <v>0</v>
      </c>
      <c r="D197" s="326">
        <f>Données!Z197</f>
        <v>1197</v>
      </c>
      <c r="E197" s="127">
        <f>Données!X197</f>
        <v>64</v>
      </c>
      <c r="F197" s="31">
        <f>VPI!L197</f>
        <v>4179153.6400000011</v>
      </c>
      <c r="G197" s="8">
        <f t="shared" si="13"/>
        <v>130598.55125000003</v>
      </c>
      <c r="H197" s="26">
        <f t="shared" si="14"/>
        <v>106909.93253823592</v>
      </c>
      <c r="I197" s="8">
        <f t="shared" si="15"/>
        <v>106909.93253823592</v>
      </c>
      <c r="J197" s="8">
        <f>VPI!R197</f>
        <v>69785.913125000021</v>
      </c>
      <c r="K197" s="221">
        <f t="shared" si="16"/>
        <v>82371.640950965302</v>
      </c>
      <c r="L197" s="315">
        <f t="shared" si="17"/>
        <v>189281.57348920123</v>
      </c>
      <c r="M197" s="128"/>
      <c r="N197" s="129"/>
      <c r="O197" s="126"/>
      <c r="P197" s="126"/>
      <c r="Q197" s="130"/>
    </row>
    <row r="198" spans="1:17" s="125" customFormat="1" x14ac:dyDescent="0.25">
      <c r="A198" s="174">
        <f>Données!A198</f>
        <v>5727</v>
      </c>
      <c r="B198" s="325" t="str">
        <f>Données!B198</f>
        <v>Saint-Cergue</v>
      </c>
      <c r="C198" s="174">
        <f>Données!AR198</f>
        <v>0</v>
      </c>
      <c r="D198" s="326">
        <f>Données!Z198</f>
        <v>2786</v>
      </c>
      <c r="E198" s="127">
        <f>Données!X198</f>
        <v>66</v>
      </c>
      <c r="F198" s="31">
        <f>VPI!L198</f>
        <v>6489308.290000001</v>
      </c>
      <c r="G198" s="8">
        <f t="shared" si="13"/>
        <v>196645.70575757578</v>
      </c>
      <c r="H198" s="26">
        <f t="shared" si="14"/>
        <v>248831.3049720345</v>
      </c>
      <c r="I198" s="8">
        <f t="shared" si="15"/>
        <v>196645.70575757578</v>
      </c>
      <c r="J198" s="8">
        <f>VPI!R198</f>
        <v>107048.1634848485</v>
      </c>
      <c r="K198" s="221">
        <f t="shared" si="16"/>
        <v>126354.05187347648</v>
      </c>
      <c r="L198" s="315">
        <f t="shared" si="17"/>
        <v>322999.75763105229</v>
      </c>
      <c r="M198" s="128"/>
      <c r="N198" s="129"/>
      <c r="O198" s="126"/>
      <c r="P198" s="126"/>
      <c r="Q198" s="130"/>
    </row>
    <row r="199" spans="1:17" s="125" customFormat="1" x14ac:dyDescent="0.25">
      <c r="A199" s="174">
        <f>Données!A199</f>
        <v>5728</v>
      </c>
      <c r="B199" s="325" t="str">
        <f>Données!B199</f>
        <v>Signy-Avenex</v>
      </c>
      <c r="C199" s="174">
        <f>Données!AR199</f>
        <v>0</v>
      </c>
      <c r="D199" s="326">
        <f>Données!Z199</f>
        <v>583</v>
      </c>
      <c r="E199" s="127">
        <f>Données!X199</f>
        <v>58</v>
      </c>
      <c r="F199" s="31">
        <f>VPI!L199</f>
        <v>3514946.14</v>
      </c>
      <c r="G199" s="8">
        <f t="shared" ref="G199:G262" si="18">F199/E199*2</f>
        <v>121205.03931034483</v>
      </c>
      <c r="H199" s="26">
        <f t="shared" ref="H199:H262" si="19">+$G$306/$D$306*D199</f>
        <v>52070.585354880153</v>
      </c>
      <c r="I199" s="8">
        <f t="shared" ref="I199:I262" si="20">IF(C199=1,0,IF(H199&gt;G199,G199,H199))</f>
        <v>52070.585354880153</v>
      </c>
      <c r="J199" s="8">
        <f>VPI!R199</f>
        <v>66000.760172413793</v>
      </c>
      <c r="K199" s="221">
        <f t="shared" ref="K199:K262" si="21">+$K$5*J199</f>
        <v>77903.844428815573</v>
      </c>
      <c r="L199" s="315">
        <f t="shared" ref="L199:L262" si="22">+K199+I199</f>
        <v>129974.42978369573</v>
      </c>
      <c r="M199" s="128"/>
      <c r="N199" s="129"/>
      <c r="O199" s="126"/>
      <c r="P199" s="126"/>
      <c r="Q199" s="130"/>
    </row>
    <row r="200" spans="1:17" s="125" customFormat="1" x14ac:dyDescent="0.25">
      <c r="A200" s="174">
        <f>Données!A200</f>
        <v>5729</v>
      </c>
      <c r="B200" s="325" t="str">
        <f>Données!B200</f>
        <v>Tannay</v>
      </c>
      <c r="C200" s="174">
        <f>Données!AR200</f>
        <v>0</v>
      </c>
      <c r="D200" s="326">
        <f>Données!Z200</f>
        <v>1720</v>
      </c>
      <c r="E200" s="127">
        <f>Données!X200</f>
        <v>60.5</v>
      </c>
      <c r="F200" s="31">
        <f>VPI!L200</f>
        <v>10814091.780000001</v>
      </c>
      <c r="G200" s="8">
        <f t="shared" si="18"/>
        <v>357490.63735537196</v>
      </c>
      <c r="H200" s="26">
        <f t="shared" si="19"/>
        <v>153621.62403155037</v>
      </c>
      <c r="I200" s="8">
        <f t="shared" si="20"/>
        <v>153621.62403155037</v>
      </c>
      <c r="J200" s="8">
        <f>VPI!R200</f>
        <v>189085.86771349865</v>
      </c>
      <c r="K200" s="221">
        <f t="shared" si="21"/>
        <v>223187.06608165527</v>
      </c>
      <c r="L200" s="315">
        <f t="shared" si="22"/>
        <v>376808.69011320564</v>
      </c>
      <c r="M200" s="128"/>
      <c r="N200" s="129"/>
      <c r="O200" s="126"/>
      <c r="P200" s="126"/>
      <c r="Q200" s="130"/>
    </row>
    <row r="201" spans="1:17" s="125" customFormat="1" x14ac:dyDescent="0.25">
      <c r="A201" s="174">
        <f>Données!A201</f>
        <v>5730</v>
      </c>
      <c r="B201" s="325" t="str">
        <f>Données!B201</f>
        <v>Trélex</v>
      </c>
      <c r="C201" s="174">
        <f>Données!AR201</f>
        <v>0</v>
      </c>
      <c r="D201" s="326">
        <f>Données!Z201</f>
        <v>1427</v>
      </c>
      <c r="E201" s="127">
        <f>Données!X201</f>
        <v>55.5</v>
      </c>
      <c r="F201" s="31">
        <f>VPI!L201</f>
        <v>6270144.1900000004</v>
      </c>
      <c r="G201" s="8">
        <f t="shared" si="18"/>
        <v>225951.14198198199</v>
      </c>
      <c r="H201" s="26">
        <f t="shared" si="19"/>
        <v>127452.35900757115</v>
      </c>
      <c r="I201" s="8">
        <f t="shared" si="20"/>
        <v>127452.35900757115</v>
      </c>
      <c r="J201" s="8">
        <f>VPI!R201</f>
        <v>121414.34176176177</v>
      </c>
      <c r="K201" s="221">
        <f t="shared" si="21"/>
        <v>143311.1371342772</v>
      </c>
      <c r="L201" s="315">
        <f t="shared" si="22"/>
        <v>270763.49614184839</v>
      </c>
      <c r="M201" s="128"/>
      <c r="N201" s="129"/>
      <c r="O201" s="126"/>
      <c r="P201" s="126"/>
      <c r="Q201" s="130"/>
    </row>
    <row r="202" spans="1:17" s="125" customFormat="1" x14ac:dyDescent="0.25">
      <c r="A202" s="174">
        <f>Données!A202</f>
        <v>5731</v>
      </c>
      <c r="B202" s="325" t="str">
        <f>Données!B202</f>
        <v>Le Vaud</v>
      </c>
      <c r="C202" s="174">
        <f>Données!AR202</f>
        <v>0</v>
      </c>
      <c r="D202" s="326">
        <f>Données!Z202</f>
        <v>1411</v>
      </c>
      <c r="E202" s="127">
        <f>Données!X202</f>
        <v>74</v>
      </c>
      <c r="F202" s="31">
        <f>VPI!L202</f>
        <v>4859090.6399999997</v>
      </c>
      <c r="G202" s="8">
        <f t="shared" si="18"/>
        <v>131326.77405405405</v>
      </c>
      <c r="H202" s="26">
        <f t="shared" si="19"/>
        <v>126023.32064448697</v>
      </c>
      <c r="I202" s="8">
        <f t="shared" si="20"/>
        <v>126023.32064448697</v>
      </c>
      <c r="J202" s="8">
        <f>VPI!R202</f>
        <v>69610.558648648643</v>
      </c>
      <c r="K202" s="221">
        <f t="shared" si="21"/>
        <v>82164.661700879573</v>
      </c>
      <c r="L202" s="315">
        <f t="shared" si="22"/>
        <v>208187.98234536656</v>
      </c>
      <c r="M202" s="128"/>
      <c r="N202" s="129"/>
      <c r="O202" s="126"/>
      <c r="P202" s="126"/>
      <c r="Q202" s="130"/>
    </row>
    <row r="203" spans="1:17" s="125" customFormat="1" x14ac:dyDescent="0.25">
      <c r="A203" s="174">
        <f>Données!A203</f>
        <v>5732</v>
      </c>
      <c r="B203" s="325" t="str">
        <f>Données!B203</f>
        <v>Vich</v>
      </c>
      <c r="C203" s="174">
        <f>Données!AR203</f>
        <v>0</v>
      </c>
      <c r="D203" s="326">
        <f>Données!Z203</f>
        <v>1160</v>
      </c>
      <c r="E203" s="127">
        <f>Données!X203</f>
        <v>63</v>
      </c>
      <c r="F203" s="31">
        <f>VPI!L203</f>
        <v>4633294.0200000014</v>
      </c>
      <c r="G203" s="8">
        <f t="shared" si="18"/>
        <v>147088.6990476191</v>
      </c>
      <c r="H203" s="26">
        <f t="shared" si="19"/>
        <v>103605.28132360375</v>
      </c>
      <c r="I203" s="8">
        <f t="shared" si="20"/>
        <v>103605.28132360375</v>
      </c>
      <c r="J203" s="8">
        <f>VPI!R203</f>
        <v>79861.73920634923</v>
      </c>
      <c r="K203" s="221">
        <f t="shared" si="21"/>
        <v>94264.618933078207</v>
      </c>
      <c r="L203" s="315">
        <f t="shared" si="22"/>
        <v>197869.90025668195</v>
      </c>
      <c r="M203" s="128"/>
      <c r="N203" s="129"/>
      <c r="O203" s="126"/>
      <c r="P203" s="126"/>
      <c r="Q203" s="130"/>
    </row>
    <row r="204" spans="1:17" s="125" customFormat="1" x14ac:dyDescent="0.25">
      <c r="A204" s="174">
        <f>Données!A204</f>
        <v>5741</v>
      </c>
      <c r="B204" s="325" t="str">
        <f>Données!B204</f>
        <v>L'Abergement</v>
      </c>
      <c r="C204" s="174">
        <f>Données!AR204</f>
        <v>0</v>
      </c>
      <c r="D204" s="326">
        <f>Données!Z204</f>
        <v>260</v>
      </c>
      <c r="E204" s="127">
        <f>Données!X204</f>
        <v>80</v>
      </c>
      <c r="F204" s="31">
        <f>VPI!L204</f>
        <v>823028.55999999994</v>
      </c>
      <c r="G204" s="8">
        <f t="shared" si="18"/>
        <v>20575.714</v>
      </c>
      <c r="H204" s="26">
        <f t="shared" si="19"/>
        <v>23221.873400118078</v>
      </c>
      <c r="I204" s="8">
        <f t="shared" si="20"/>
        <v>20575.714</v>
      </c>
      <c r="J204" s="8">
        <f>VPI!R204</f>
        <v>10833.904395833331</v>
      </c>
      <c r="K204" s="221">
        <f t="shared" si="21"/>
        <v>12787.773965100892</v>
      </c>
      <c r="L204" s="315">
        <f t="shared" si="22"/>
        <v>33363.487965100896</v>
      </c>
      <c r="M204" s="128"/>
      <c r="N204" s="129"/>
      <c r="O204" s="126"/>
      <c r="P204" s="126"/>
      <c r="Q204" s="130"/>
    </row>
    <row r="205" spans="1:17" s="125" customFormat="1" x14ac:dyDescent="0.25">
      <c r="A205" s="174">
        <f>Données!A205</f>
        <v>5742</v>
      </c>
      <c r="B205" s="325" t="str">
        <f>Données!B205</f>
        <v>Agiez</v>
      </c>
      <c r="C205" s="174">
        <f>Données!AR205</f>
        <v>0</v>
      </c>
      <c r="D205" s="326">
        <f>Données!Z205</f>
        <v>381</v>
      </c>
      <c r="E205" s="127">
        <f>Données!X205</f>
        <v>76</v>
      </c>
      <c r="F205" s="31">
        <f>VPI!L205</f>
        <v>625028.97000000009</v>
      </c>
      <c r="G205" s="8">
        <f t="shared" si="18"/>
        <v>16448.130789473686</v>
      </c>
      <c r="H205" s="26">
        <f t="shared" si="19"/>
        <v>34028.97602094226</v>
      </c>
      <c r="I205" s="8">
        <f t="shared" si="20"/>
        <v>16448.130789473686</v>
      </c>
      <c r="J205" s="8">
        <f>VPI!R205</f>
        <v>9049.0364473684222</v>
      </c>
      <c r="K205" s="221">
        <f t="shared" si="21"/>
        <v>10681.009215422946</v>
      </c>
      <c r="L205" s="315">
        <f t="shared" si="22"/>
        <v>27129.140004896632</v>
      </c>
      <c r="M205" s="128"/>
      <c r="N205" s="129"/>
      <c r="O205" s="126"/>
      <c r="P205" s="126"/>
      <c r="Q205" s="130"/>
    </row>
    <row r="206" spans="1:17" s="125" customFormat="1" x14ac:dyDescent="0.25">
      <c r="A206" s="174">
        <f>Données!A206</f>
        <v>5743</v>
      </c>
      <c r="B206" s="325" t="str">
        <f>Données!B206</f>
        <v>Arnex-sur-Orbe</v>
      </c>
      <c r="C206" s="174">
        <f>Données!AR206</f>
        <v>0</v>
      </c>
      <c r="D206" s="326">
        <f>Données!Z206</f>
        <v>692</v>
      </c>
      <c r="E206" s="127">
        <f>Données!X206</f>
        <v>71</v>
      </c>
      <c r="F206" s="31">
        <f>VPI!L206</f>
        <v>1287321.6600000001</v>
      </c>
      <c r="G206" s="8">
        <f t="shared" si="18"/>
        <v>36262.581971830987</v>
      </c>
      <c r="H206" s="26">
        <f t="shared" si="19"/>
        <v>61805.909203391195</v>
      </c>
      <c r="I206" s="8">
        <f t="shared" si="20"/>
        <v>36262.581971830987</v>
      </c>
      <c r="J206" s="8">
        <f>VPI!R206</f>
        <v>19423.544507042254</v>
      </c>
      <c r="K206" s="221">
        <f t="shared" si="21"/>
        <v>22926.535778981088</v>
      </c>
      <c r="L206" s="315">
        <f t="shared" si="22"/>
        <v>59189.117750812075</v>
      </c>
      <c r="M206" s="128"/>
      <c r="N206" s="129"/>
      <c r="O206" s="126"/>
      <c r="P206" s="126"/>
      <c r="Q206" s="130"/>
    </row>
    <row r="207" spans="1:17" s="125" customFormat="1" x14ac:dyDescent="0.25">
      <c r="A207" s="174">
        <f>Données!A207</f>
        <v>5744</v>
      </c>
      <c r="B207" s="325" t="str">
        <f>Données!B207</f>
        <v>Ballaigues</v>
      </c>
      <c r="C207" s="174">
        <f>Données!AR207</f>
        <v>0</v>
      </c>
      <c r="D207" s="326">
        <f>Données!Z207</f>
        <v>1152</v>
      </c>
      <c r="E207" s="127">
        <f>Données!X207</f>
        <v>65</v>
      </c>
      <c r="F207" s="31">
        <f>VPI!L207</f>
        <v>3322831.6</v>
      </c>
      <c r="G207" s="8">
        <f t="shared" si="18"/>
        <v>102240.97230769231</v>
      </c>
      <c r="H207" s="26">
        <f t="shared" si="19"/>
        <v>102890.76214206165</v>
      </c>
      <c r="I207" s="8">
        <f t="shared" si="20"/>
        <v>102240.97230769231</v>
      </c>
      <c r="J207" s="8">
        <f>VPI!R207</f>
        <v>54105.101538461538</v>
      </c>
      <c r="K207" s="221">
        <f t="shared" si="21"/>
        <v>63862.831307499255</v>
      </c>
      <c r="L207" s="315">
        <f t="shared" si="22"/>
        <v>166103.80361519157</v>
      </c>
      <c r="M207" s="128"/>
      <c r="N207" s="129"/>
      <c r="O207" s="126"/>
      <c r="P207" s="126"/>
      <c r="Q207" s="130"/>
    </row>
    <row r="208" spans="1:17" s="125" customFormat="1" x14ac:dyDescent="0.25">
      <c r="A208" s="174">
        <f>Données!A208</f>
        <v>5745</v>
      </c>
      <c r="B208" s="325" t="str">
        <f>Données!B208</f>
        <v>Baulmes</v>
      </c>
      <c r="C208" s="174">
        <f>Données!AR208</f>
        <v>0</v>
      </c>
      <c r="D208" s="326">
        <f>Données!Z208</f>
        <v>1132</v>
      </c>
      <c r="E208" s="127">
        <f>Données!X208</f>
        <v>76.5</v>
      </c>
      <c r="F208" s="31">
        <f>VPI!L208</f>
        <v>1961923.9800000002</v>
      </c>
      <c r="G208" s="8">
        <f t="shared" si="18"/>
        <v>51292.13019607844</v>
      </c>
      <c r="H208" s="26">
        <f t="shared" si="19"/>
        <v>101104.46418820642</v>
      </c>
      <c r="I208" s="8">
        <f t="shared" si="20"/>
        <v>51292.13019607844</v>
      </c>
      <c r="J208" s="8">
        <f>VPI!R208</f>
        <v>27705.104967320265</v>
      </c>
      <c r="K208" s="221">
        <f t="shared" si="21"/>
        <v>32701.65649031779</v>
      </c>
      <c r="L208" s="315">
        <f t="shared" si="22"/>
        <v>83993.786686396226</v>
      </c>
      <c r="M208" s="128"/>
      <c r="N208" s="129"/>
      <c r="O208" s="126"/>
      <c r="P208" s="126"/>
      <c r="Q208" s="130"/>
    </row>
    <row r="209" spans="1:17" s="125" customFormat="1" x14ac:dyDescent="0.25">
      <c r="A209" s="174">
        <f>Données!A209</f>
        <v>5746</v>
      </c>
      <c r="B209" s="325" t="str">
        <f>Données!B209</f>
        <v>Bavois</v>
      </c>
      <c r="C209" s="174">
        <f>Données!AR209</f>
        <v>0</v>
      </c>
      <c r="D209" s="326">
        <f>Données!Z209</f>
        <v>1009</v>
      </c>
      <c r="E209" s="127">
        <f>Données!X209</f>
        <v>72</v>
      </c>
      <c r="F209" s="31">
        <f>VPI!L209</f>
        <v>1911512.97</v>
      </c>
      <c r="G209" s="8">
        <f t="shared" si="18"/>
        <v>53097.582499999997</v>
      </c>
      <c r="H209" s="26">
        <f t="shared" si="19"/>
        <v>90118.731771996696</v>
      </c>
      <c r="I209" s="8">
        <f t="shared" si="20"/>
        <v>53097.582499999997</v>
      </c>
      <c r="J209" s="8">
        <f>VPI!R209</f>
        <v>29513.59275462963</v>
      </c>
      <c r="K209" s="221">
        <f t="shared" si="21"/>
        <v>34836.300862078351</v>
      </c>
      <c r="L209" s="315">
        <f t="shared" si="22"/>
        <v>87933.883362078341</v>
      </c>
      <c r="M209" s="128"/>
      <c r="N209" s="129"/>
      <c r="O209" s="126"/>
      <c r="P209" s="126"/>
      <c r="Q209" s="130"/>
    </row>
    <row r="210" spans="1:17" s="125" customFormat="1" x14ac:dyDescent="0.25">
      <c r="A210" s="174">
        <f>Données!A210</f>
        <v>5747</v>
      </c>
      <c r="B210" s="325" t="str">
        <f>Données!B210</f>
        <v>Bofflens</v>
      </c>
      <c r="C210" s="174">
        <f>Données!AR210</f>
        <v>0</v>
      </c>
      <c r="D210" s="326">
        <f>Données!Z210</f>
        <v>204</v>
      </c>
      <c r="E210" s="127">
        <f>Données!X210</f>
        <v>69</v>
      </c>
      <c r="F210" s="31">
        <f>VPI!L210</f>
        <v>364385.50999999989</v>
      </c>
      <c r="G210" s="8">
        <f t="shared" si="18"/>
        <v>10561.898840579706</v>
      </c>
      <c r="H210" s="26">
        <f t="shared" si="19"/>
        <v>18220.239129323418</v>
      </c>
      <c r="I210" s="8">
        <f t="shared" si="20"/>
        <v>10561.898840579706</v>
      </c>
      <c r="J210" s="8">
        <f>VPI!R210</f>
        <v>5778.0378260869547</v>
      </c>
      <c r="K210" s="221">
        <f t="shared" si="21"/>
        <v>6820.0935675803066</v>
      </c>
      <c r="L210" s="315">
        <f t="shared" si="22"/>
        <v>17381.992408160011</v>
      </c>
      <c r="M210" s="128"/>
      <c r="N210" s="129"/>
      <c r="O210" s="126"/>
      <c r="P210" s="126"/>
      <c r="Q210" s="130"/>
    </row>
    <row r="211" spans="1:17" s="125" customFormat="1" x14ac:dyDescent="0.25">
      <c r="A211" s="174">
        <f>Données!A211</f>
        <v>5748</v>
      </c>
      <c r="B211" s="325" t="str">
        <f>Données!B211</f>
        <v>Bretonnières</v>
      </c>
      <c r="C211" s="174">
        <f>Données!AR211</f>
        <v>0</v>
      </c>
      <c r="D211" s="326">
        <f>Données!Z211</f>
        <v>264</v>
      </c>
      <c r="E211" s="127">
        <f>Données!X211</f>
        <v>70.5</v>
      </c>
      <c r="F211" s="31">
        <f>VPI!L211</f>
        <v>436181.22000000003</v>
      </c>
      <c r="G211" s="8">
        <f t="shared" si="18"/>
        <v>12373.935319148937</v>
      </c>
      <c r="H211" s="26">
        <f t="shared" si="19"/>
        <v>23579.132990889128</v>
      </c>
      <c r="I211" s="8">
        <f t="shared" si="20"/>
        <v>12373.935319148937</v>
      </c>
      <c r="J211" s="8">
        <f>VPI!R211</f>
        <v>6762.4759338061467</v>
      </c>
      <c r="K211" s="221">
        <f t="shared" si="21"/>
        <v>7982.0728083225695</v>
      </c>
      <c r="L211" s="315">
        <f t="shared" si="22"/>
        <v>20356.008127471505</v>
      </c>
      <c r="M211" s="128"/>
      <c r="N211" s="129"/>
      <c r="O211" s="126"/>
      <c r="P211" s="126"/>
      <c r="Q211" s="130"/>
    </row>
    <row r="212" spans="1:17" s="125" customFormat="1" x14ac:dyDescent="0.25">
      <c r="A212" s="174">
        <f>Données!A212</f>
        <v>5749</v>
      </c>
      <c r="B212" s="325" t="str">
        <f>Données!B212</f>
        <v>Chavornay</v>
      </c>
      <c r="C212" s="174">
        <f>Données!AR212</f>
        <v>0</v>
      </c>
      <c r="D212" s="326">
        <f>Données!Z212</f>
        <v>5405</v>
      </c>
      <c r="E212" s="127">
        <f>Données!X212</f>
        <v>70.5</v>
      </c>
      <c r="F212" s="31">
        <f>VPI!L212</f>
        <v>9257880.7899999991</v>
      </c>
      <c r="G212" s="8">
        <f t="shared" si="18"/>
        <v>262634.91602836875</v>
      </c>
      <c r="H212" s="26">
        <f t="shared" si="19"/>
        <v>482747.02202937775</v>
      </c>
      <c r="I212" s="8">
        <f t="shared" si="20"/>
        <v>262634.91602836875</v>
      </c>
      <c r="J212" s="8">
        <f>VPI!R212</f>
        <v>144692.07858156026</v>
      </c>
      <c r="K212" s="221">
        <f t="shared" si="21"/>
        <v>170786.95988430738</v>
      </c>
      <c r="L212" s="315">
        <f t="shared" si="22"/>
        <v>433421.8759126761</v>
      </c>
      <c r="M212" s="128"/>
      <c r="N212" s="129"/>
      <c r="O212" s="126"/>
      <c r="P212" s="126"/>
      <c r="Q212" s="130"/>
    </row>
    <row r="213" spans="1:17" s="125" customFormat="1" x14ac:dyDescent="0.25">
      <c r="A213" s="174">
        <f>Données!A213</f>
        <v>5750</v>
      </c>
      <c r="B213" s="325" t="str">
        <f>Données!B213</f>
        <v>Les Clées</v>
      </c>
      <c r="C213" s="174">
        <f>Données!AR213</f>
        <v>0</v>
      </c>
      <c r="D213" s="326">
        <f>Données!Z213</f>
        <v>186</v>
      </c>
      <c r="E213" s="127">
        <f>Données!X213</f>
        <v>80</v>
      </c>
      <c r="F213" s="31">
        <f>VPI!L213</f>
        <v>412879.11000000004</v>
      </c>
      <c r="G213" s="8">
        <f t="shared" si="18"/>
        <v>10321.977750000002</v>
      </c>
      <c r="H213" s="26">
        <f t="shared" si="19"/>
        <v>16612.570970853703</v>
      </c>
      <c r="I213" s="8">
        <f t="shared" si="20"/>
        <v>10321.977750000002</v>
      </c>
      <c r="J213" s="8">
        <f>VPI!R213</f>
        <v>5460.4465833333343</v>
      </c>
      <c r="K213" s="221">
        <f t="shared" si="21"/>
        <v>6445.2254796552616</v>
      </c>
      <c r="L213" s="315">
        <f t="shared" si="22"/>
        <v>16767.203229655264</v>
      </c>
      <c r="M213" s="128"/>
      <c r="N213" s="129"/>
      <c r="O213" s="126"/>
      <c r="P213" s="126"/>
      <c r="Q213" s="130"/>
    </row>
    <row r="214" spans="1:17" s="125" customFormat="1" x14ac:dyDescent="0.25">
      <c r="A214" s="174">
        <f>Données!A214</f>
        <v>5752</v>
      </c>
      <c r="B214" s="325" t="str">
        <f>Données!B214</f>
        <v>Croy</v>
      </c>
      <c r="C214" s="174">
        <f>Données!AR214</f>
        <v>0</v>
      </c>
      <c r="D214" s="326">
        <f>Données!Z214</f>
        <v>386</v>
      </c>
      <c r="E214" s="127">
        <f>Données!X214</f>
        <v>74</v>
      </c>
      <c r="F214" s="31">
        <f>VPI!L214</f>
        <v>692057.97</v>
      </c>
      <c r="G214" s="8">
        <f t="shared" si="18"/>
        <v>18704.269459459458</v>
      </c>
      <c r="H214" s="26">
        <f t="shared" si="19"/>
        <v>34475.550509406072</v>
      </c>
      <c r="I214" s="8">
        <f t="shared" si="20"/>
        <v>18704.269459459458</v>
      </c>
      <c r="J214" s="8">
        <f>VPI!R214</f>
        <v>10204.254034749034</v>
      </c>
      <c r="K214" s="221">
        <f t="shared" si="21"/>
        <v>12044.567619502453</v>
      </c>
      <c r="L214" s="315">
        <f t="shared" si="22"/>
        <v>30748.837078961911</v>
      </c>
      <c r="M214" s="128"/>
      <c r="N214" s="129"/>
      <c r="O214" s="126"/>
      <c r="P214" s="126"/>
      <c r="Q214" s="130"/>
    </row>
    <row r="215" spans="1:17" s="125" customFormat="1" x14ac:dyDescent="0.25">
      <c r="A215" s="174">
        <f>Données!A215</f>
        <v>5754</v>
      </c>
      <c r="B215" s="325" t="str">
        <f>Données!B215</f>
        <v>Juriens</v>
      </c>
      <c r="C215" s="174">
        <f>Données!AR215</f>
        <v>0</v>
      </c>
      <c r="D215" s="326">
        <f>Données!Z215</f>
        <v>346</v>
      </c>
      <c r="E215" s="127">
        <f>Données!X215</f>
        <v>79</v>
      </c>
      <c r="F215" s="31">
        <f>VPI!L215</f>
        <v>632032.01999999979</v>
      </c>
      <c r="G215" s="8">
        <f t="shared" si="18"/>
        <v>16000.810632911387</v>
      </c>
      <c r="H215" s="26">
        <f t="shared" si="19"/>
        <v>30902.954601695597</v>
      </c>
      <c r="I215" s="8">
        <f t="shared" si="20"/>
        <v>16000.810632911387</v>
      </c>
      <c r="J215" s="8">
        <f>VPI!R215</f>
        <v>8633.2483544303759</v>
      </c>
      <c r="K215" s="221">
        <f t="shared" si="21"/>
        <v>10190.234702781225</v>
      </c>
      <c r="L215" s="315">
        <f t="shared" si="22"/>
        <v>26191.045335692612</v>
      </c>
      <c r="M215" s="128"/>
      <c r="N215" s="129"/>
      <c r="O215" s="126"/>
      <c r="P215" s="126"/>
      <c r="Q215" s="130"/>
    </row>
    <row r="216" spans="1:17" s="125" customFormat="1" x14ac:dyDescent="0.25">
      <c r="A216" s="174">
        <f>Données!A216</f>
        <v>5755</v>
      </c>
      <c r="B216" s="325" t="str">
        <f>Données!B216</f>
        <v>Lignerolle</v>
      </c>
      <c r="C216" s="174">
        <f>Données!AR216</f>
        <v>0</v>
      </c>
      <c r="D216" s="326">
        <f>Données!Z216</f>
        <v>447</v>
      </c>
      <c r="E216" s="127">
        <f>Données!X216</f>
        <v>78.5</v>
      </c>
      <c r="F216" s="31">
        <f>VPI!L216</f>
        <v>790145.18</v>
      </c>
      <c r="G216" s="8">
        <f t="shared" si="18"/>
        <v>20131.087388535034</v>
      </c>
      <c r="H216" s="26">
        <f t="shared" si="19"/>
        <v>39923.759268664544</v>
      </c>
      <c r="I216" s="8">
        <f t="shared" si="20"/>
        <v>20131.087388535034</v>
      </c>
      <c r="J216" s="8">
        <f>VPI!R216</f>
        <v>10920.942602365787</v>
      </c>
      <c r="K216" s="221">
        <f t="shared" si="21"/>
        <v>12890.509310623498</v>
      </c>
      <c r="L216" s="315">
        <f t="shared" si="22"/>
        <v>33021.59669915853</v>
      </c>
      <c r="M216" s="128"/>
      <c r="N216" s="129"/>
      <c r="O216" s="126"/>
      <c r="P216" s="126"/>
      <c r="Q216" s="130"/>
    </row>
    <row r="217" spans="1:17" s="125" customFormat="1" x14ac:dyDescent="0.25">
      <c r="A217" s="174">
        <f>Données!A217</f>
        <v>5756</v>
      </c>
      <c r="B217" s="325" t="str">
        <f>Données!B217</f>
        <v>Montcherand</v>
      </c>
      <c r="C217" s="174">
        <f>Données!AR217</f>
        <v>1</v>
      </c>
      <c r="D217" s="326">
        <f>Données!Z217</f>
        <v>496</v>
      </c>
      <c r="E217" s="127">
        <f>Données!X217</f>
        <v>72</v>
      </c>
      <c r="F217" s="31">
        <f>VPI!L217</f>
        <v>1170393.23</v>
      </c>
      <c r="G217" s="8">
        <f t="shared" si="18"/>
        <v>32510.923055555555</v>
      </c>
      <c r="H217" s="26">
        <f t="shared" si="19"/>
        <v>44300.189255609876</v>
      </c>
      <c r="I217" s="8">
        <f t="shared" si="20"/>
        <v>0</v>
      </c>
      <c r="J217" s="8">
        <f>VPI!R217</f>
        <v>17503.400416666664</v>
      </c>
      <c r="K217" s="221">
        <f t="shared" si="21"/>
        <v>20660.098148463432</v>
      </c>
      <c r="L217" s="315">
        <f t="shared" si="22"/>
        <v>20660.098148463432</v>
      </c>
      <c r="M217" s="128"/>
      <c r="N217" s="129"/>
      <c r="O217" s="126"/>
      <c r="P217" s="126"/>
      <c r="Q217" s="130"/>
    </row>
    <row r="218" spans="1:17" s="125" customFormat="1" x14ac:dyDescent="0.25">
      <c r="A218" s="174">
        <f>Données!A218</f>
        <v>5757</v>
      </c>
      <c r="B218" s="325" t="str">
        <f>Données!B218</f>
        <v>Orbe</v>
      </c>
      <c r="C218" s="174">
        <f>Données!AR218</f>
        <v>1</v>
      </c>
      <c r="D218" s="326">
        <f>Données!Z218</f>
        <v>7617</v>
      </c>
      <c r="E218" s="127">
        <f>Données!X218</f>
        <v>75.5</v>
      </c>
      <c r="F218" s="31">
        <f>VPI!L218</f>
        <v>14862651.529999999</v>
      </c>
      <c r="G218" s="8">
        <f t="shared" si="18"/>
        <v>393712.62331125827</v>
      </c>
      <c r="H218" s="26">
        <f t="shared" si="19"/>
        <v>680311.57572576695</v>
      </c>
      <c r="I218" s="8">
        <f t="shared" si="20"/>
        <v>0</v>
      </c>
      <c r="J218" s="8">
        <f>VPI!R218</f>
        <v>217762.06927152316</v>
      </c>
      <c r="K218" s="221">
        <f t="shared" si="21"/>
        <v>257034.95418400224</v>
      </c>
      <c r="L218" s="315">
        <f t="shared" si="22"/>
        <v>257034.95418400224</v>
      </c>
      <c r="M218" s="128"/>
      <c r="N218" s="129"/>
      <c r="O218" s="126"/>
      <c r="P218" s="126"/>
      <c r="Q218" s="130"/>
    </row>
    <row r="219" spans="1:17" s="125" customFormat="1" x14ac:dyDescent="0.25">
      <c r="A219" s="174">
        <f>Données!A219</f>
        <v>5758</v>
      </c>
      <c r="B219" s="325" t="str">
        <f>Données!B219</f>
        <v>La Praz</v>
      </c>
      <c r="C219" s="174">
        <f>Données!AR219</f>
        <v>0</v>
      </c>
      <c r="D219" s="326">
        <f>Données!Z219</f>
        <v>183</v>
      </c>
      <c r="E219" s="127">
        <f>Données!X219</f>
        <v>83</v>
      </c>
      <c r="F219" s="31">
        <f>VPI!L219</f>
        <v>342207.68000000005</v>
      </c>
      <c r="G219" s="8">
        <f t="shared" si="18"/>
        <v>8245.9681927710863</v>
      </c>
      <c r="H219" s="26">
        <f t="shared" si="19"/>
        <v>16344.626277775418</v>
      </c>
      <c r="I219" s="8">
        <f t="shared" si="20"/>
        <v>8245.9681927710863</v>
      </c>
      <c r="J219" s="8">
        <f>VPI!R219</f>
        <v>4500.7334939759048</v>
      </c>
      <c r="K219" s="221">
        <f t="shared" si="21"/>
        <v>5312.4303570795573</v>
      </c>
      <c r="L219" s="315">
        <f t="shared" si="22"/>
        <v>13558.398549850644</v>
      </c>
      <c r="M219" s="128"/>
      <c r="N219" s="129"/>
      <c r="O219" s="126"/>
      <c r="P219" s="126"/>
      <c r="Q219" s="130"/>
    </row>
    <row r="220" spans="1:17" s="125" customFormat="1" x14ac:dyDescent="0.25">
      <c r="A220" s="174">
        <f>Données!A220</f>
        <v>5759</v>
      </c>
      <c r="B220" s="325" t="str">
        <f>Données!B220</f>
        <v>Premier</v>
      </c>
      <c r="C220" s="174">
        <f>Données!AR220</f>
        <v>0</v>
      </c>
      <c r="D220" s="326">
        <f>Données!Z220</f>
        <v>236</v>
      </c>
      <c r="E220" s="127">
        <f>Données!X220</f>
        <v>79.5</v>
      </c>
      <c r="F220" s="31">
        <f>VPI!L220</f>
        <v>418125.22</v>
      </c>
      <c r="G220" s="8">
        <f t="shared" si="18"/>
        <v>10518.873459119497</v>
      </c>
      <c r="H220" s="26">
        <f t="shared" si="19"/>
        <v>21078.315855491797</v>
      </c>
      <c r="I220" s="8">
        <f t="shared" si="20"/>
        <v>10518.873459119497</v>
      </c>
      <c r="J220" s="8">
        <f>VPI!R220</f>
        <v>5667.0675471698114</v>
      </c>
      <c r="K220" s="221">
        <f t="shared" si="21"/>
        <v>6689.1100558389262</v>
      </c>
      <c r="L220" s="315">
        <f t="shared" si="22"/>
        <v>17207.983514958425</v>
      </c>
      <c r="M220" s="128"/>
      <c r="N220" s="129"/>
      <c r="O220" s="126"/>
      <c r="P220" s="126"/>
      <c r="Q220" s="130"/>
    </row>
    <row r="221" spans="1:17" s="125" customFormat="1" x14ac:dyDescent="0.25">
      <c r="A221" s="174">
        <f>Données!A221</f>
        <v>5760</v>
      </c>
      <c r="B221" s="325" t="str">
        <f>Données!B221</f>
        <v>Rances</v>
      </c>
      <c r="C221" s="174">
        <f>Données!AR221</f>
        <v>0</v>
      </c>
      <c r="D221" s="326">
        <f>Données!Z221</f>
        <v>521</v>
      </c>
      <c r="E221" s="127">
        <f>Données!X221</f>
        <v>76.5</v>
      </c>
      <c r="F221" s="31">
        <f>VPI!L221</f>
        <v>1162446.2799999998</v>
      </c>
      <c r="G221" s="8">
        <f t="shared" si="18"/>
        <v>30390.75241830065</v>
      </c>
      <c r="H221" s="26">
        <f t="shared" si="19"/>
        <v>46533.061697928919</v>
      </c>
      <c r="I221" s="8">
        <f t="shared" si="20"/>
        <v>30390.75241830065</v>
      </c>
      <c r="J221" s="8">
        <f>VPI!R221</f>
        <v>16308.735686274507</v>
      </c>
      <c r="K221" s="221">
        <f t="shared" si="21"/>
        <v>19249.978400479631</v>
      </c>
      <c r="L221" s="315">
        <f t="shared" si="22"/>
        <v>49640.730818780285</v>
      </c>
      <c r="M221" s="128"/>
      <c r="N221" s="129"/>
      <c r="O221" s="126"/>
      <c r="P221" s="126"/>
      <c r="Q221" s="130"/>
    </row>
    <row r="222" spans="1:17" s="125" customFormat="1" x14ac:dyDescent="0.25">
      <c r="A222" s="174">
        <f>Données!A222</f>
        <v>5761</v>
      </c>
      <c r="B222" s="325" t="str">
        <f>Données!B222</f>
        <v>Romainmôtier-Envy</v>
      </c>
      <c r="C222" s="174">
        <f>Données!AR222</f>
        <v>0</v>
      </c>
      <c r="D222" s="326">
        <f>Données!Z222</f>
        <v>559</v>
      </c>
      <c r="E222" s="127">
        <f>Données!X222</f>
        <v>81</v>
      </c>
      <c r="F222" s="31">
        <f>VPI!L222</f>
        <v>1075721.22</v>
      </c>
      <c r="G222" s="8">
        <f t="shared" si="18"/>
        <v>26561.017777777775</v>
      </c>
      <c r="H222" s="26">
        <f t="shared" si="19"/>
        <v>49927.027810253872</v>
      </c>
      <c r="I222" s="8">
        <f t="shared" si="20"/>
        <v>26561.017777777775</v>
      </c>
      <c r="J222" s="8">
        <f>VPI!R222</f>
        <v>14407.779147025813</v>
      </c>
      <c r="K222" s="221">
        <f t="shared" si="21"/>
        <v>17006.188751501202</v>
      </c>
      <c r="L222" s="315">
        <f t="shared" si="22"/>
        <v>43567.206529278978</v>
      </c>
      <c r="M222" s="128"/>
      <c r="N222" s="129"/>
      <c r="O222" s="126"/>
      <c r="P222" s="126"/>
      <c r="Q222" s="130"/>
    </row>
    <row r="223" spans="1:17" s="125" customFormat="1" x14ac:dyDescent="0.25">
      <c r="A223" s="174">
        <f>Données!A223</f>
        <v>5762</v>
      </c>
      <c r="B223" s="325" t="str">
        <f>Données!B223</f>
        <v>Sergey</v>
      </c>
      <c r="C223" s="174">
        <f>Données!AR223</f>
        <v>0</v>
      </c>
      <c r="D223" s="326">
        <f>Données!Z223</f>
        <v>140</v>
      </c>
      <c r="E223" s="127">
        <f>Données!X223</f>
        <v>78</v>
      </c>
      <c r="F223" s="31">
        <f>VPI!L223</f>
        <v>270911.08999999997</v>
      </c>
      <c r="G223" s="8">
        <f t="shared" si="18"/>
        <v>6946.4382051282046</v>
      </c>
      <c r="H223" s="26">
        <f t="shared" si="19"/>
        <v>12504.085676986659</v>
      </c>
      <c r="I223" s="8">
        <f t="shared" si="20"/>
        <v>6946.4382051282046</v>
      </c>
      <c r="J223" s="8">
        <f>VPI!R223</f>
        <v>3741.4505128205124</v>
      </c>
      <c r="K223" s="221">
        <f t="shared" si="21"/>
        <v>4416.2124485758268</v>
      </c>
      <c r="L223" s="315">
        <f t="shared" si="22"/>
        <v>11362.650653704031</v>
      </c>
      <c r="M223" s="128"/>
      <c r="N223" s="129"/>
      <c r="O223" s="126"/>
      <c r="P223" s="126"/>
      <c r="Q223" s="130"/>
    </row>
    <row r="224" spans="1:17" s="125" customFormat="1" x14ac:dyDescent="0.25">
      <c r="A224" s="174">
        <f>Données!A224</f>
        <v>5763</v>
      </c>
      <c r="B224" s="325" t="str">
        <f>Données!B224</f>
        <v>Valeyres-sous-Rances</v>
      </c>
      <c r="C224" s="174">
        <f>Données!AR224</f>
        <v>0</v>
      </c>
      <c r="D224" s="326">
        <f>Données!Z224</f>
        <v>606</v>
      </c>
      <c r="E224" s="127">
        <f>Données!X224</f>
        <v>71</v>
      </c>
      <c r="F224" s="31">
        <f>VPI!L224</f>
        <v>1483452.83</v>
      </c>
      <c r="G224" s="8">
        <f t="shared" si="18"/>
        <v>41787.403661971832</v>
      </c>
      <c r="H224" s="26">
        <f t="shared" si="19"/>
        <v>54124.828001813679</v>
      </c>
      <c r="I224" s="8">
        <f t="shared" si="20"/>
        <v>41787.403661971832</v>
      </c>
      <c r="J224" s="8">
        <f>VPI!R224</f>
        <v>22297.189859154929</v>
      </c>
      <c r="K224" s="221">
        <f t="shared" si="21"/>
        <v>26318.436415727763</v>
      </c>
      <c r="L224" s="315">
        <f t="shared" si="22"/>
        <v>68105.840077699599</v>
      </c>
      <c r="M224" s="128"/>
      <c r="N224" s="129"/>
      <c r="O224" s="126"/>
      <c r="P224" s="126"/>
      <c r="Q224" s="130"/>
    </row>
    <row r="225" spans="1:17" s="125" customFormat="1" x14ac:dyDescent="0.25">
      <c r="A225" s="174">
        <f>Données!A225</f>
        <v>5764</v>
      </c>
      <c r="B225" s="325" t="str">
        <f>Données!B225</f>
        <v>Vallorbe</v>
      </c>
      <c r="C225" s="174">
        <f>Données!AR225</f>
        <v>0</v>
      </c>
      <c r="D225" s="326">
        <f>Données!Z225</f>
        <v>3987</v>
      </c>
      <c r="E225" s="127">
        <f>Données!X225</f>
        <v>71.5</v>
      </c>
      <c r="F225" s="31">
        <f>VPI!L225</f>
        <v>5432799.2699999996</v>
      </c>
      <c r="G225" s="8">
        <f t="shared" si="18"/>
        <v>151966.41314685313</v>
      </c>
      <c r="H225" s="26">
        <f t="shared" si="19"/>
        <v>356098.49710104149</v>
      </c>
      <c r="I225" s="8">
        <f t="shared" si="20"/>
        <v>151966.41314685313</v>
      </c>
      <c r="J225" s="8">
        <f>VPI!R225</f>
        <v>83717.114965034954</v>
      </c>
      <c r="K225" s="221">
        <f t="shared" si="21"/>
        <v>98815.302781789622</v>
      </c>
      <c r="L225" s="315">
        <f t="shared" si="22"/>
        <v>250781.71592864275</v>
      </c>
      <c r="M225" s="128"/>
      <c r="N225" s="129"/>
      <c r="O225" s="126"/>
      <c r="P225" s="126"/>
      <c r="Q225" s="130"/>
    </row>
    <row r="226" spans="1:17" s="125" customFormat="1" x14ac:dyDescent="0.25">
      <c r="A226" s="174">
        <f>Données!A226</f>
        <v>5765</v>
      </c>
      <c r="B226" s="325" t="str">
        <f>Données!B226</f>
        <v>Vaulion</v>
      </c>
      <c r="C226" s="174">
        <f>Données!AR226</f>
        <v>0</v>
      </c>
      <c r="D226" s="326">
        <f>Données!Z226</f>
        <v>483</v>
      </c>
      <c r="E226" s="127">
        <f>Données!X226</f>
        <v>81</v>
      </c>
      <c r="F226" s="31">
        <f>VPI!L226</f>
        <v>712824.28999999992</v>
      </c>
      <c r="G226" s="8">
        <f t="shared" si="18"/>
        <v>17600.599753086419</v>
      </c>
      <c r="H226" s="26">
        <f t="shared" si="19"/>
        <v>43139.095585603973</v>
      </c>
      <c r="I226" s="8">
        <f t="shared" si="20"/>
        <v>17600.599753086419</v>
      </c>
      <c r="J226" s="8">
        <f>VPI!R226</f>
        <v>9628.0504938271606</v>
      </c>
      <c r="K226" s="221">
        <f t="shared" si="21"/>
        <v>11364.447104313716</v>
      </c>
      <c r="L226" s="315">
        <f t="shared" si="22"/>
        <v>28965.046857400135</v>
      </c>
      <c r="M226" s="128"/>
      <c r="N226" s="129"/>
      <c r="O226" s="126"/>
      <c r="P226" s="126"/>
      <c r="Q226" s="130"/>
    </row>
    <row r="227" spans="1:17" s="125" customFormat="1" x14ac:dyDescent="0.25">
      <c r="A227" s="174">
        <f>Données!A227</f>
        <v>5766</v>
      </c>
      <c r="B227" s="325" t="str">
        <f>Données!B227</f>
        <v>Vuiteboeuf</v>
      </c>
      <c r="C227" s="174">
        <f>Données!AR227</f>
        <v>0</v>
      </c>
      <c r="D227" s="326">
        <f>Données!Z227</f>
        <v>592</v>
      </c>
      <c r="E227" s="127">
        <f>Données!X227</f>
        <v>75</v>
      </c>
      <c r="F227" s="31">
        <f>VPI!L227</f>
        <v>1070650.8700000001</v>
      </c>
      <c r="G227" s="8">
        <f t="shared" si="18"/>
        <v>28550.689866666671</v>
      </c>
      <c r="H227" s="26">
        <f t="shared" si="19"/>
        <v>52874.419434115014</v>
      </c>
      <c r="I227" s="8">
        <f t="shared" si="20"/>
        <v>28550.689866666671</v>
      </c>
      <c r="J227" s="8">
        <f>VPI!R227</f>
        <v>15422.760361904762</v>
      </c>
      <c r="K227" s="221">
        <f t="shared" si="21"/>
        <v>18204.219478049545</v>
      </c>
      <c r="L227" s="315">
        <f t="shared" si="22"/>
        <v>46754.909344716216</v>
      </c>
      <c r="M227" s="128"/>
      <c r="N227" s="129"/>
      <c r="O227" s="126"/>
      <c r="P227" s="126"/>
      <c r="Q227" s="130"/>
    </row>
    <row r="228" spans="1:17" s="125" customFormat="1" x14ac:dyDescent="0.25">
      <c r="A228" s="174">
        <f>Données!A228</f>
        <v>5785</v>
      </c>
      <c r="B228" s="325" t="str">
        <f>Données!B228</f>
        <v>Corcelles-le-Jorat</v>
      </c>
      <c r="C228" s="174">
        <f>Données!AR228</f>
        <v>0</v>
      </c>
      <c r="D228" s="326">
        <f>Données!Z228</f>
        <v>485</v>
      </c>
      <c r="E228" s="127">
        <f>Données!X228</f>
        <v>75</v>
      </c>
      <c r="F228" s="31">
        <f>VPI!L228</f>
        <v>1079404.3199999998</v>
      </c>
      <c r="G228" s="8">
        <f t="shared" si="18"/>
        <v>28784.115199999997</v>
      </c>
      <c r="H228" s="26">
        <f t="shared" si="19"/>
        <v>43317.725380989497</v>
      </c>
      <c r="I228" s="8">
        <f t="shared" si="20"/>
        <v>28784.115199999997</v>
      </c>
      <c r="J228" s="8">
        <f>VPI!R228</f>
        <v>15461.968933333332</v>
      </c>
      <c r="K228" s="221">
        <f t="shared" si="21"/>
        <v>18250.499224538347</v>
      </c>
      <c r="L228" s="315">
        <f t="shared" si="22"/>
        <v>47034.614424538348</v>
      </c>
      <c r="M228" s="128"/>
      <c r="N228" s="129"/>
      <c r="O228" s="126"/>
      <c r="P228" s="126"/>
      <c r="Q228" s="130"/>
    </row>
    <row r="229" spans="1:17" s="125" customFormat="1" x14ac:dyDescent="0.25">
      <c r="A229" s="174">
        <f>Données!A229</f>
        <v>5790</v>
      </c>
      <c r="B229" s="325" t="str">
        <f>Données!B229</f>
        <v>Maracon</v>
      </c>
      <c r="C229" s="174">
        <f>Données!AR229</f>
        <v>0</v>
      </c>
      <c r="D229" s="326">
        <f>Données!Z229</f>
        <v>544</v>
      </c>
      <c r="E229" s="127">
        <f>Données!X229</f>
        <v>74.5</v>
      </c>
      <c r="F229" s="31">
        <f>VPI!L229</f>
        <v>1117080.6700000002</v>
      </c>
      <c r="G229" s="8">
        <f t="shared" si="18"/>
        <v>29988.74281879195</v>
      </c>
      <c r="H229" s="26">
        <f t="shared" si="19"/>
        <v>48587.304344862445</v>
      </c>
      <c r="I229" s="8">
        <f t="shared" si="20"/>
        <v>29988.74281879195</v>
      </c>
      <c r="J229" s="8">
        <f>VPI!R229</f>
        <v>16326.697583892621</v>
      </c>
      <c r="K229" s="221">
        <f t="shared" si="21"/>
        <v>19271.179684738065</v>
      </c>
      <c r="L229" s="315">
        <f t="shared" si="22"/>
        <v>49259.922503530019</v>
      </c>
      <c r="M229" s="128"/>
      <c r="N229" s="129"/>
      <c r="O229" s="126"/>
      <c r="P229" s="126"/>
      <c r="Q229" s="130"/>
    </row>
    <row r="230" spans="1:17" s="125" customFormat="1" x14ac:dyDescent="0.25">
      <c r="A230" s="174">
        <f>Données!A230</f>
        <v>5792</v>
      </c>
      <c r="B230" s="325" t="str">
        <f>Données!B230</f>
        <v>Montpreveyres</v>
      </c>
      <c r="C230" s="174">
        <f>Données!AR230</f>
        <v>0</v>
      </c>
      <c r="D230" s="326">
        <f>Données!Z230</f>
        <v>661</v>
      </c>
      <c r="E230" s="127">
        <f>Données!X230</f>
        <v>75.5</v>
      </c>
      <c r="F230" s="31">
        <f>VPI!L230</f>
        <v>1334689.3199999998</v>
      </c>
      <c r="G230" s="8">
        <f t="shared" si="18"/>
        <v>35356.008476821189</v>
      </c>
      <c r="H230" s="26">
        <f t="shared" si="19"/>
        <v>59037.147374915578</v>
      </c>
      <c r="I230" s="8">
        <f t="shared" si="20"/>
        <v>35356.008476821189</v>
      </c>
      <c r="J230" s="8">
        <f>VPI!R230</f>
        <v>19363.161854304632</v>
      </c>
      <c r="K230" s="221">
        <f t="shared" si="21"/>
        <v>22855.263254652844</v>
      </c>
      <c r="L230" s="315">
        <f t="shared" si="22"/>
        <v>58211.271731474029</v>
      </c>
      <c r="M230" s="128"/>
      <c r="N230" s="129"/>
      <c r="O230" s="126"/>
      <c r="P230" s="126"/>
      <c r="Q230" s="130"/>
    </row>
    <row r="231" spans="1:17" s="125" customFormat="1" x14ac:dyDescent="0.25">
      <c r="A231" s="174">
        <f>Données!A231</f>
        <v>5798</v>
      </c>
      <c r="B231" s="325" t="str">
        <f>Données!B231</f>
        <v>Ropraz</v>
      </c>
      <c r="C231" s="174">
        <f>Données!AR231</f>
        <v>0</v>
      </c>
      <c r="D231" s="326">
        <f>Données!Z231</f>
        <v>529</v>
      </c>
      <c r="E231" s="127">
        <f>Données!X231</f>
        <v>77.5</v>
      </c>
      <c r="F231" s="31">
        <f>VPI!L231</f>
        <v>1150421.1599999999</v>
      </c>
      <c r="G231" s="8">
        <f t="shared" si="18"/>
        <v>29688.287999999997</v>
      </c>
      <c r="H231" s="26">
        <f t="shared" si="19"/>
        <v>47247.580879471017</v>
      </c>
      <c r="I231" s="8">
        <f t="shared" si="20"/>
        <v>29688.287999999997</v>
      </c>
      <c r="J231" s="8">
        <f>VPI!R231</f>
        <v>16208.351096774193</v>
      </c>
      <c r="K231" s="221">
        <f t="shared" si="21"/>
        <v>19131.489682727686</v>
      </c>
      <c r="L231" s="315">
        <f t="shared" si="22"/>
        <v>48819.777682727683</v>
      </c>
      <c r="M231" s="128"/>
      <c r="N231" s="129"/>
      <c r="O231" s="126"/>
      <c r="P231" s="126"/>
      <c r="Q231" s="130"/>
    </row>
    <row r="232" spans="1:17" s="125" customFormat="1" x14ac:dyDescent="0.25">
      <c r="A232" s="174">
        <f>Données!A232</f>
        <v>5799</v>
      </c>
      <c r="B232" s="325" t="str">
        <f>Données!B232</f>
        <v>Servion</v>
      </c>
      <c r="C232" s="174">
        <f>Données!AR232</f>
        <v>0</v>
      </c>
      <c r="D232" s="326">
        <f>Données!Z232</f>
        <v>2136</v>
      </c>
      <c r="E232" s="127">
        <f>Données!X232</f>
        <v>69</v>
      </c>
      <c r="F232" s="31">
        <f>VPI!L232</f>
        <v>4598118.1000000006</v>
      </c>
      <c r="G232" s="8">
        <f t="shared" si="18"/>
        <v>133278.78550724639</v>
      </c>
      <c r="H232" s="26">
        <f t="shared" si="19"/>
        <v>190776.62147173932</v>
      </c>
      <c r="I232" s="8">
        <f t="shared" si="20"/>
        <v>133278.78550724639</v>
      </c>
      <c r="J232" s="8">
        <f>VPI!R232</f>
        <v>73170.718115942043</v>
      </c>
      <c r="K232" s="221">
        <f t="shared" si="21"/>
        <v>86366.887683690657</v>
      </c>
      <c r="L232" s="315">
        <f t="shared" si="22"/>
        <v>219645.67319093703</v>
      </c>
      <c r="M232" s="128"/>
      <c r="N232" s="129"/>
      <c r="O232" s="126"/>
      <c r="P232" s="126"/>
      <c r="Q232" s="130"/>
    </row>
    <row r="233" spans="1:17" s="125" customFormat="1" x14ac:dyDescent="0.25">
      <c r="A233" s="174">
        <f>Données!A233</f>
        <v>5803</v>
      </c>
      <c r="B233" s="325" t="str">
        <f>Données!B233</f>
        <v>Vulliens</v>
      </c>
      <c r="C233" s="174">
        <f>Données!AR233</f>
        <v>0</v>
      </c>
      <c r="D233" s="326">
        <f>Données!Z233</f>
        <v>632</v>
      </c>
      <c r="E233" s="127">
        <f>Données!X233</f>
        <v>74</v>
      </c>
      <c r="F233" s="31">
        <f>VPI!L233</f>
        <v>1115692.0299999998</v>
      </c>
      <c r="G233" s="8">
        <f t="shared" si="18"/>
        <v>30153.838648648642</v>
      </c>
      <c r="H233" s="26">
        <f t="shared" si="19"/>
        <v>56447.015341825485</v>
      </c>
      <c r="I233" s="8">
        <f t="shared" si="20"/>
        <v>30153.838648648642</v>
      </c>
      <c r="J233" s="8">
        <f>VPI!R233</f>
        <v>16577.57405405405</v>
      </c>
      <c r="K233" s="221">
        <f t="shared" si="21"/>
        <v>19567.301145328078</v>
      </c>
      <c r="L233" s="315">
        <f t="shared" si="22"/>
        <v>49721.139793976719</v>
      </c>
      <c r="M233" s="128"/>
      <c r="N233" s="129"/>
      <c r="O233" s="126"/>
      <c r="P233" s="126"/>
      <c r="Q233" s="130"/>
    </row>
    <row r="234" spans="1:17" s="125" customFormat="1" x14ac:dyDescent="0.25">
      <c r="A234" s="174">
        <f>Données!A234</f>
        <v>5804</v>
      </c>
      <c r="B234" s="325" t="str">
        <f>Données!B234</f>
        <v>Jorat-Menthue</v>
      </c>
      <c r="C234" s="174">
        <f>Données!AR234</f>
        <v>0</v>
      </c>
      <c r="D234" s="326">
        <f>Données!Z234</f>
        <v>1565</v>
      </c>
      <c r="E234" s="127">
        <f>Données!X234</f>
        <v>70.5</v>
      </c>
      <c r="F234" s="31">
        <f>VPI!L234</f>
        <v>2895369.24</v>
      </c>
      <c r="G234" s="8">
        <f t="shared" si="18"/>
        <v>82138.134468085118</v>
      </c>
      <c r="H234" s="26">
        <f t="shared" si="19"/>
        <v>139777.8148891723</v>
      </c>
      <c r="I234" s="8">
        <f t="shared" si="20"/>
        <v>82138.134468085118</v>
      </c>
      <c r="J234" s="8">
        <f>VPI!R234</f>
        <v>45125.345957446807</v>
      </c>
      <c r="K234" s="221">
        <f t="shared" si="21"/>
        <v>53263.597602240319</v>
      </c>
      <c r="L234" s="315">
        <f t="shared" si="22"/>
        <v>135401.73207032544</v>
      </c>
      <c r="M234" s="128"/>
      <c r="N234" s="129"/>
      <c r="O234" s="126"/>
      <c r="P234" s="126"/>
      <c r="Q234" s="130"/>
    </row>
    <row r="235" spans="1:17" s="125" customFormat="1" x14ac:dyDescent="0.25">
      <c r="A235" s="174">
        <f>Données!A235</f>
        <v>5805</v>
      </c>
      <c r="B235" s="325" t="str">
        <f>Données!B235</f>
        <v>Oron</v>
      </c>
      <c r="C235" s="174">
        <f>Données!AR235</f>
        <v>0</v>
      </c>
      <c r="D235" s="326">
        <f>Données!Z235</f>
        <v>6119</v>
      </c>
      <c r="E235" s="127">
        <f>Données!X235</f>
        <v>69</v>
      </c>
      <c r="F235" s="31">
        <f>VPI!L235</f>
        <v>10909003.210000001</v>
      </c>
      <c r="G235" s="8">
        <f t="shared" si="18"/>
        <v>316202.99159420293</v>
      </c>
      <c r="H235" s="26">
        <f t="shared" si="19"/>
        <v>546517.8589820097</v>
      </c>
      <c r="I235" s="8">
        <f t="shared" si="20"/>
        <v>316202.99159420293</v>
      </c>
      <c r="J235" s="8">
        <f>VPI!R235</f>
        <v>174509.83123847167</v>
      </c>
      <c r="K235" s="221">
        <f t="shared" si="21"/>
        <v>205982.27518268838</v>
      </c>
      <c r="L235" s="315">
        <f t="shared" si="22"/>
        <v>522185.26677689131</v>
      </c>
      <c r="M235" s="128"/>
      <c r="N235" s="129"/>
      <c r="O235" s="126"/>
      <c r="P235" s="126"/>
      <c r="Q235" s="130"/>
    </row>
    <row r="236" spans="1:17" s="125" customFormat="1" x14ac:dyDescent="0.25">
      <c r="A236" s="174">
        <f>Données!A236</f>
        <v>5806</v>
      </c>
      <c r="B236" s="325" t="str">
        <f>Données!B236</f>
        <v>Jorat-Mézières</v>
      </c>
      <c r="C236" s="174">
        <f>Données!AR236</f>
        <v>0</v>
      </c>
      <c r="D236" s="326">
        <f>Données!Z236</f>
        <v>3110</v>
      </c>
      <c r="E236" s="127">
        <f>Données!X236</f>
        <v>73</v>
      </c>
      <c r="F236" s="31">
        <f>VPI!L236</f>
        <v>6913129.3299999991</v>
      </c>
      <c r="G236" s="8">
        <f t="shared" si="18"/>
        <v>189400.80356164381</v>
      </c>
      <c r="H236" s="26">
        <f t="shared" si="19"/>
        <v>277769.33182448935</v>
      </c>
      <c r="I236" s="8">
        <f t="shared" si="20"/>
        <v>189400.80356164381</v>
      </c>
      <c r="J236" s="8">
        <f>VPI!R236</f>
        <v>102977.86342465752</v>
      </c>
      <c r="K236" s="221">
        <f t="shared" si="21"/>
        <v>121549.68262319244</v>
      </c>
      <c r="L236" s="315">
        <f t="shared" si="22"/>
        <v>310950.48618483625</v>
      </c>
      <c r="M236" s="128"/>
      <c r="N236" s="129"/>
      <c r="O236" s="126"/>
      <c r="P236" s="126"/>
      <c r="Q236" s="130"/>
    </row>
    <row r="237" spans="1:17" s="125" customFormat="1" x14ac:dyDescent="0.25">
      <c r="A237" s="174">
        <f>Données!A237</f>
        <v>5812</v>
      </c>
      <c r="B237" s="325" t="str">
        <f>Données!B237</f>
        <v>Champtauroz</v>
      </c>
      <c r="C237" s="174">
        <f>Données!AR237</f>
        <v>0</v>
      </c>
      <c r="D237" s="326">
        <f>Données!Z237</f>
        <v>169</v>
      </c>
      <c r="E237" s="127">
        <f>Données!X237</f>
        <v>77</v>
      </c>
      <c r="F237" s="31">
        <f>VPI!L237</f>
        <v>258191.06999999998</v>
      </c>
      <c r="G237" s="8">
        <f t="shared" si="18"/>
        <v>6706.261558441558</v>
      </c>
      <c r="H237" s="26">
        <f t="shared" si="19"/>
        <v>15094.217710076751</v>
      </c>
      <c r="I237" s="8">
        <f t="shared" si="20"/>
        <v>6706.261558441558</v>
      </c>
      <c r="J237" s="8">
        <f>VPI!R237</f>
        <v>3659.293116883116</v>
      </c>
      <c r="K237" s="221">
        <f t="shared" si="21"/>
        <v>4319.2381565364039</v>
      </c>
      <c r="L237" s="315">
        <f t="shared" si="22"/>
        <v>11025.499714977963</v>
      </c>
      <c r="M237" s="128"/>
      <c r="N237" s="129"/>
      <c r="O237" s="126"/>
      <c r="P237" s="126"/>
      <c r="Q237" s="130"/>
    </row>
    <row r="238" spans="1:17" s="125" customFormat="1" x14ac:dyDescent="0.25">
      <c r="A238" s="174">
        <f>Données!A238</f>
        <v>5813</v>
      </c>
      <c r="B238" s="325" t="str">
        <f>Données!B238</f>
        <v>Chevroux</v>
      </c>
      <c r="C238" s="174">
        <f>Données!AR238</f>
        <v>0</v>
      </c>
      <c r="D238" s="326">
        <f>Données!Z238</f>
        <v>522</v>
      </c>
      <c r="E238" s="127">
        <f>Données!X238</f>
        <v>68.5</v>
      </c>
      <c r="F238" s="31">
        <f>VPI!L238</f>
        <v>1099126.1600000001</v>
      </c>
      <c r="G238" s="8">
        <f t="shared" si="18"/>
        <v>32091.274744525552</v>
      </c>
      <c r="H238" s="26">
        <f t="shared" si="19"/>
        <v>46622.376595621681</v>
      </c>
      <c r="I238" s="8">
        <f t="shared" si="20"/>
        <v>32091.274744525552</v>
      </c>
      <c r="J238" s="8">
        <f>VPI!R238</f>
        <v>17498.80282238443</v>
      </c>
      <c r="K238" s="221">
        <f t="shared" si="21"/>
        <v>20654.67138869924</v>
      </c>
      <c r="L238" s="315">
        <f t="shared" si="22"/>
        <v>52745.946133224788</v>
      </c>
      <c r="M238" s="128"/>
      <c r="N238" s="129"/>
      <c r="O238" s="126"/>
      <c r="P238" s="126"/>
      <c r="Q238" s="130"/>
    </row>
    <row r="239" spans="1:17" s="125" customFormat="1" x14ac:dyDescent="0.25">
      <c r="A239" s="174">
        <f>Données!A239</f>
        <v>5816</v>
      </c>
      <c r="B239" s="325" t="str">
        <f>Données!B239</f>
        <v>Corcelles-près-Payerne</v>
      </c>
      <c r="C239" s="174">
        <f>Données!AR239</f>
        <v>0</v>
      </c>
      <c r="D239" s="326">
        <f>Données!Z239</f>
        <v>2856</v>
      </c>
      <c r="E239" s="127">
        <f>Données!X239</f>
        <v>68.5</v>
      </c>
      <c r="F239" s="31">
        <f>VPI!L239</f>
        <v>4050541.6599999997</v>
      </c>
      <c r="G239" s="8">
        <f t="shared" si="18"/>
        <v>118263.99007299269</v>
      </c>
      <c r="H239" s="26">
        <f t="shared" si="19"/>
        <v>255083.34781052783</v>
      </c>
      <c r="I239" s="8">
        <f t="shared" si="20"/>
        <v>118263.99007299269</v>
      </c>
      <c r="J239" s="8">
        <f>VPI!R239</f>
        <v>65701.749572471308</v>
      </c>
      <c r="K239" s="221">
        <f t="shared" si="21"/>
        <v>77550.907959604679</v>
      </c>
      <c r="L239" s="315">
        <f t="shared" si="22"/>
        <v>195814.89803259738</v>
      </c>
      <c r="M239" s="128"/>
      <c r="N239" s="129"/>
      <c r="O239" s="126"/>
      <c r="P239" s="126"/>
      <c r="Q239" s="130"/>
    </row>
    <row r="240" spans="1:17" s="125" customFormat="1" x14ac:dyDescent="0.25">
      <c r="A240" s="174">
        <f>Données!A240</f>
        <v>5817</v>
      </c>
      <c r="B240" s="325" t="str">
        <f>Données!B240</f>
        <v>Grandcour</v>
      </c>
      <c r="C240" s="174">
        <f>Données!AR240</f>
        <v>0</v>
      </c>
      <c r="D240" s="326">
        <f>Données!Z240</f>
        <v>1001</v>
      </c>
      <c r="E240" s="127">
        <f>Données!X240</f>
        <v>73.5</v>
      </c>
      <c r="F240" s="31">
        <f>VPI!L240</f>
        <v>1758816.1099999999</v>
      </c>
      <c r="G240" s="8">
        <f t="shared" si="18"/>
        <v>47858.941768707482</v>
      </c>
      <c r="H240" s="26">
        <f t="shared" si="19"/>
        <v>89404.212590454612</v>
      </c>
      <c r="I240" s="8">
        <f t="shared" si="20"/>
        <v>47858.941768707482</v>
      </c>
      <c r="J240" s="8">
        <f>VPI!R240</f>
        <v>25916.897414965984</v>
      </c>
      <c r="K240" s="221">
        <f t="shared" si="21"/>
        <v>30590.949846922682</v>
      </c>
      <c r="L240" s="315">
        <f t="shared" si="22"/>
        <v>78449.891615630157</v>
      </c>
      <c r="M240" s="128"/>
      <c r="N240" s="129"/>
      <c r="O240" s="126"/>
      <c r="P240" s="126"/>
      <c r="Q240" s="130"/>
    </row>
    <row r="241" spans="1:17" s="125" customFormat="1" x14ac:dyDescent="0.25">
      <c r="A241" s="174">
        <f>Données!A241</f>
        <v>5819</v>
      </c>
      <c r="B241" s="325" t="str">
        <f>Données!B241</f>
        <v>Henniez</v>
      </c>
      <c r="C241" s="174">
        <f>Données!AR241</f>
        <v>0</v>
      </c>
      <c r="D241" s="326">
        <f>Données!Z241</f>
        <v>414</v>
      </c>
      <c r="E241" s="127">
        <f>Données!X241</f>
        <v>69</v>
      </c>
      <c r="F241" s="31">
        <f>VPI!L241</f>
        <v>615054.25</v>
      </c>
      <c r="G241" s="8">
        <f t="shared" si="18"/>
        <v>17827.659420289856</v>
      </c>
      <c r="H241" s="26">
        <f t="shared" si="19"/>
        <v>36976.367644803402</v>
      </c>
      <c r="I241" s="8">
        <f t="shared" si="20"/>
        <v>17827.659420289856</v>
      </c>
      <c r="J241" s="8">
        <f>VPI!R241</f>
        <v>10275.75579710145</v>
      </c>
      <c r="K241" s="221">
        <f t="shared" si="21"/>
        <v>12128.964559115537</v>
      </c>
      <c r="L241" s="315">
        <f t="shared" si="22"/>
        <v>29956.623979405391</v>
      </c>
      <c r="M241" s="128"/>
      <c r="N241" s="129"/>
      <c r="O241" s="126"/>
      <c r="P241" s="126"/>
      <c r="Q241" s="130"/>
    </row>
    <row r="242" spans="1:17" s="125" customFormat="1" x14ac:dyDescent="0.25">
      <c r="A242" s="174">
        <f>Données!A242</f>
        <v>5821</v>
      </c>
      <c r="B242" s="325" t="str">
        <f>Données!B242</f>
        <v>Missy</v>
      </c>
      <c r="C242" s="174">
        <f>Données!AR242</f>
        <v>0</v>
      </c>
      <c r="D242" s="326">
        <f>Données!Z242</f>
        <v>387</v>
      </c>
      <c r="E242" s="127">
        <f>Données!X242</f>
        <v>72</v>
      </c>
      <c r="F242" s="31">
        <f>VPI!L242</f>
        <v>545859.28000000014</v>
      </c>
      <c r="G242" s="8">
        <f t="shared" si="18"/>
        <v>15162.757777777782</v>
      </c>
      <c r="H242" s="26">
        <f t="shared" si="19"/>
        <v>34564.865407098834</v>
      </c>
      <c r="I242" s="8">
        <f t="shared" si="20"/>
        <v>15162.757777777782</v>
      </c>
      <c r="J242" s="8">
        <f>VPI!R242</f>
        <v>8375.965000000002</v>
      </c>
      <c r="K242" s="221">
        <f t="shared" si="21"/>
        <v>9886.5508911810502</v>
      </c>
      <c r="L242" s="315">
        <f t="shared" si="22"/>
        <v>25049.308668958831</v>
      </c>
      <c r="M242" s="128"/>
      <c r="N242" s="129"/>
      <c r="O242" s="126"/>
      <c r="P242" s="126"/>
      <c r="Q242" s="130"/>
    </row>
    <row r="243" spans="1:17" s="125" customFormat="1" x14ac:dyDescent="0.25">
      <c r="A243" s="174">
        <f>Données!A243</f>
        <v>5822</v>
      </c>
      <c r="B243" s="325" t="str">
        <f>Données!B243</f>
        <v>Payerne</v>
      </c>
      <c r="C243" s="174">
        <f>Données!AR243</f>
        <v>0</v>
      </c>
      <c r="D243" s="326">
        <f>Données!Z243</f>
        <v>10372</v>
      </c>
      <c r="E243" s="127">
        <f>Données!X243</f>
        <v>73</v>
      </c>
      <c r="F243" s="31">
        <f>VPI!L243</f>
        <v>14809433.630000001</v>
      </c>
      <c r="G243" s="8">
        <f t="shared" si="18"/>
        <v>405737.90767123288</v>
      </c>
      <c r="H243" s="198">
        <f t="shared" si="19"/>
        <v>926374.11886932584</v>
      </c>
      <c r="I243" s="8">
        <f t="shared" si="20"/>
        <v>405737.90767123288</v>
      </c>
      <c r="J243" s="8">
        <f>VPI!R243</f>
        <v>226844.26479452057</v>
      </c>
      <c r="K243" s="221">
        <f t="shared" si="21"/>
        <v>267755.10263755603</v>
      </c>
      <c r="L243" s="315">
        <f t="shared" si="22"/>
        <v>673493.01030878886</v>
      </c>
      <c r="M243" s="128"/>
      <c r="N243" s="129"/>
      <c r="O243" s="126"/>
      <c r="P243" s="126"/>
      <c r="Q243" s="130"/>
    </row>
    <row r="244" spans="1:17" s="125" customFormat="1" x14ac:dyDescent="0.25">
      <c r="A244" s="174">
        <f>Données!A244</f>
        <v>5827</v>
      </c>
      <c r="B244" s="325" t="str">
        <f>Données!B244</f>
        <v>Trey</v>
      </c>
      <c r="C244" s="174">
        <f>Données!AR244</f>
        <v>0</v>
      </c>
      <c r="D244" s="326">
        <f>Données!Z244</f>
        <v>302</v>
      </c>
      <c r="E244" s="127">
        <f>Données!X244</f>
        <v>78</v>
      </c>
      <c r="F244" s="31">
        <f>VPI!L244</f>
        <v>552003.3600000001</v>
      </c>
      <c r="G244" s="8">
        <f t="shared" si="18"/>
        <v>14153.93230769231</v>
      </c>
      <c r="H244" s="26">
        <f t="shared" si="19"/>
        <v>26973.099103214077</v>
      </c>
      <c r="I244" s="8">
        <f t="shared" si="20"/>
        <v>14153.93230769231</v>
      </c>
      <c r="J244" s="8">
        <f>VPI!R244</f>
        <v>7715.2558974358981</v>
      </c>
      <c r="K244" s="221">
        <f t="shared" si="21"/>
        <v>9106.684432000935</v>
      </c>
      <c r="L244" s="315">
        <f t="shared" si="22"/>
        <v>23260.616739693243</v>
      </c>
      <c r="M244" s="128"/>
      <c r="N244" s="129"/>
      <c r="O244" s="126"/>
      <c r="P244" s="126"/>
      <c r="Q244" s="130"/>
    </row>
    <row r="245" spans="1:17" s="125" customFormat="1" x14ac:dyDescent="0.25">
      <c r="A245" s="174">
        <f>Données!A245</f>
        <v>5828</v>
      </c>
      <c r="B245" s="325" t="str">
        <f>Données!B245</f>
        <v>Treytorrens (Payerne)</v>
      </c>
      <c r="C245" s="174">
        <f>Données!AR245</f>
        <v>0</v>
      </c>
      <c r="D245" s="326">
        <f>Données!Z245</f>
        <v>105</v>
      </c>
      <c r="E245" s="127">
        <f>Données!X245</f>
        <v>81.5</v>
      </c>
      <c r="F245" s="31">
        <f>VPI!L245</f>
        <v>215666.07</v>
      </c>
      <c r="G245" s="8">
        <f t="shared" si="18"/>
        <v>5292.4188957055212</v>
      </c>
      <c r="H245" s="26">
        <f t="shared" si="19"/>
        <v>9378.064257739994</v>
      </c>
      <c r="I245" s="8">
        <f t="shared" si="20"/>
        <v>5292.4188957055212</v>
      </c>
      <c r="J245" s="8">
        <f>VPI!R245</f>
        <v>2864.8065848670758</v>
      </c>
      <c r="K245" s="221">
        <f t="shared" si="21"/>
        <v>3381.4678182966286</v>
      </c>
      <c r="L245" s="315">
        <f t="shared" si="22"/>
        <v>8673.8867140021503</v>
      </c>
      <c r="M245" s="128"/>
      <c r="N245" s="129"/>
      <c r="O245" s="126"/>
      <c r="P245" s="126"/>
      <c r="Q245" s="130"/>
    </row>
    <row r="246" spans="1:17" s="125" customFormat="1" x14ac:dyDescent="0.25">
      <c r="A246" s="174">
        <f>Données!A246</f>
        <v>5830</v>
      </c>
      <c r="B246" s="325" t="str">
        <f>Données!B246</f>
        <v>Villarzel</v>
      </c>
      <c r="C246" s="174">
        <f>Données!AR246</f>
        <v>0</v>
      </c>
      <c r="D246" s="326">
        <f>Données!Z246</f>
        <v>486</v>
      </c>
      <c r="E246" s="127">
        <f>Données!X246</f>
        <v>75</v>
      </c>
      <c r="F246" s="31">
        <f>VPI!L246</f>
        <v>872652.85</v>
      </c>
      <c r="G246" s="8">
        <f t="shared" si="18"/>
        <v>23270.742666666665</v>
      </c>
      <c r="H246" s="26">
        <f t="shared" si="19"/>
        <v>43407.04027868226</v>
      </c>
      <c r="I246" s="8">
        <f t="shared" si="20"/>
        <v>23270.742666666665</v>
      </c>
      <c r="J246" s="8">
        <f>VPI!R246</f>
        <v>12474.180666666667</v>
      </c>
      <c r="K246" s="221">
        <f t="shared" si="21"/>
        <v>14723.870262923345</v>
      </c>
      <c r="L246" s="315">
        <f t="shared" si="22"/>
        <v>37994.61292959001</v>
      </c>
      <c r="M246" s="128"/>
      <c r="N246" s="129"/>
      <c r="O246" s="126"/>
      <c r="P246" s="126"/>
      <c r="Q246" s="130"/>
    </row>
    <row r="247" spans="1:17" s="125" customFormat="1" x14ac:dyDescent="0.25">
      <c r="A247" s="174">
        <f>Données!A247</f>
        <v>5831</v>
      </c>
      <c r="B247" s="325" t="str">
        <f>Données!B247</f>
        <v>Valbroye</v>
      </c>
      <c r="C247" s="174">
        <f>Données!AR247</f>
        <v>0</v>
      </c>
      <c r="D247" s="326">
        <f>Données!Z247</f>
        <v>3361</v>
      </c>
      <c r="E247" s="127">
        <f>Données!X247</f>
        <v>70.5</v>
      </c>
      <c r="F247" s="31">
        <f>VPI!L247</f>
        <v>5620237.2800000003</v>
      </c>
      <c r="G247" s="8">
        <f t="shared" si="18"/>
        <v>159439.35546099293</v>
      </c>
      <c r="H247" s="26">
        <f t="shared" si="19"/>
        <v>300187.37114537257</v>
      </c>
      <c r="I247" s="8">
        <f t="shared" si="20"/>
        <v>159439.35546099293</v>
      </c>
      <c r="J247" s="8">
        <f>VPI!R247</f>
        <v>87470.557399527184</v>
      </c>
      <c r="K247" s="221">
        <f t="shared" si="21"/>
        <v>103245.66986734048</v>
      </c>
      <c r="L247" s="315">
        <f t="shared" si="22"/>
        <v>262685.02532833337</v>
      </c>
      <c r="M247" s="128"/>
      <c r="N247" s="129"/>
      <c r="O247" s="126"/>
      <c r="P247" s="126"/>
      <c r="Q247" s="130"/>
    </row>
    <row r="248" spans="1:17" s="125" customFormat="1" x14ac:dyDescent="0.25">
      <c r="A248" s="174">
        <f>Données!A248</f>
        <v>5841</v>
      </c>
      <c r="B248" s="325" t="str">
        <f>Données!B248</f>
        <v>Château-d'Oex</v>
      </c>
      <c r="C248" s="174">
        <f>Données!AR248</f>
        <v>0</v>
      </c>
      <c r="D248" s="326">
        <f>Données!Z248</f>
        <v>3568</v>
      </c>
      <c r="E248" s="127">
        <f>Données!X248</f>
        <v>81.5</v>
      </c>
      <c r="F248" s="31">
        <f>VPI!L248</f>
        <v>9030201.8100000005</v>
      </c>
      <c r="G248" s="8">
        <f t="shared" si="18"/>
        <v>221600.04441717794</v>
      </c>
      <c r="H248" s="26">
        <f t="shared" si="19"/>
        <v>318675.55496777425</v>
      </c>
      <c r="I248" s="8">
        <f t="shared" si="20"/>
        <v>221600.04441717794</v>
      </c>
      <c r="J248" s="8">
        <f>VPI!R248</f>
        <v>123828.98781186093</v>
      </c>
      <c r="K248" s="221">
        <f t="shared" si="21"/>
        <v>146161.25900781591</v>
      </c>
      <c r="L248" s="315">
        <f t="shared" si="22"/>
        <v>367761.30342499388</v>
      </c>
      <c r="M248" s="128"/>
      <c r="N248" s="129"/>
      <c r="O248" s="126"/>
      <c r="P248" s="126"/>
      <c r="Q248" s="130"/>
    </row>
    <row r="249" spans="1:17" s="125" customFormat="1" x14ac:dyDescent="0.25">
      <c r="A249" s="174">
        <f>Données!A249</f>
        <v>5842</v>
      </c>
      <c r="B249" s="325" t="str">
        <f>Données!B249</f>
        <v>Rossinière</v>
      </c>
      <c r="C249" s="174">
        <f>Données!AR249</f>
        <v>0</v>
      </c>
      <c r="D249" s="326">
        <f>Données!Z249</f>
        <v>534</v>
      </c>
      <c r="E249" s="127">
        <f>Données!X249</f>
        <v>81</v>
      </c>
      <c r="F249" s="31">
        <f>VPI!L249</f>
        <v>1236470.4600000002</v>
      </c>
      <c r="G249" s="8">
        <f t="shared" si="18"/>
        <v>30530.134814814821</v>
      </c>
      <c r="H249" s="26">
        <f t="shared" si="19"/>
        <v>47694.155367934829</v>
      </c>
      <c r="I249" s="8">
        <f t="shared" si="20"/>
        <v>30530.134814814821</v>
      </c>
      <c r="J249" s="8">
        <f>VPI!R249</f>
        <v>16474.219053497945</v>
      </c>
      <c r="K249" s="221">
        <f t="shared" si="21"/>
        <v>19445.306309765132</v>
      </c>
      <c r="L249" s="315">
        <f t="shared" si="22"/>
        <v>49975.441124579957</v>
      </c>
      <c r="M249" s="128"/>
      <c r="N249" s="129"/>
      <c r="O249" s="126"/>
      <c r="P249" s="126"/>
      <c r="Q249" s="130"/>
    </row>
    <row r="250" spans="1:17" s="125" customFormat="1" x14ac:dyDescent="0.25">
      <c r="A250" s="174">
        <f>Données!A250</f>
        <v>5843</v>
      </c>
      <c r="B250" s="325" t="str">
        <f>Données!B250</f>
        <v>Rougemont</v>
      </c>
      <c r="C250" s="174">
        <f>Données!AR250</f>
        <v>0</v>
      </c>
      <c r="D250" s="326">
        <f>Données!Z250</f>
        <v>826</v>
      </c>
      <c r="E250" s="127">
        <f>Données!X250</f>
        <v>79</v>
      </c>
      <c r="F250" s="31">
        <f>VPI!L250</f>
        <v>6240508.6400000006</v>
      </c>
      <c r="G250" s="8">
        <f t="shared" si="18"/>
        <v>157987.56050632912</v>
      </c>
      <c r="H250" s="26">
        <f t="shared" si="19"/>
        <v>73774.10549422128</v>
      </c>
      <c r="I250" s="8">
        <f t="shared" si="20"/>
        <v>73774.10549422128</v>
      </c>
      <c r="J250" s="8">
        <f>VPI!R250</f>
        <v>89736.824345991568</v>
      </c>
      <c r="K250" s="221">
        <f t="shared" si="21"/>
        <v>105920.65280951151</v>
      </c>
      <c r="L250" s="315">
        <f t="shared" si="22"/>
        <v>179694.75830373279</v>
      </c>
      <c r="M250" s="128"/>
      <c r="N250" s="129"/>
      <c r="O250" s="126"/>
      <c r="P250" s="126"/>
      <c r="Q250" s="130"/>
    </row>
    <row r="251" spans="1:17" s="125" customFormat="1" x14ac:dyDescent="0.25">
      <c r="A251" s="174">
        <f>Données!A251</f>
        <v>5851</v>
      </c>
      <c r="B251" s="325" t="str">
        <f>Données!B251</f>
        <v>Allaman</v>
      </c>
      <c r="C251" s="174">
        <f>Données!AR251</f>
        <v>0</v>
      </c>
      <c r="D251" s="326">
        <f>Données!Z251</f>
        <v>420</v>
      </c>
      <c r="E251" s="127">
        <f>Données!X251</f>
        <v>65</v>
      </c>
      <c r="F251" s="31">
        <f>VPI!L251</f>
        <v>1367612.91</v>
      </c>
      <c r="G251" s="8">
        <f t="shared" si="18"/>
        <v>42080.397230769231</v>
      </c>
      <c r="H251" s="26">
        <f t="shared" si="19"/>
        <v>37512.257030959976</v>
      </c>
      <c r="I251" s="8">
        <f t="shared" si="20"/>
        <v>37512.257030959976</v>
      </c>
      <c r="J251" s="8">
        <f>VPI!R251</f>
        <v>24651.765025641023</v>
      </c>
      <c r="K251" s="221">
        <f t="shared" si="21"/>
        <v>29097.65376090242</v>
      </c>
      <c r="L251" s="315">
        <f t="shared" si="22"/>
        <v>66609.910791862392</v>
      </c>
      <c r="M251" s="128"/>
      <c r="N251" s="129"/>
      <c r="O251" s="126"/>
      <c r="P251" s="126"/>
      <c r="Q251" s="130"/>
    </row>
    <row r="252" spans="1:17" s="125" customFormat="1" x14ac:dyDescent="0.25">
      <c r="A252" s="174">
        <f>Données!A252</f>
        <v>5852</v>
      </c>
      <c r="B252" s="325" t="str">
        <f>Données!B252</f>
        <v>Bursinel</v>
      </c>
      <c r="C252" s="174">
        <f>Données!AR252</f>
        <v>0</v>
      </c>
      <c r="D252" s="326">
        <f>Données!Z252</f>
        <v>503</v>
      </c>
      <c r="E252" s="127">
        <f>Données!X252</f>
        <v>62</v>
      </c>
      <c r="F252" s="31">
        <f>VPI!L252</f>
        <v>2004777.72</v>
      </c>
      <c r="G252" s="8">
        <f t="shared" si="18"/>
        <v>64670.249032258063</v>
      </c>
      <c r="H252" s="26">
        <f t="shared" si="19"/>
        <v>44925.393539459212</v>
      </c>
      <c r="I252" s="8">
        <f t="shared" si="20"/>
        <v>44925.393539459212</v>
      </c>
      <c r="J252" s="8">
        <f>VPI!R252</f>
        <v>35649.594677419358</v>
      </c>
      <c r="K252" s="221">
        <f t="shared" si="21"/>
        <v>42078.916522249492</v>
      </c>
      <c r="L252" s="315">
        <f t="shared" si="22"/>
        <v>87004.310061708704</v>
      </c>
      <c r="M252" s="128"/>
      <c r="N252" s="129"/>
      <c r="O252" s="126"/>
      <c r="P252" s="126"/>
      <c r="Q252" s="130"/>
    </row>
    <row r="253" spans="1:17" s="125" customFormat="1" x14ac:dyDescent="0.25">
      <c r="A253" s="174">
        <f>Données!A253</f>
        <v>5853</v>
      </c>
      <c r="B253" s="325" t="str">
        <f>Données!B253</f>
        <v>Bursins</v>
      </c>
      <c r="C253" s="174">
        <f>Données!AR253</f>
        <v>0</v>
      </c>
      <c r="D253" s="326">
        <f>Données!Z253</f>
        <v>766</v>
      </c>
      <c r="E253" s="127">
        <f>Données!X253</f>
        <v>71</v>
      </c>
      <c r="F253" s="31">
        <f>VPI!L253</f>
        <v>3138113.0499999993</v>
      </c>
      <c r="G253" s="8">
        <f t="shared" si="18"/>
        <v>88397.55070422533</v>
      </c>
      <c r="H253" s="26">
        <f t="shared" si="19"/>
        <v>68415.21163265557</v>
      </c>
      <c r="I253" s="8">
        <f t="shared" si="20"/>
        <v>68415.21163265557</v>
      </c>
      <c r="J253" s="8">
        <f>VPI!R253</f>
        <v>47536.23239436619</v>
      </c>
      <c r="K253" s="221">
        <f t="shared" si="21"/>
        <v>56109.281825068567</v>
      </c>
      <c r="L253" s="315">
        <f t="shared" si="22"/>
        <v>124524.49345772414</v>
      </c>
      <c r="M253" s="128"/>
      <c r="N253" s="129"/>
      <c r="O253" s="126"/>
      <c r="P253" s="126"/>
      <c r="Q253" s="130"/>
    </row>
    <row r="254" spans="1:17" s="125" customFormat="1" x14ac:dyDescent="0.25">
      <c r="A254" s="174">
        <f>Données!A254</f>
        <v>5854</v>
      </c>
      <c r="B254" s="325" t="str">
        <f>Données!B254</f>
        <v>Burtigny</v>
      </c>
      <c r="C254" s="174">
        <f>Données!AR254</f>
        <v>0</v>
      </c>
      <c r="D254" s="326">
        <f>Données!Z254</f>
        <v>414</v>
      </c>
      <c r="E254" s="127">
        <f>Données!X254</f>
        <v>78.5</v>
      </c>
      <c r="F254" s="31">
        <f>VPI!L254</f>
        <v>1115720.98</v>
      </c>
      <c r="G254" s="8">
        <f t="shared" si="18"/>
        <v>28426.012229299362</v>
      </c>
      <c r="H254" s="26">
        <f t="shared" si="19"/>
        <v>36976.367644803402</v>
      </c>
      <c r="I254" s="8">
        <f t="shared" si="20"/>
        <v>28426.012229299362</v>
      </c>
      <c r="J254" s="8">
        <f>VPI!R254</f>
        <v>15260.883397027597</v>
      </c>
      <c r="K254" s="221">
        <f t="shared" si="21"/>
        <v>18013.148377421974</v>
      </c>
      <c r="L254" s="315">
        <f t="shared" si="22"/>
        <v>46439.160606721336</v>
      </c>
      <c r="M254" s="128"/>
      <c r="N254" s="129"/>
      <c r="O254" s="126"/>
      <c r="P254" s="126"/>
      <c r="Q254" s="130"/>
    </row>
    <row r="255" spans="1:17" s="125" customFormat="1" x14ac:dyDescent="0.25">
      <c r="A255" s="174">
        <f>Données!A255</f>
        <v>5855</v>
      </c>
      <c r="B255" s="325" t="str">
        <f>Données!B255</f>
        <v>Dully</v>
      </c>
      <c r="C255" s="174">
        <f>Données!AR255</f>
        <v>0</v>
      </c>
      <c r="D255" s="326">
        <f>Données!Z255</f>
        <v>631</v>
      </c>
      <c r="E255" s="127">
        <f>Données!X255</f>
        <v>53</v>
      </c>
      <c r="F255" s="31">
        <f>VPI!L255</f>
        <v>3964635.47</v>
      </c>
      <c r="G255" s="8">
        <f t="shared" si="18"/>
        <v>149608.88566037736</v>
      </c>
      <c r="H255" s="26">
        <f t="shared" si="19"/>
        <v>56357.700444132723</v>
      </c>
      <c r="I255" s="8">
        <f t="shared" si="20"/>
        <v>56357.700444132723</v>
      </c>
      <c r="J255" s="8">
        <f>VPI!R255</f>
        <v>82571.89</v>
      </c>
      <c r="K255" s="221">
        <f t="shared" si="21"/>
        <v>97463.539146355484</v>
      </c>
      <c r="L255" s="315">
        <f t="shared" si="22"/>
        <v>153821.2395904882</v>
      </c>
      <c r="M255" s="128"/>
      <c r="N255" s="129"/>
      <c r="O255" s="126"/>
      <c r="P255" s="126"/>
      <c r="Q255" s="130"/>
    </row>
    <row r="256" spans="1:17" s="125" customFormat="1" x14ac:dyDescent="0.25">
      <c r="A256" s="174">
        <f>Données!A256</f>
        <v>5856</v>
      </c>
      <c r="B256" s="325" t="str">
        <f>Données!B256</f>
        <v>Essertines-sur-Rolle</v>
      </c>
      <c r="C256" s="174">
        <f>Données!AR256</f>
        <v>0</v>
      </c>
      <c r="D256" s="326">
        <f>Données!Z256</f>
        <v>749</v>
      </c>
      <c r="E256" s="127">
        <f>Données!X256</f>
        <v>66.5</v>
      </c>
      <c r="F256" s="31">
        <f>VPI!L256</f>
        <v>2221450.3800000004</v>
      </c>
      <c r="G256" s="8">
        <f t="shared" si="18"/>
        <v>66810.537744360918</v>
      </c>
      <c r="H256" s="26">
        <f t="shared" si="19"/>
        <v>66896.858371878625</v>
      </c>
      <c r="I256" s="8">
        <f t="shared" si="20"/>
        <v>66810.537744360918</v>
      </c>
      <c r="J256" s="8">
        <f>VPI!R256</f>
        <v>36460.812481203015</v>
      </c>
      <c r="K256" s="221">
        <f t="shared" si="21"/>
        <v>43036.435578374876</v>
      </c>
      <c r="L256" s="315">
        <f t="shared" si="22"/>
        <v>109846.97332273579</v>
      </c>
      <c r="M256" s="128"/>
      <c r="N256" s="129"/>
      <c r="O256" s="126"/>
      <c r="P256" s="126"/>
      <c r="Q256" s="130"/>
    </row>
    <row r="257" spans="1:17" s="125" customFormat="1" x14ac:dyDescent="0.25">
      <c r="A257" s="174">
        <f>Données!A257</f>
        <v>5857</v>
      </c>
      <c r="B257" s="325" t="str">
        <f>Données!B257</f>
        <v>Gilly</v>
      </c>
      <c r="C257" s="174">
        <f>Données!AR257</f>
        <v>0</v>
      </c>
      <c r="D257" s="326">
        <f>Données!Z257</f>
        <v>1446</v>
      </c>
      <c r="E257" s="127">
        <f>Données!X257</f>
        <v>64.5</v>
      </c>
      <c r="F257" s="31">
        <f>VPI!L257</f>
        <v>5157981.4400000004</v>
      </c>
      <c r="G257" s="8">
        <f t="shared" si="18"/>
        <v>159937.40899224806</v>
      </c>
      <c r="H257" s="26">
        <f t="shared" si="19"/>
        <v>129149.34206373362</v>
      </c>
      <c r="I257" s="8">
        <f t="shared" si="20"/>
        <v>129149.34206373362</v>
      </c>
      <c r="J257" s="8">
        <f>VPI!R257</f>
        <v>86828.689767441872</v>
      </c>
      <c r="K257" s="221">
        <f t="shared" si="21"/>
        <v>102488.04289420803</v>
      </c>
      <c r="L257" s="315">
        <f t="shared" si="22"/>
        <v>231637.38495794166</v>
      </c>
      <c r="M257" s="128"/>
      <c r="N257" s="129"/>
      <c r="O257" s="126"/>
      <c r="P257" s="126"/>
      <c r="Q257" s="130"/>
    </row>
    <row r="258" spans="1:17" s="125" customFormat="1" x14ac:dyDescent="0.25">
      <c r="A258" s="174">
        <f>Données!A258</f>
        <v>5858</v>
      </c>
      <c r="B258" s="325" t="str">
        <f>Données!B258</f>
        <v>Luins</v>
      </c>
      <c r="C258" s="174">
        <f>Données!AR258</f>
        <v>0</v>
      </c>
      <c r="D258" s="326">
        <f>Données!Z258</f>
        <v>618</v>
      </c>
      <c r="E258" s="127">
        <f>Données!X258</f>
        <v>58.5</v>
      </c>
      <c r="F258" s="31">
        <f>VPI!L258</f>
        <v>2246955.56</v>
      </c>
      <c r="G258" s="8">
        <f t="shared" si="18"/>
        <v>76818.993504273501</v>
      </c>
      <c r="H258" s="26">
        <f t="shared" si="19"/>
        <v>55196.60677412682</v>
      </c>
      <c r="I258" s="8">
        <f t="shared" si="20"/>
        <v>55196.60677412682</v>
      </c>
      <c r="J258" s="8">
        <f>VPI!R258</f>
        <v>41161.285925925928</v>
      </c>
      <c r="K258" s="221">
        <f t="shared" si="21"/>
        <v>48584.62852377259</v>
      </c>
      <c r="L258" s="315">
        <f t="shared" si="22"/>
        <v>103781.2352978994</v>
      </c>
      <c r="M258" s="128"/>
      <c r="N258" s="129"/>
      <c r="O258" s="126"/>
      <c r="P258" s="126"/>
      <c r="Q258" s="130"/>
    </row>
    <row r="259" spans="1:17" s="125" customFormat="1" x14ac:dyDescent="0.25">
      <c r="A259" s="174">
        <f>Données!A259</f>
        <v>5859</v>
      </c>
      <c r="B259" s="325" t="str">
        <f>Données!B259</f>
        <v>Mont-sur-Rolle</v>
      </c>
      <c r="C259" s="174">
        <f>Données!AR259</f>
        <v>0</v>
      </c>
      <c r="D259" s="326">
        <f>Données!Z259</f>
        <v>2759</v>
      </c>
      <c r="E259" s="127">
        <f>Données!X259</f>
        <v>63.5</v>
      </c>
      <c r="F259" s="31">
        <f>VPI!L259</f>
        <v>9353287.3399999999</v>
      </c>
      <c r="G259" s="8">
        <f t="shared" si="18"/>
        <v>294591.72724409448</v>
      </c>
      <c r="H259" s="26">
        <f t="shared" si="19"/>
        <v>246419.80273432995</v>
      </c>
      <c r="I259" s="8">
        <f t="shared" si="20"/>
        <v>246419.80273432995</v>
      </c>
      <c r="J259" s="8">
        <f>VPI!R259</f>
        <v>158436.40771653541</v>
      </c>
      <c r="K259" s="221">
        <f t="shared" si="21"/>
        <v>187010.04695046326</v>
      </c>
      <c r="L259" s="315">
        <f t="shared" si="22"/>
        <v>433429.84968479321</v>
      </c>
      <c r="M259" s="128"/>
      <c r="N259" s="129"/>
      <c r="O259" s="126"/>
      <c r="P259" s="126"/>
      <c r="Q259" s="130"/>
    </row>
    <row r="260" spans="1:17" s="125" customFormat="1" x14ac:dyDescent="0.25">
      <c r="A260" s="174">
        <f>Données!A260</f>
        <v>5860</v>
      </c>
      <c r="B260" s="325" t="str">
        <f>Données!B260</f>
        <v>Perroy</v>
      </c>
      <c r="C260" s="174">
        <f>Données!AR260</f>
        <v>0</v>
      </c>
      <c r="D260" s="326">
        <f>Données!Z260</f>
        <v>1542</v>
      </c>
      <c r="E260" s="127">
        <f>Données!X260</f>
        <v>58.5</v>
      </c>
      <c r="F260" s="31">
        <f>VPI!L260</f>
        <v>7165392.5899999999</v>
      </c>
      <c r="G260" s="8">
        <f t="shared" si="18"/>
        <v>244970.68683760683</v>
      </c>
      <c r="H260" s="26">
        <f t="shared" si="19"/>
        <v>137723.57224223876</v>
      </c>
      <c r="I260" s="8">
        <f t="shared" si="20"/>
        <v>137723.57224223876</v>
      </c>
      <c r="J260" s="8">
        <f>VPI!R260</f>
        <v>132374.98733727811</v>
      </c>
      <c r="K260" s="221">
        <f t="shared" si="21"/>
        <v>156248.50975731714</v>
      </c>
      <c r="L260" s="315">
        <f t="shared" si="22"/>
        <v>293972.08199955593</v>
      </c>
      <c r="M260" s="128"/>
      <c r="N260" s="129"/>
      <c r="O260" s="126"/>
      <c r="P260" s="126"/>
      <c r="Q260" s="130"/>
    </row>
    <row r="261" spans="1:17" s="125" customFormat="1" x14ac:dyDescent="0.25">
      <c r="A261" s="174">
        <f>Données!A261</f>
        <v>5861</v>
      </c>
      <c r="B261" s="325" t="str">
        <f>Données!B261</f>
        <v>Rolle</v>
      </c>
      <c r="C261" s="174">
        <f>Données!AR261</f>
        <v>0</v>
      </c>
      <c r="D261" s="326">
        <f>Données!Z261</f>
        <v>6321</v>
      </c>
      <c r="E261" s="127">
        <f>Données!X261</f>
        <v>59.5</v>
      </c>
      <c r="F261" s="31">
        <f>VPI!L261</f>
        <v>51138668.290000007</v>
      </c>
      <c r="G261" s="8">
        <f t="shared" si="18"/>
        <v>1718946.8332773112</v>
      </c>
      <c r="H261" s="26">
        <f t="shared" si="19"/>
        <v>564559.46831594768</v>
      </c>
      <c r="I261" s="8">
        <f t="shared" si="20"/>
        <v>564559.46831594768</v>
      </c>
      <c r="J261" s="8">
        <f>VPI!R261</f>
        <v>897513.79815126071</v>
      </c>
      <c r="K261" s="221">
        <f t="shared" si="21"/>
        <v>1059378.3332379772</v>
      </c>
      <c r="L261" s="315">
        <f t="shared" si="22"/>
        <v>1623937.801553925</v>
      </c>
      <c r="M261" s="128"/>
      <c r="N261" s="129"/>
      <c r="O261" s="126"/>
      <c r="P261" s="126"/>
      <c r="Q261" s="130"/>
    </row>
    <row r="262" spans="1:17" s="125" customFormat="1" x14ac:dyDescent="0.25">
      <c r="A262" s="174">
        <f>Données!A262</f>
        <v>5862</v>
      </c>
      <c r="B262" s="325" t="str">
        <f>Données!B262</f>
        <v>Tartegnin</v>
      </c>
      <c r="C262" s="174">
        <f>Données!AR262</f>
        <v>0</v>
      </c>
      <c r="D262" s="326">
        <f>Données!Z262</f>
        <v>249</v>
      </c>
      <c r="E262" s="127">
        <f>Données!X262</f>
        <v>79</v>
      </c>
      <c r="F262" s="31">
        <f>VPI!L262</f>
        <v>768725.8</v>
      </c>
      <c r="G262" s="8">
        <f t="shared" si="18"/>
        <v>19461.412658227848</v>
      </c>
      <c r="H262" s="26">
        <f t="shared" si="19"/>
        <v>22239.4095254977</v>
      </c>
      <c r="I262" s="8">
        <f t="shared" si="20"/>
        <v>19461.412658227848</v>
      </c>
      <c r="J262" s="8">
        <f>VPI!R262</f>
        <v>10371.497468354431</v>
      </c>
      <c r="K262" s="221">
        <f t="shared" si="21"/>
        <v>12241.973019066039</v>
      </c>
      <c r="L262" s="315">
        <f t="shared" si="22"/>
        <v>31703.385677293889</v>
      </c>
      <c r="M262" s="128"/>
      <c r="N262" s="129"/>
      <c r="O262" s="126"/>
      <c r="P262" s="126"/>
      <c r="Q262" s="130"/>
    </row>
    <row r="263" spans="1:17" s="125" customFormat="1" x14ac:dyDescent="0.25">
      <c r="A263" s="174">
        <f>Données!A263</f>
        <v>5863</v>
      </c>
      <c r="B263" s="325" t="str">
        <f>Données!B263</f>
        <v>Vinzel</v>
      </c>
      <c r="C263" s="174">
        <f>Données!AR263</f>
        <v>0</v>
      </c>
      <c r="D263" s="326">
        <f>Données!Z263</f>
        <v>378</v>
      </c>
      <c r="E263" s="127">
        <f>Données!X263</f>
        <v>67</v>
      </c>
      <c r="F263" s="31">
        <f>VPI!L263</f>
        <v>1486512.28</v>
      </c>
      <c r="G263" s="8">
        <f t="shared" ref="G263:G305" si="23">F263/E263*2</f>
        <v>44373.500895522389</v>
      </c>
      <c r="H263" s="26">
        <f t="shared" ref="H263:H305" si="24">+$G$306/$D$306*D263</f>
        <v>33761.031327863981</v>
      </c>
      <c r="I263" s="8">
        <f t="shared" ref="I263:I305" si="25">IF(C263=1,0,IF(H263&gt;G263,G263,H263))</f>
        <v>33761.031327863981</v>
      </c>
      <c r="J263" s="8">
        <f>VPI!R263</f>
        <v>23661.929552238806</v>
      </c>
      <c r="K263" s="221">
        <f t="shared" ref="K263:K305" si="26">+$K$5*J263</f>
        <v>27929.303752075102</v>
      </c>
      <c r="L263" s="315">
        <f t="shared" ref="L263:L305" si="27">+K263+I263</f>
        <v>61690.335079939083</v>
      </c>
      <c r="M263" s="128"/>
      <c r="N263" s="129"/>
      <c r="O263" s="126"/>
      <c r="P263" s="126"/>
      <c r="Q263" s="130"/>
    </row>
    <row r="264" spans="1:17" s="125" customFormat="1" x14ac:dyDescent="0.25">
      <c r="A264" s="174">
        <f>Données!A264</f>
        <v>5871</v>
      </c>
      <c r="B264" s="325" t="str">
        <f>Données!B264</f>
        <v>L'Abbaye</v>
      </c>
      <c r="C264" s="174">
        <f>Données!AR264</f>
        <v>0</v>
      </c>
      <c r="D264" s="326">
        <f>Données!Z264</f>
        <v>1534</v>
      </c>
      <c r="E264" s="127">
        <f>Données!X264</f>
        <v>77.3</v>
      </c>
      <c r="F264" s="31">
        <f>VPI!L264</f>
        <v>3583241.2699999996</v>
      </c>
      <c r="G264" s="8">
        <f t="shared" si="23"/>
        <v>92709.994049159111</v>
      </c>
      <c r="H264" s="26">
        <f t="shared" si="24"/>
        <v>137009.05306069666</v>
      </c>
      <c r="I264" s="8">
        <f t="shared" si="25"/>
        <v>92709.994049159111</v>
      </c>
      <c r="J264" s="8">
        <f>VPI!R264</f>
        <v>50236.516429495467</v>
      </c>
      <c r="K264" s="221">
        <f t="shared" si="26"/>
        <v>59296.555832773862</v>
      </c>
      <c r="L264" s="315">
        <f t="shared" si="27"/>
        <v>152006.54988193297</v>
      </c>
      <c r="M264" s="128"/>
      <c r="N264" s="129"/>
      <c r="O264" s="126"/>
      <c r="P264" s="126"/>
      <c r="Q264" s="130"/>
    </row>
    <row r="265" spans="1:17" s="125" customFormat="1" x14ac:dyDescent="0.25">
      <c r="A265" s="174">
        <f>Données!A265</f>
        <v>5872</v>
      </c>
      <c r="B265" s="325" t="str">
        <f>Données!B265</f>
        <v>Le Chenit</v>
      </c>
      <c r="C265" s="174">
        <f>Données!AR265</f>
        <v>0</v>
      </c>
      <c r="D265" s="326">
        <f>Données!Z265</f>
        <v>4613</v>
      </c>
      <c r="E265" s="127">
        <f>Données!X265</f>
        <v>66.83</v>
      </c>
      <c r="F265" s="31">
        <f>VPI!L265</f>
        <v>20318682.919999998</v>
      </c>
      <c r="G265" s="8">
        <f t="shared" si="23"/>
        <v>608070.71434984286</v>
      </c>
      <c r="H265" s="26">
        <f t="shared" si="24"/>
        <v>412009.62305671041</v>
      </c>
      <c r="I265" s="8">
        <f t="shared" si="25"/>
        <v>412009.62305671041</v>
      </c>
      <c r="J265" s="8">
        <f>VPI!R265</f>
        <v>317064.3538829867</v>
      </c>
      <c r="K265" s="221">
        <f t="shared" si="26"/>
        <v>374246.17586673121</v>
      </c>
      <c r="L265" s="315">
        <f t="shared" si="27"/>
        <v>786255.79892344167</v>
      </c>
      <c r="M265" s="128"/>
      <c r="N265" s="129"/>
      <c r="O265" s="126"/>
      <c r="P265" s="126"/>
      <c r="Q265" s="130"/>
    </row>
    <row r="266" spans="1:17" s="125" customFormat="1" x14ac:dyDescent="0.25">
      <c r="A266" s="174">
        <f>Données!A266</f>
        <v>5873</v>
      </c>
      <c r="B266" s="325" t="str">
        <f>Données!B266</f>
        <v>Le Lieu</v>
      </c>
      <c r="C266" s="174">
        <f>Données!AR266</f>
        <v>0</v>
      </c>
      <c r="D266" s="326">
        <f>Données!Z266</f>
        <v>886</v>
      </c>
      <c r="E266" s="127">
        <f>Données!X266</f>
        <v>70</v>
      </c>
      <c r="F266" s="31">
        <f>VPI!L266</f>
        <v>2313033.9300000002</v>
      </c>
      <c r="G266" s="8">
        <f t="shared" si="23"/>
        <v>66086.683714285726</v>
      </c>
      <c r="H266" s="26">
        <f t="shared" si="24"/>
        <v>79132.999355786989</v>
      </c>
      <c r="I266" s="8">
        <f t="shared" si="25"/>
        <v>66086.683714285726</v>
      </c>
      <c r="J266" s="8">
        <f>VPI!R266</f>
        <v>35207.025785714286</v>
      </c>
      <c r="K266" s="221">
        <f t="shared" si="26"/>
        <v>41556.531355800522</v>
      </c>
      <c r="L266" s="315">
        <f t="shared" si="27"/>
        <v>107643.21507008624</v>
      </c>
      <c r="M266" s="128"/>
      <c r="N266" s="129"/>
      <c r="O266" s="126"/>
      <c r="P266" s="126"/>
      <c r="Q266" s="130"/>
    </row>
    <row r="267" spans="1:17" s="125" customFormat="1" x14ac:dyDescent="0.25">
      <c r="A267" s="174">
        <f>Données!A267</f>
        <v>5882</v>
      </c>
      <c r="B267" s="325" t="str">
        <f>Données!B267</f>
        <v>Chardonne</v>
      </c>
      <c r="C267" s="174">
        <f>Données!AR267</f>
        <v>1</v>
      </c>
      <c r="D267" s="326">
        <f>Données!Z267</f>
        <v>3192</v>
      </c>
      <c r="E267" s="127">
        <f>Données!X267</f>
        <v>68</v>
      </c>
      <c r="F267" s="31">
        <f>VPI!L267</f>
        <v>12611430.639999999</v>
      </c>
      <c r="G267" s="8">
        <f t="shared" si="23"/>
        <v>370924.43058823526</v>
      </c>
      <c r="H267" s="26">
        <f t="shared" si="24"/>
        <v>285093.1534352958</v>
      </c>
      <c r="I267" s="8">
        <f t="shared" si="25"/>
        <v>0</v>
      </c>
      <c r="J267" s="8">
        <f>VPI!R267</f>
        <v>201756.91955882352</v>
      </c>
      <c r="K267" s="221">
        <f t="shared" si="26"/>
        <v>238143.31278440508</v>
      </c>
      <c r="L267" s="315">
        <f t="shared" si="27"/>
        <v>238143.31278440508</v>
      </c>
      <c r="M267" s="128"/>
      <c r="N267" s="129"/>
      <c r="O267" s="126"/>
      <c r="P267" s="126"/>
      <c r="Q267" s="130"/>
    </row>
    <row r="268" spans="1:17" s="125" customFormat="1" x14ac:dyDescent="0.25">
      <c r="A268" s="174">
        <f>Données!A268</f>
        <v>5883</v>
      </c>
      <c r="B268" s="325" t="str">
        <f>Données!B268</f>
        <v>Corseaux</v>
      </c>
      <c r="C268" s="174">
        <f>Données!AR268</f>
        <v>1</v>
      </c>
      <c r="D268" s="326">
        <f>Données!Z268</f>
        <v>2307</v>
      </c>
      <c r="E268" s="127">
        <f>Données!X268</f>
        <v>67.5</v>
      </c>
      <c r="F268" s="31">
        <f>VPI!L268</f>
        <v>11462007.049999999</v>
      </c>
      <c r="G268" s="8">
        <f t="shared" si="23"/>
        <v>339615.02370370366</v>
      </c>
      <c r="H268" s="26">
        <f t="shared" si="24"/>
        <v>206049.46897720158</v>
      </c>
      <c r="I268" s="8">
        <f t="shared" si="25"/>
        <v>0</v>
      </c>
      <c r="J268" s="8">
        <f>VPI!R268</f>
        <v>180896.25407407407</v>
      </c>
      <c r="K268" s="221">
        <f t="shared" si="26"/>
        <v>213520.47458738787</v>
      </c>
      <c r="L268" s="315">
        <f t="shared" si="27"/>
        <v>213520.47458738787</v>
      </c>
      <c r="M268" s="128"/>
      <c r="N268" s="129"/>
      <c r="O268" s="126"/>
      <c r="P268" s="126"/>
      <c r="Q268" s="130"/>
    </row>
    <row r="269" spans="1:17" s="125" customFormat="1" x14ac:dyDescent="0.25">
      <c r="A269" s="174">
        <f>Données!A269</f>
        <v>5884</v>
      </c>
      <c r="B269" s="325" t="str">
        <f>Données!B269</f>
        <v>Corsier-sur-Vevey</v>
      </c>
      <c r="C269" s="174">
        <f>Données!AR269</f>
        <v>1</v>
      </c>
      <c r="D269" s="326">
        <f>Données!Z269</f>
        <v>3366</v>
      </c>
      <c r="E269" s="127">
        <f>Données!X269</f>
        <v>64.5</v>
      </c>
      <c r="F269" s="31">
        <f>VPI!L269</f>
        <v>7284765.2000000002</v>
      </c>
      <c r="G269" s="8">
        <f t="shared" si="23"/>
        <v>225884.19224806203</v>
      </c>
      <c r="H269" s="26">
        <f t="shared" si="24"/>
        <v>300633.94563383638</v>
      </c>
      <c r="I269" s="8">
        <f t="shared" si="25"/>
        <v>0</v>
      </c>
      <c r="J269" s="8">
        <f>VPI!R269</f>
        <v>128051.27881136951</v>
      </c>
      <c r="K269" s="221">
        <f t="shared" si="26"/>
        <v>151145.03041135176</v>
      </c>
      <c r="L269" s="315">
        <f t="shared" si="27"/>
        <v>151145.03041135176</v>
      </c>
      <c r="M269" s="128"/>
      <c r="N269" s="129"/>
      <c r="O269" s="126"/>
      <c r="P269" s="126"/>
      <c r="Q269" s="130"/>
    </row>
    <row r="270" spans="1:17" s="125" customFormat="1" x14ac:dyDescent="0.25">
      <c r="A270" s="174">
        <f>Données!A270</f>
        <v>5885</v>
      </c>
      <c r="B270" s="325" t="str">
        <f>Données!B270</f>
        <v>Jongny</v>
      </c>
      <c r="C270" s="174">
        <f>Données!AR270</f>
        <v>1</v>
      </c>
      <c r="D270" s="326">
        <f>Données!Z270</f>
        <v>1842</v>
      </c>
      <c r="E270" s="127">
        <f>Données!X270</f>
        <v>69.5</v>
      </c>
      <c r="F270" s="31">
        <f>VPI!L270</f>
        <v>6733282.0799999991</v>
      </c>
      <c r="G270" s="8">
        <f t="shared" si="23"/>
        <v>193763.51309352517</v>
      </c>
      <c r="H270" s="26">
        <f t="shared" si="24"/>
        <v>164518.04155006731</v>
      </c>
      <c r="I270" s="8">
        <f t="shared" si="25"/>
        <v>0</v>
      </c>
      <c r="J270" s="8">
        <f>VPI!R270</f>
        <v>104091.36242206233</v>
      </c>
      <c r="K270" s="221">
        <f t="shared" si="26"/>
        <v>122863.99858620347</v>
      </c>
      <c r="L270" s="315">
        <f t="shared" si="27"/>
        <v>122863.99858620347</v>
      </c>
      <c r="M270" s="128"/>
      <c r="N270" s="129"/>
      <c r="O270" s="126"/>
      <c r="P270" s="126"/>
      <c r="Q270" s="130"/>
    </row>
    <row r="271" spans="1:17" s="125" customFormat="1" x14ac:dyDescent="0.25">
      <c r="A271" s="174">
        <f>Données!A271</f>
        <v>5886</v>
      </c>
      <c r="B271" s="325" t="str">
        <f>Données!B271</f>
        <v>Montreux</v>
      </c>
      <c r="C271" s="174">
        <f>Données!AR271</f>
        <v>1</v>
      </c>
      <c r="D271" s="326">
        <f>Données!Z271</f>
        <v>26081</v>
      </c>
      <c r="E271" s="127">
        <f>Données!X271</f>
        <v>65</v>
      </c>
      <c r="F271" s="31">
        <f>VPI!L271</f>
        <v>66860556.350000001</v>
      </c>
      <c r="G271" s="8">
        <f t="shared" si="23"/>
        <v>2057247.8876923078</v>
      </c>
      <c r="H271" s="26">
        <f t="shared" si="24"/>
        <v>2329421.8467249218</v>
      </c>
      <c r="I271" s="8">
        <f t="shared" si="25"/>
        <v>0</v>
      </c>
      <c r="J271" s="8">
        <f>VPI!R271</f>
        <v>1153112.7161538461</v>
      </c>
      <c r="K271" s="221">
        <f t="shared" si="26"/>
        <v>1361073.9242013316</v>
      </c>
      <c r="L271" s="315">
        <f t="shared" si="27"/>
        <v>1361073.9242013316</v>
      </c>
      <c r="M271" s="128"/>
      <c r="N271" s="129"/>
      <c r="O271" s="126"/>
      <c r="P271" s="126"/>
      <c r="Q271" s="130"/>
    </row>
    <row r="272" spans="1:17" s="125" customFormat="1" x14ac:dyDescent="0.25">
      <c r="A272" s="174">
        <f>Données!A272</f>
        <v>5889</v>
      </c>
      <c r="B272" s="325" t="str">
        <f>Données!B272</f>
        <v>La Tour-de-Peilz</v>
      </c>
      <c r="C272" s="174">
        <f>Données!AR272</f>
        <v>1</v>
      </c>
      <c r="D272" s="326">
        <f>Données!Z272</f>
        <v>12400</v>
      </c>
      <c r="E272" s="127">
        <f>Données!X272</f>
        <v>64</v>
      </c>
      <c r="F272" s="31">
        <f>VPI!L272</f>
        <v>42472134.739999995</v>
      </c>
      <c r="G272" s="8">
        <f t="shared" si="23"/>
        <v>1327254.2106249998</v>
      </c>
      <c r="H272" s="26">
        <f t="shared" si="24"/>
        <v>1107504.7313902469</v>
      </c>
      <c r="I272" s="8">
        <f t="shared" si="25"/>
        <v>0</v>
      </c>
      <c r="J272" s="8">
        <f>VPI!R272</f>
        <v>709179.36611979152</v>
      </c>
      <c r="K272" s="221">
        <f t="shared" si="26"/>
        <v>837078.2225234746</v>
      </c>
      <c r="L272" s="315">
        <f t="shared" si="27"/>
        <v>837078.2225234746</v>
      </c>
      <c r="M272" s="128"/>
      <c r="N272" s="129"/>
      <c r="O272" s="126"/>
      <c r="P272" s="126"/>
      <c r="Q272" s="130"/>
    </row>
    <row r="273" spans="1:17" s="125" customFormat="1" x14ac:dyDescent="0.25">
      <c r="A273" s="174">
        <f>Données!A273</f>
        <v>5890</v>
      </c>
      <c r="B273" s="325" t="str">
        <f>Données!B273</f>
        <v>Vevey</v>
      </c>
      <c r="C273" s="174">
        <f>Données!AR273</f>
        <v>1</v>
      </c>
      <c r="D273" s="326">
        <f>Données!Z273</f>
        <v>19743</v>
      </c>
      <c r="E273" s="127">
        <f>Données!X273</f>
        <v>74.5</v>
      </c>
      <c r="F273" s="31">
        <f>VPI!L273</f>
        <v>65647938.030000009</v>
      </c>
      <c r="G273" s="8">
        <f t="shared" si="23"/>
        <v>1762360.7524832217</v>
      </c>
      <c r="H273" s="26">
        <f t="shared" si="24"/>
        <v>1763344.0251481971</v>
      </c>
      <c r="I273" s="8">
        <f t="shared" si="25"/>
        <v>0</v>
      </c>
      <c r="J273" s="8">
        <f>VPI!R273</f>
        <v>945087.70393736032</v>
      </c>
      <c r="K273" s="221">
        <f t="shared" si="26"/>
        <v>1115532.0827637364</v>
      </c>
      <c r="L273" s="315">
        <f t="shared" si="27"/>
        <v>1115532.0827637364</v>
      </c>
      <c r="M273" s="128"/>
      <c r="N273" s="129"/>
      <c r="O273" s="126"/>
      <c r="P273" s="126"/>
      <c r="Q273" s="130"/>
    </row>
    <row r="274" spans="1:17" s="125" customFormat="1" x14ac:dyDescent="0.25">
      <c r="A274" s="174">
        <f>Données!A274</f>
        <v>5891</v>
      </c>
      <c r="B274" s="325" t="str">
        <f>Données!B274</f>
        <v>Veytaux</v>
      </c>
      <c r="C274" s="174">
        <f>Données!AR274</f>
        <v>1</v>
      </c>
      <c r="D274" s="326">
        <f>Données!Z274</f>
        <v>970</v>
      </c>
      <c r="E274" s="127">
        <f>Données!X274</f>
        <v>69.5</v>
      </c>
      <c r="F274" s="31">
        <f>VPI!L274</f>
        <v>2542288.36</v>
      </c>
      <c r="G274" s="8">
        <f t="shared" si="23"/>
        <v>73159.377266187046</v>
      </c>
      <c r="H274" s="26">
        <f t="shared" si="24"/>
        <v>86635.450761978995</v>
      </c>
      <c r="I274" s="8">
        <f t="shared" si="25"/>
        <v>0</v>
      </c>
      <c r="J274" s="8">
        <f>VPI!R274</f>
        <v>41113.316211031175</v>
      </c>
      <c r="K274" s="221">
        <f t="shared" si="26"/>
        <v>48528.007581882026</v>
      </c>
      <c r="L274" s="315">
        <f t="shared" si="27"/>
        <v>48528.007581882026</v>
      </c>
      <c r="M274" s="128"/>
      <c r="N274" s="129"/>
      <c r="O274" s="126"/>
      <c r="P274" s="126"/>
      <c r="Q274" s="130"/>
    </row>
    <row r="275" spans="1:17" s="125" customFormat="1" x14ac:dyDescent="0.25">
      <c r="A275" s="174">
        <f>Données!A275</f>
        <v>5892</v>
      </c>
      <c r="B275" s="325" t="str">
        <f>Données!B275</f>
        <v>Blonay-Saint-Légier</v>
      </c>
      <c r="C275" s="174">
        <f>Données!AR275</f>
        <v>1</v>
      </c>
      <c r="D275" s="326">
        <f>Données!Z275</f>
        <v>12123</v>
      </c>
      <c r="E275" s="127">
        <f>Données!X275</f>
        <v>68.5</v>
      </c>
      <c r="F275" s="31">
        <f>VPI!L275</f>
        <v>47714485.139999993</v>
      </c>
      <c r="G275" s="8">
        <f t="shared" si="23"/>
        <v>1393123.6537226276</v>
      </c>
      <c r="H275" s="26">
        <f t="shared" si="24"/>
        <v>1082764.504729352</v>
      </c>
      <c r="I275" s="8">
        <f t="shared" si="25"/>
        <v>0</v>
      </c>
      <c r="J275" s="8">
        <f>VPI!R275</f>
        <v>749734.6567883211</v>
      </c>
      <c r="K275" s="221">
        <f t="shared" si="26"/>
        <v>884947.56594850775</v>
      </c>
      <c r="L275" s="315">
        <f t="shared" si="27"/>
        <v>884947.56594850775</v>
      </c>
      <c r="M275" s="128"/>
      <c r="N275" s="129"/>
      <c r="O275" s="126"/>
      <c r="P275" s="126"/>
      <c r="Q275" s="130"/>
    </row>
    <row r="276" spans="1:17" s="125" customFormat="1" x14ac:dyDescent="0.25">
      <c r="A276" s="174">
        <f>Données!A276</f>
        <v>5902</v>
      </c>
      <c r="B276" s="325" t="str">
        <f>Données!B276</f>
        <v>Belmont-sur-Yverdon</v>
      </c>
      <c r="C276" s="174">
        <f>Données!AR276</f>
        <v>0</v>
      </c>
      <c r="D276" s="326">
        <f>Données!Z276</f>
        <v>434</v>
      </c>
      <c r="E276" s="127">
        <f>Données!X276</f>
        <v>70</v>
      </c>
      <c r="F276" s="31">
        <f>VPI!L276</f>
        <v>764482.2</v>
      </c>
      <c r="G276" s="8">
        <f t="shared" si="23"/>
        <v>21842.348571428571</v>
      </c>
      <c r="H276" s="26">
        <f t="shared" si="24"/>
        <v>38762.665598658641</v>
      </c>
      <c r="I276" s="8">
        <f t="shared" si="25"/>
        <v>21842.348571428571</v>
      </c>
      <c r="J276" s="8">
        <f>VPI!R276</f>
        <v>11918.01</v>
      </c>
      <c r="K276" s="221">
        <f t="shared" si="26"/>
        <v>14067.395504470785</v>
      </c>
      <c r="L276" s="315">
        <f t="shared" si="27"/>
        <v>35909.744075899354</v>
      </c>
      <c r="M276" s="128"/>
      <c r="N276" s="129"/>
      <c r="O276" s="126"/>
      <c r="P276" s="126"/>
      <c r="Q276" s="130"/>
    </row>
    <row r="277" spans="1:17" s="125" customFormat="1" x14ac:dyDescent="0.25">
      <c r="A277" s="174">
        <f>Données!A277</f>
        <v>5903</v>
      </c>
      <c r="B277" s="325" t="str">
        <f>Données!B277</f>
        <v>Bioley-Magnoux</v>
      </c>
      <c r="C277" s="174">
        <f>Données!AR277</f>
        <v>0</v>
      </c>
      <c r="D277" s="326">
        <f>Données!Z277</f>
        <v>247</v>
      </c>
      <c r="E277" s="127">
        <f>Données!X277</f>
        <v>72</v>
      </c>
      <c r="F277" s="31">
        <f>VPI!L277</f>
        <v>412357.27</v>
      </c>
      <c r="G277" s="8">
        <f t="shared" si="23"/>
        <v>11454.368611111111</v>
      </c>
      <c r="H277" s="26">
        <f t="shared" si="24"/>
        <v>22060.779730112175</v>
      </c>
      <c r="I277" s="8">
        <f t="shared" si="25"/>
        <v>11454.368611111111</v>
      </c>
      <c r="J277" s="8">
        <f>VPI!R277</f>
        <v>6275.4313293650803</v>
      </c>
      <c r="K277" s="221">
        <f t="shared" si="26"/>
        <v>7407.1908373399128</v>
      </c>
      <c r="L277" s="315">
        <f t="shared" si="27"/>
        <v>18861.559448451022</v>
      </c>
      <c r="M277" s="128"/>
      <c r="N277" s="129"/>
      <c r="O277" s="126"/>
      <c r="P277" s="126"/>
      <c r="Q277" s="130"/>
    </row>
    <row r="278" spans="1:17" s="125" customFormat="1" x14ac:dyDescent="0.25">
      <c r="A278" s="174">
        <f>Données!A278</f>
        <v>5904</v>
      </c>
      <c r="B278" s="325" t="str">
        <f>Données!B278</f>
        <v>Chamblon</v>
      </c>
      <c r="C278" s="174">
        <f>Données!AR278</f>
        <v>1</v>
      </c>
      <c r="D278" s="326">
        <f>Données!Z278</f>
        <v>567</v>
      </c>
      <c r="E278" s="127">
        <f>Données!X278</f>
        <v>66</v>
      </c>
      <c r="F278" s="31">
        <f>VPI!L278</f>
        <v>1142343.9700000002</v>
      </c>
      <c r="G278" s="8">
        <f t="shared" si="23"/>
        <v>34616.483939393947</v>
      </c>
      <c r="H278" s="26">
        <f t="shared" si="24"/>
        <v>50641.546991795964</v>
      </c>
      <c r="I278" s="8">
        <f t="shared" si="25"/>
        <v>0</v>
      </c>
      <c r="J278" s="8">
        <f>VPI!R278</f>
        <v>18890.250303030305</v>
      </c>
      <c r="K278" s="221">
        <f t="shared" si="26"/>
        <v>22297.063200247056</v>
      </c>
      <c r="L278" s="315">
        <f t="shared" si="27"/>
        <v>22297.063200247056</v>
      </c>
      <c r="M278" s="128"/>
      <c r="N278" s="129"/>
      <c r="O278" s="126"/>
      <c r="P278" s="126"/>
      <c r="Q278" s="130"/>
    </row>
    <row r="279" spans="1:17" s="125" customFormat="1" x14ac:dyDescent="0.25">
      <c r="A279" s="174">
        <f>Données!A279</f>
        <v>5905</v>
      </c>
      <c r="B279" s="325" t="str">
        <f>Données!B279</f>
        <v>Champvent</v>
      </c>
      <c r="C279" s="174">
        <f>Données!AR279</f>
        <v>0</v>
      </c>
      <c r="D279" s="326">
        <f>Données!Z279</f>
        <v>734</v>
      </c>
      <c r="E279" s="127">
        <f>Données!X279</f>
        <v>70</v>
      </c>
      <c r="F279" s="31">
        <f>VPI!L279</f>
        <v>1394865.89</v>
      </c>
      <c r="G279" s="8">
        <f t="shared" si="23"/>
        <v>39853.311142857143</v>
      </c>
      <c r="H279" s="26">
        <f t="shared" si="24"/>
        <v>65557.13490648719</v>
      </c>
      <c r="I279" s="8">
        <f t="shared" si="25"/>
        <v>39853.311142857143</v>
      </c>
      <c r="J279" s="8">
        <f>VPI!R279</f>
        <v>21534.177714285714</v>
      </c>
      <c r="K279" s="221">
        <f t="shared" si="26"/>
        <v>25417.816797470201</v>
      </c>
      <c r="L279" s="315">
        <f t="shared" si="27"/>
        <v>65271.127940327344</v>
      </c>
      <c r="M279" s="128"/>
      <c r="N279" s="129"/>
      <c r="O279" s="126"/>
      <c r="P279" s="126"/>
      <c r="Q279" s="130"/>
    </row>
    <row r="280" spans="1:17" s="125" customFormat="1" x14ac:dyDescent="0.25">
      <c r="A280" s="174">
        <f>Données!A280</f>
        <v>5907</v>
      </c>
      <c r="B280" s="325" t="str">
        <f>Données!B280</f>
        <v>Chavannes-le-Chêne</v>
      </c>
      <c r="C280" s="174">
        <f>Données!AR280</f>
        <v>0</v>
      </c>
      <c r="D280" s="326">
        <f>Données!Z280</f>
        <v>316</v>
      </c>
      <c r="E280" s="127">
        <f>Données!X280</f>
        <v>75</v>
      </c>
      <c r="F280" s="31">
        <f>VPI!L280</f>
        <v>581663.55000000005</v>
      </c>
      <c r="G280" s="8">
        <f t="shared" si="23"/>
        <v>15511.028000000002</v>
      </c>
      <c r="H280" s="26">
        <f t="shared" si="24"/>
        <v>28223.507670912742</v>
      </c>
      <c r="I280" s="8">
        <f t="shared" si="25"/>
        <v>15511.028000000002</v>
      </c>
      <c r="J280" s="8">
        <f>VPI!R280</f>
        <v>8453.4726666666666</v>
      </c>
      <c r="K280" s="221">
        <f t="shared" si="26"/>
        <v>9978.0368860433355</v>
      </c>
      <c r="L280" s="315">
        <f t="shared" si="27"/>
        <v>25489.064886043336</v>
      </c>
      <c r="M280" s="128"/>
      <c r="N280" s="129"/>
      <c r="O280" s="126"/>
      <c r="P280" s="126"/>
      <c r="Q280" s="130"/>
    </row>
    <row r="281" spans="1:17" s="125" customFormat="1" x14ac:dyDescent="0.25">
      <c r="A281" s="174">
        <f>Données!A281</f>
        <v>5908</v>
      </c>
      <c r="B281" s="325" t="str">
        <f>Données!B281</f>
        <v>Chêne-Pâquier</v>
      </c>
      <c r="C281" s="174">
        <f>Données!AR281</f>
        <v>0</v>
      </c>
      <c r="D281" s="326">
        <f>Données!Z281</f>
        <v>163</v>
      </c>
      <c r="E281" s="127">
        <f>Données!X281</f>
        <v>75</v>
      </c>
      <c r="F281" s="31">
        <f>VPI!L281</f>
        <v>345289.15000000008</v>
      </c>
      <c r="G281" s="8">
        <f t="shared" si="23"/>
        <v>9207.7106666666696</v>
      </c>
      <c r="H281" s="26">
        <f t="shared" si="24"/>
        <v>14558.328323920181</v>
      </c>
      <c r="I281" s="8">
        <f t="shared" si="25"/>
        <v>9207.7106666666696</v>
      </c>
      <c r="J281" s="8">
        <f>VPI!R281</f>
        <v>4917.9366666666683</v>
      </c>
      <c r="K281" s="221">
        <f t="shared" si="26"/>
        <v>5804.8751558304384</v>
      </c>
      <c r="L281" s="315">
        <f t="shared" si="27"/>
        <v>15012.585822497109</v>
      </c>
      <c r="M281" s="128"/>
      <c r="N281" s="129"/>
      <c r="O281" s="126"/>
      <c r="P281" s="126"/>
      <c r="Q281" s="130"/>
    </row>
    <row r="282" spans="1:17" s="125" customFormat="1" x14ac:dyDescent="0.25">
      <c r="A282" s="174">
        <f>Données!A282</f>
        <v>5909</v>
      </c>
      <c r="B282" s="325" t="str">
        <f>Données!B282</f>
        <v>Cheseaux-Noréaz</v>
      </c>
      <c r="C282" s="174">
        <f>Données!AR282</f>
        <v>1</v>
      </c>
      <c r="D282" s="326">
        <f>Données!Z282</f>
        <v>734</v>
      </c>
      <c r="E282" s="127">
        <f>Données!X282</f>
        <v>67</v>
      </c>
      <c r="F282" s="31">
        <f>VPI!L282</f>
        <v>2116641.2400000002</v>
      </c>
      <c r="G282" s="8">
        <f t="shared" si="23"/>
        <v>63183.320597014936</v>
      </c>
      <c r="H282" s="26">
        <f t="shared" si="24"/>
        <v>65557.13490648719</v>
      </c>
      <c r="I282" s="8">
        <f t="shared" si="25"/>
        <v>0</v>
      </c>
      <c r="J282" s="8">
        <f>VPI!R282</f>
        <v>34179.649850746275</v>
      </c>
      <c r="K282" s="221">
        <f t="shared" si="26"/>
        <v>40343.870550098021</v>
      </c>
      <c r="L282" s="315">
        <f t="shared" si="27"/>
        <v>40343.870550098021</v>
      </c>
      <c r="M282" s="128"/>
      <c r="N282" s="129"/>
      <c r="O282" s="126"/>
      <c r="P282" s="126"/>
      <c r="Q282" s="130"/>
    </row>
    <row r="283" spans="1:17" s="125" customFormat="1" x14ac:dyDescent="0.25">
      <c r="A283" s="174">
        <f>Données!A283</f>
        <v>5910</v>
      </c>
      <c r="B283" s="325" t="str">
        <f>Données!B283</f>
        <v>Cronay</v>
      </c>
      <c r="C283" s="174">
        <f>Données!AR283</f>
        <v>0</v>
      </c>
      <c r="D283" s="326">
        <f>Données!Z283</f>
        <v>410</v>
      </c>
      <c r="E283" s="127">
        <f>Données!X283</f>
        <v>77</v>
      </c>
      <c r="F283" s="31">
        <f>VPI!L283</f>
        <v>751140.10999999987</v>
      </c>
      <c r="G283" s="8">
        <f t="shared" si="23"/>
        <v>19510.132727272725</v>
      </c>
      <c r="H283" s="198">
        <f t="shared" si="24"/>
        <v>36619.10805403236</v>
      </c>
      <c r="I283" s="8">
        <f t="shared" si="25"/>
        <v>19510.132727272725</v>
      </c>
      <c r="J283" s="8">
        <f>VPI!R283</f>
        <v>10620.023506493504</v>
      </c>
      <c r="K283" s="221">
        <f t="shared" si="26"/>
        <v>12535.320152661458</v>
      </c>
      <c r="L283" s="315">
        <f t="shared" si="27"/>
        <v>32045.452879934182</v>
      </c>
      <c r="M283" s="128"/>
      <c r="N283" s="129"/>
      <c r="O283" s="126"/>
      <c r="P283" s="126"/>
      <c r="Q283" s="130"/>
    </row>
    <row r="284" spans="1:17" s="125" customFormat="1" x14ac:dyDescent="0.25">
      <c r="A284" s="174">
        <f>Données!A284</f>
        <v>5911</v>
      </c>
      <c r="B284" s="325" t="str">
        <f>Données!B284</f>
        <v>Cuarny</v>
      </c>
      <c r="C284" s="174">
        <f>Données!AR284</f>
        <v>0</v>
      </c>
      <c r="D284" s="326">
        <f>Données!Z284</f>
        <v>236</v>
      </c>
      <c r="E284" s="127">
        <f>Données!X284</f>
        <v>77</v>
      </c>
      <c r="F284" s="31">
        <f>VPI!L284</f>
        <v>547271.23999999987</v>
      </c>
      <c r="G284" s="8">
        <f t="shared" si="23"/>
        <v>14214.837402597399</v>
      </c>
      <c r="H284" s="26">
        <f t="shared" si="24"/>
        <v>21078.315855491797</v>
      </c>
      <c r="I284" s="8">
        <f t="shared" si="25"/>
        <v>14214.837402597399</v>
      </c>
      <c r="J284" s="8">
        <f>VPI!R284</f>
        <v>7630.7251948051926</v>
      </c>
      <c r="K284" s="221">
        <f t="shared" si="26"/>
        <v>9006.9088129020292</v>
      </c>
      <c r="L284" s="315">
        <f t="shared" si="27"/>
        <v>23221.746215499428</v>
      </c>
      <c r="M284" s="128"/>
      <c r="N284" s="129"/>
      <c r="O284" s="126"/>
      <c r="P284" s="126"/>
      <c r="Q284" s="130"/>
    </row>
    <row r="285" spans="1:17" s="125" customFormat="1" x14ac:dyDescent="0.25">
      <c r="A285" s="174">
        <f>Données!A285</f>
        <v>5912</v>
      </c>
      <c r="B285" s="325" t="str">
        <f>Données!B285</f>
        <v>Démoret</v>
      </c>
      <c r="C285" s="174">
        <f>Données!AR285</f>
        <v>0</v>
      </c>
      <c r="D285" s="326">
        <f>Données!Z285</f>
        <v>167</v>
      </c>
      <c r="E285" s="127">
        <f>Données!X285</f>
        <v>78</v>
      </c>
      <c r="F285" s="31">
        <f>VPI!L285</f>
        <v>213375.35999999999</v>
      </c>
      <c r="G285" s="8">
        <f t="shared" si="23"/>
        <v>5471.1630769230769</v>
      </c>
      <c r="H285" s="26">
        <f t="shared" si="24"/>
        <v>14915.587914691228</v>
      </c>
      <c r="I285" s="8">
        <f t="shared" si="25"/>
        <v>5471.1630769230769</v>
      </c>
      <c r="J285" s="8">
        <f>VPI!R285</f>
        <v>3035.5994871794869</v>
      </c>
      <c r="K285" s="221">
        <f t="shared" si="26"/>
        <v>3583.0628250288878</v>
      </c>
      <c r="L285" s="315">
        <f t="shared" si="27"/>
        <v>9054.2259019519643</v>
      </c>
      <c r="M285" s="128"/>
      <c r="N285" s="129"/>
      <c r="O285" s="126"/>
      <c r="P285" s="126"/>
      <c r="Q285" s="130"/>
    </row>
    <row r="286" spans="1:17" s="125" customFormat="1" x14ac:dyDescent="0.25">
      <c r="A286" s="174">
        <f>Données!A286</f>
        <v>5913</v>
      </c>
      <c r="B286" s="325" t="str">
        <f>Données!B286</f>
        <v>Donneloye</v>
      </c>
      <c r="C286" s="174">
        <f>Données!AR286</f>
        <v>0</v>
      </c>
      <c r="D286" s="326">
        <f>Données!Z286</f>
        <v>905</v>
      </c>
      <c r="E286" s="127">
        <f>Données!X286</f>
        <v>73</v>
      </c>
      <c r="F286" s="31">
        <f>VPI!L286</f>
        <v>1475517.02</v>
      </c>
      <c r="G286" s="8">
        <f t="shared" si="23"/>
        <v>40425.123835616439</v>
      </c>
      <c r="H286" s="26">
        <f t="shared" si="24"/>
        <v>80829.982411949473</v>
      </c>
      <c r="I286" s="8">
        <f t="shared" si="25"/>
        <v>40425.123835616439</v>
      </c>
      <c r="J286" s="8">
        <f>VPI!R286</f>
        <v>21868.165342465756</v>
      </c>
      <c r="K286" s="221">
        <f t="shared" si="26"/>
        <v>25812.038320963533</v>
      </c>
      <c r="L286" s="315">
        <f t="shared" si="27"/>
        <v>66237.162156579972</v>
      </c>
      <c r="M286" s="128"/>
      <c r="N286" s="129"/>
      <c r="O286" s="126"/>
      <c r="P286" s="126"/>
      <c r="Q286" s="130"/>
    </row>
    <row r="287" spans="1:17" s="125" customFormat="1" x14ac:dyDescent="0.25">
      <c r="A287" s="174">
        <f>Données!A287</f>
        <v>5914</v>
      </c>
      <c r="B287" s="325" t="str">
        <f>Données!B287</f>
        <v>Ependes</v>
      </c>
      <c r="C287" s="174">
        <f>Données!AR287</f>
        <v>1</v>
      </c>
      <c r="D287" s="326">
        <f>Données!Z287</f>
        <v>372</v>
      </c>
      <c r="E287" s="127">
        <f>Données!X287</f>
        <v>73.5</v>
      </c>
      <c r="F287" s="31">
        <f>VPI!L287</f>
        <v>648484.5199999999</v>
      </c>
      <c r="G287" s="8">
        <f t="shared" si="23"/>
        <v>17645.837278911564</v>
      </c>
      <c r="H287" s="26">
        <f t="shared" si="24"/>
        <v>33225.141941707407</v>
      </c>
      <c r="I287" s="8">
        <f t="shared" si="25"/>
        <v>0</v>
      </c>
      <c r="J287" s="8">
        <f>VPI!R287</f>
        <v>9826.1438095238063</v>
      </c>
      <c r="K287" s="221">
        <f t="shared" si="26"/>
        <v>11598.26609076336</v>
      </c>
      <c r="L287" s="315">
        <f t="shared" si="27"/>
        <v>11598.26609076336</v>
      </c>
      <c r="M287" s="128"/>
      <c r="N287" s="129"/>
      <c r="O287" s="126"/>
      <c r="P287" s="126"/>
      <c r="Q287" s="130"/>
    </row>
    <row r="288" spans="1:17" s="125" customFormat="1" x14ac:dyDescent="0.25">
      <c r="A288" s="174">
        <f>Données!A288</f>
        <v>5919</v>
      </c>
      <c r="B288" s="325" t="str">
        <f>Données!B288</f>
        <v>Mathod</v>
      </c>
      <c r="C288" s="174">
        <f>Données!AR288</f>
        <v>1</v>
      </c>
      <c r="D288" s="326">
        <f>Données!Z288</f>
        <v>684</v>
      </c>
      <c r="E288" s="127">
        <f>Données!X288</f>
        <v>72</v>
      </c>
      <c r="F288" s="31">
        <f>VPI!L288</f>
        <v>1362454.5999999999</v>
      </c>
      <c r="G288" s="8">
        <f t="shared" si="23"/>
        <v>37845.961111111108</v>
      </c>
      <c r="H288" s="26">
        <f t="shared" si="24"/>
        <v>61091.390021849104</v>
      </c>
      <c r="I288" s="8">
        <f t="shared" si="25"/>
        <v>0</v>
      </c>
      <c r="J288" s="8">
        <f>VPI!R288</f>
        <v>20854.383912037036</v>
      </c>
      <c r="K288" s="221">
        <f t="shared" si="26"/>
        <v>24615.423757212626</v>
      </c>
      <c r="L288" s="315">
        <f t="shared" si="27"/>
        <v>24615.423757212626</v>
      </c>
      <c r="M288" s="128"/>
      <c r="N288" s="129"/>
      <c r="O288" s="126"/>
      <c r="P288" s="126"/>
      <c r="Q288" s="130"/>
    </row>
    <row r="289" spans="1:17" s="125" customFormat="1" x14ac:dyDescent="0.25">
      <c r="A289" s="174">
        <f>Données!A289</f>
        <v>5921</v>
      </c>
      <c r="B289" s="325" t="str">
        <f>Données!B289</f>
        <v>Molondin</v>
      </c>
      <c r="C289" s="174">
        <f>Données!AR289</f>
        <v>0</v>
      </c>
      <c r="D289" s="326">
        <f>Données!Z289</f>
        <v>257</v>
      </c>
      <c r="E289" s="127">
        <f>Données!X289</f>
        <v>81</v>
      </c>
      <c r="F289" s="31">
        <f>VPI!L289</f>
        <v>375057.92000000004</v>
      </c>
      <c r="G289" s="8">
        <f t="shared" si="23"/>
        <v>9260.6893827160511</v>
      </c>
      <c r="H289" s="26">
        <f t="shared" si="24"/>
        <v>22953.928707039795</v>
      </c>
      <c r="I289" s="8">
        <f t="shared" si="25"/>
        <v>9260.6893827160511</v>
      </c>
      <c r="J289" s="8">
        <f>VPI!R289</f>
        <v>5090.9675308641981</v>
      </c>
      <c r="K289" s="221">
        <f t="shared" si="26"/>
        <v>6009.1117356912564</v>
      </c>
      <c r="L289" s="315">
        <f t="shared" si="27"/>
        <v>15269.801118407308</v>
      </c>
      <c r="M289" s="128"/>
      <c r="N289" s="129"/>
      <c r="O289" s="126"/>
      <c r="P289" s="126"/>
      <c r="Q289" s="130"/>
    </row>
    <row r="290" spans="1:17" s="125" customFormat="1" x14ac:dyDescent="0.25">
      <c r="A290" s="174">
        <f>Données!A290</f>
        <v>5922</v>
      </c>
      <c r="B290" s="325" t="str">
        <f>Données!B290</f>
        <v>Montagny-près-Yverdon</v>
      </c>
      <c r="C290" s="174">
        <f>Données!AR290</f>
        <v>0</v>
      </c>
      <c r="D290" s="326">
        <f>Données!Z290</f>
        <v>770</v>
      </c>
      <c r="E290" s="127">
        <f>Données!X290</f>
        <v>64.5</v>
      </c>
      <c r="F290" s="31">
        <f>VPI!L290</f>
        <v>2165350.36</v>
      </c>
      <c r="G290" s="8">
        <f t="shared" si="23"/>
        <v>67142.646821705421</v>
      </c>
      <c r="H290" s="26">
        <f t="shared" si="24"/>
        <v>68772.471223426619</v>
      </c>
      <c r="I290" s="8">
        <f t="shared" si="25"/>
        <v>67142.646821705421</v>
      </c>
      <c r="J290" s="8">
        <f>VPI!R290</f>
        <v>39799.996472868217</v>
      </c>
      <c r="K290" s="221">
        <f t="shared" si="26"/>
        <v>46977.833670250271</v>
      </c>
      <c r="L290" s="315">
        <f t="shared" si="27"/>
        <v>114120.48049195569</v>
      </c>
      <c r="M290" s="128"/>
      <c r="N290" s="129"/>
      <c r="O290" s="126"/>
      <c r="P290" s="126"/>
      <c r="Q290" s="130"/>
    </row>
    <row r="291" spans="1:17" s="125" customFormat="1" x14ac:dyDescent="0.25">
      <c r="A291" s="174">
        <f>Données!A291</f>
        <v>5923</v>
      </c>
      <c r="B291" s="325" t="str">
        <f>Données!B291</f>
        <v>Oppens</v>
      </c>
      <c r="C291" s="174">
        <f>Données!AR291</f>
        <v>0</v>
      </c>
      <c r="D291" s="326">
        <f>Données!Z291</f>
        <v>202</v>
      </c>
      <c r="E291" s="127">
        <f>Données!X291</f>
        <v>81</v>
      </c>
      <c r="F291" s="31">
        <f>VPI!L291</f>
        <v>333858.17000000004</v>
      </c>
      <c r="G291" s="8">
        <f t="shared" si="23"/>
        <v>8243.4116049382719</v>
      </c>
      <c r="H291" s="26">
        <f t="shared" si="24"/>
        <v>18041.609333937893</v>
      </c>
      <c r="I291" s="8">
        <f t="shared" si="25"/>
        <v>8243.4116049382719</v>
      </c>
      <c r="J291" s="8">
        <f>VPI!R291</f>
        <v>4459.4095061728403</v>
      </c>
      <c r="K291" s="221">
        <f t="shared" si="26"/>
        <v>5263.6536837718795</v>
      </c>
      <c r="L291" s="315">
        <f t="shared" si="27"/>
        <v>13507.065288710151</v>
      </c>
      <c r="M291" s="128"/>
      <c r="N291" s="248"/>
      <c r="O291" s="126"/>
      <c r="P291" s="126"/>
      <c r="Q291" s="130"/>
    </row>
    <row r="292" spans="1:17" s="125" customFormat="1" x14ac:dyDescent="0.25">
      <c r="A292" s="174">
        <f>Données!A292</f>
        <v>5924</v>
      </c>
      <c r="B292" s="325" t="str">
        <f>Données!B292</f>
        <v>Orges</v>
      </c>
      <c r="C292" s="174">
        <f>Données!AR292</f>
        <v>0</v>
      </c>
      <c r="D292" s="326">
        <f>Données!Z292</f>
        <v>407</v>
      </c>
      <c r="E292" s="127">
        <f>Données!X292</f>
        <v>74</v>
      </c>
      <c r="F292" s="31">
        <f>VPI!L292</f>
        <v>799424.65999999992</v>
      </c>
      <c r="G292" s="8">
        <f t="shared" si="23"/>
        <v>21606.07189189189</v>
      </c>
      <c r="H292" s="26">
        <f t="shared" si="24"/>
        <v>36351.163360954073</v>
      </c>
      <c r="I292" s="8">
        <f t="shared" si="25"/>
        <v>21606.07189189189</v>
      </c>
      <c r="J292" s="8">
        <f>VPI!R292</f>
        <v>11637.592027027025</v>
      </c>
      <c r="K292" s="221">
        <f t="shared" si="26"/>
        <v>13736.404799447644</v>
      </c>
      <c r="L292" s="315">
        <f t="shared" si="27"/>
        <v>35342.476691339536</v>
      </c>
      <c r="M292" s="128"/>
      <c r="N292" s="129"/>
      <c r="O292" s="126"/>
      <c r="P292" s="126"/>
      <c r="Q292" s="130"/>
    </row>
    <row r="293" spans="1:17" s="125" customFormat="1" x14ac:dyDescent="0.25">
      <c r="A293" s="174">
        <f>Données!A293</f>
        <v>5925</v>
      </c>
      <c r="B293" s="325" t="str">
        <f>Données!B293</f>
        <v>Orzens</v>
      </c>
      <c r="C293" s="174">
        <f>Données!AR293</f>
        <v>0</v>
      </c>
      <c r="D293" s="326">
        <f>Données!Z293</f>
        <v>212</v>
      </c>
      <c r="E293" s="127">
        <f>Données!X293</f>
        <v>79</v>
      </c>
      <c r="F293" s="31">
        <f>VPI!L293</f>
        <v>379499.44999999995</v>
      </c>
      <c r="G293" s="8">
        <f t="shared" si="23"/>
        <v>9607.5810126582273</v>
      </c>
      <c r="H293" s="26">
        <f t="shared" si="24"/>
        <v>18934.758310865513</v>
      </c>
      <c r="I293" s="8">
        <f t="shared" si="25"/>
        <v>9607.5810126582273</v>
      </c>
      <c r="J293" s="8">
        <f>VPI!R293</f>
        <v>5255.7360759493668</v>
      </c>
      <c r="K293" s="221">
        <f t="shared" si="26"/>
        <v>6203.5959063211931</v>
      </c>
      <c r="L293" s="315">
        <f t="shared" si="27"/>
        <v>15811.176918979421</v>
      </c>
      <c r="M293" s="128"/>
      <c r="N293" s="129"/>
      <c r="O293" s="126"/>
      <c r="P293" s="126"/>
      <c r="Q293" s="130"/>
    </row>
    <row r="294" spans="1:17" s="125" customFormat="1" x14ac:dyDescent="0.25">
      <c r="A294" s="174">
        <f>Données!A294</f>
        <v>5926</v>
      </c>
      <c r="B294" s="325" t="str">
        <f>Données!B294</f>
        <v>Pomy</v>
      </c>
      <c r="C294" s="174">
        <f>Données!AR294</f>
        <v>1</v>
      </c>
      <c r="D294" s="326">
        <f>Données!Z294</f>
        <v>868</v>
      </c>
      <c r="E294" s="127">
        <f>Données!X294</f>
        <v>71</v>
      </c>
      <c r="F294" s="31">
        <f>VPI!L294</f>
        <v>1761814.9899999998</v>
      </c>
      <c r="G294" s="8">
        <f t="shared" si="23"/>
        <v>49628.591267605625</v>
      </c>
      <c r="H294" s="26">
        <f t="shared" si="24"/>
        <v>77525.331197317282</v>
      </c>
      <c r="I294" s="8">
        <f t="shared" si="25"/>
        <v>0</v>
      </c>
      <c r="J294" s="8">
        <f>VPI!R294</f>
        <v>26782.680140845066</v>
      </c>
      <c r="K294" s="221">
        <f t="shared" si="26"/>
        <v>31612.874482485153</v>
      </c>
      <c r="L294" s="315">
        <f t="shared" si="27"/>
        <v>31612.874482485153</v>
      </c>
      <c r="M294" s="128"/>
      <c r="N294" s="129"/>
      <c r="O294" s="126"/>
      <c r="P294" s="126"/>
      <c r="Q294" s="130"/>
    </row>
    <row r="295" spans="1:17" s="125" customFormat="1" x14ac:dyDescent="0.25">
      <c r="A295" s="174">
        <f>Données!A295</f>
        <v>5928</v>
      </c>
      <c r="B295" s="325" t="str">
        <f>Données!B295</f>
        <v>Rovray</v>
      </c>
      <c r="C295" s="174">
        <f>Données!AR295</f>
        <v>0</v>
      </c>
      <c r="D295" s="326">
        <f>Données!Z295</f>
        <v>197</v>
      </c>
      <c r="E295" s="127">
        <f>Données!X295</f>
        <v>71.5</v>
      </c>
      <c r="F295" s="31">
        <f>VPI!L295</f>
        <v>338033.95</v>
      </c>
      <c r="G295" s="8">
        <f t="shared" si="23"/>
        <v>9455.4951048951061</v>
      </c>
      <c r="H295" s="26">
        <f t="shared" si="24"/>
        <v>17595.034845474085</v>
      </c>
      <c r="I295" s="8">
        <f t="shared" si="25"/>
        <v>9455.4951048951061</v>
      </c>
      <c r="J295" s="8">
        <f>VPI!R295</f>
        <v>5095.519580419581</v>
      </c>
      <c r="K295" s="221">
        <f t="shared" si="26"/>
        <v>6014.4847368425835</v>
      </c>
      <c r="L295" s="315">
        <f t="shared" si="27"/>
        <v>15469.97984173769</v>
      </c>
      <c r="M295" s="128"/>
      <c r="N295" s="129"/>
      <c r="O295" s="126"/>
      <c r="P295" s="126"/>
      <c r="Q295" s="130"/>
    </row>
    <row r="296" spans="1:17" s="125" customFormat="1" x14ac:dyDescent="0.25">
      <c r="A296" s="174">
        <f>Données!A296</f>
        <v>5929</v>
      </c>
      <c r="B296" s="325" t="str">
        <f>Données!B296</f>
        <v>Suchy</v>
      </c>
      <c r="C296" s="174">
        <f>Données!AR296</f>
        <v>1</v>
      </c>
      <c r="D296" s="326">
        <f>Données!Z296</f>
        <v>671</v>
      </c>
      <c r="E296" s="127">
        <f>Données!X296</f>
        <v>70</v>
      </c>
      <c r="F296" s="31">
        <f>VPI!L296</f>
        <v>1394249.2799999998</v>
      </c>
      <c r="G296" s="8">
        <f t="shared" si="23"/>
        <v>39835.693714285706</v>
      </c>
      <c r="H296" s="26">
        <f t="shared" si="24"/>
        <v>59930.296351843201</v>
      </c>
      <c r="I296" s="8">
        <f t="shared" si="25"/>
        <v>0</v>
      </c>
      <c r="J296" s="8">
        <f>VPI!R296</f>
        <v>21603.071857142855</v>
      </c>
      <c r="K296" s="221">
        <f t="shared" si="26"/>
        <v>25499.135839450606</v>
      </c>
      <c r="L296" s="315">
        <f t="shared" si="27"/>
        <v>25499.135839450606</v>
      </c>
      <c r="M296" s="128"/>
      <c r="N296" s="129"/>
      <c r="O296" s="126"/>
      <c r="P296" s="126"/>
      <c r="Q296" s="130"/>
    </row>
    <row r="297" spans="1:17" s="125" customFormat="1" x14ac:dyDescent="0.25">
      <c r="A297" s="174">
        <f>Données!A297</f>
        <v>5930</v>
      </c>
      <c r="B297" s="325" t="str">
        <f>Données!B297</f>
        <v>Suscévaz</v>
      </c>
      <c r="C297" s="174">
        <f>Données!AR297</f>
        <v>1</v>
      </c>
      <c r="D297" s="326">
        <f>Données!Z297</f>
        <v>220</v>
      </c>
      <c r="E297" s="127">
        <f>Données!X297</f>
        <v>72</v>
      </c>
      <c r="F297" s="31">
        <f>VPI!L297</f>
        <v>381589.79</v>
      </c>
      <c r="G297" s="8">
        <f t="shared" si="23"/>
        <v>10599.716388888888</v>
      </c>
      <c r="H297" s="26">
        <f t="shared" si="24"/>
        <v>19649.277492407607</v>
      </c>
      <c r="I297" s="8">
        <f t="shared" si="25"/>
        <v>0</v>
      </c>
      <c r="J297" s="8">
        <f>VPI!R297</f>
        <v>5749.1651388888886</v>
      </c>
      <c r="K297" s="221">
        <f t="shared" si="26"/>
        <v>6786.013758107747</v>
      </c>
      <c r="L297" s="315">
        <f t="shared" si="27"/>
        <v>6786.013758107747</v>
      </c>
      <c r="M297" s="128"/>
      <c r="N297" s="129"/>
      <c r="O297" s="126"/>
      <c r="P297" s="126"/>
      <c r="Q297" s="130"/>
    </row>
    <row r="298" spans="1:17" s="125" customFormat="1" x14ac:dyDescent="0.25">
      <c r="A298" s="174">
        <f>Données!A298</f>
        <v>5931</v>
      </c>
      <c r="B298" s="325" t="str">
        <f>Données!B298</f>
        <v>Treycovagnes</v>
      </c>
      <c r="C298" s="174">
        <f>Données!AR298</f>
        <v>1</v>
      </c>
      <c r="D298" s="326">
        <f>Données!Z298</f>
        <v>520</v>
      </c>
      <c r="E298" s="127">
        <f>Données!X298</f>
        <v>75</v>
      </c>
      <c r="F298" s="31">
        <f>VPI!L298</f>
        <v>1136175.0599999998</v>
      </c>
      <c r="G298" s="8">
        <f t="shared" si="23"/>
        <v>30298.001599999996</v>
      </c>
      <c r="H298" s="26">
        <f t="shared" si="24"/>
        <v>46443.746800236157</v>
      </c>
      <c r="I298" s="8">
        <f t="shared" si="25"/>
        <v>0</v>
      </c>
      <c r="J298" s="8">
        <f>VPI!R298</f>
        <v>16306.743466666663</v>
      </c>
      <c r="K298" s="221">
        <f t="shared" si="26"/>
        <v>19247.62688867898</v>
      </c>
      <c r="L298" s="315">
        <f t="shared" si="27"/>
        <v>19247.62688867898</v>
      </c>
      <c r="M298" s="128"/>
      <c r="N298" s="129"/>
      <c r="O298" s="126"/>
      <c r="P298" s="126"/>
      <c r="Q298" s="130"/>
    </row>
    <row r="299" spans="1:17" s="125" customFormat="1" x14ac:dyDescent="0.25">
      <c r="A299" s="174">
        <f>Données!A299</f>
        <v>5932</v>
      </c>
      <c r="B299" s="325" t="str">
        <f>Données!B299</f>
        <v>Ursins</v>
      </c>
      <c r="C299" s="174">
        <f>Données!AR299</f>
        <v>0</v>
      </c>
      <c r="D299" s="326">
        <f>Données!Z299</f>
        <v>230</v>
      </c>
      <c r="E299" s="127">
        <f>Données!X299</f>
        <v>75</v>
      </c>
      <c r="F299" s="31">
        <f>VPI!L299</f>
        <v>560073.75</v>
      </c>
      <c r="G299" s="8">
        <f t="shared" si="23"/>
        <v>14935.3</v>
      </c>
      <c r="H299" s="26">
        <f t="shared" si="24"/>
        <v>20542.426469335223</v>
      </c>
      <c r="I299" s="8">
        <f t="shared" si="25"/>
        <v>14935.3</v>
      </c>
      <c r="J299" s="8">
        <f>VPI!R299</f>
        <v>7945.6340000000009</v>
      </c>
      <c r="K299" s="221">
        <f t="shared" si="26"/>
        <v>9378.6106918663627</v>
      </c>
      <c r="L299" s="315">
        <f t="shared" si="27"/>
        <v>24313.91069186636</v>
      </c>
      <c r="M299" s="128"/>
      <c r="N299" s="129"/>
      <c r="O299" s="126"/>
      <c r="P299" s="126"/>
      <c r="Q299" s="130"/>
    </row>
    <row r="300" spans="1:17" s="125" customFormat="1" x14ac:dyDescent="0.25">
      <c r="A300" s="174">
        <f>Données!A300</f>
        <v>5933</v>
      </c>
      <c r="B300" s="325" t="str">
        <f>Données!B300</f>
        <v>Valeyres-sous-Montagny</v>
      </c>
      <c r="C300" s="174">
        <f>Données!AR300</f>
        <v>0</v>
      </c>
      <c r="D300" s="326">
        <f>Données!Z300</f>
        <v>703</v>
      </c>
      <c r="E300" s="127">
        <f>Données!X300</f>
        <v>70.5</v>
      </c>
      <c r="F300" s="31">
        <f>VPI!L300</f>
        <v>1528610.58</v>
      </c>
      <c r="G300" s="8">
        <f t="shared" si="23"/>
        <v>43364.839148936175</v>
      </c>
      <c r="H300" s="26">
        <f t="shared" si="24"/>
        <v>62788.37307801158</v>
      </c>
      <c r="I300" s="8">
        <f t="shared" si="25"/>
        <v>43364.839148936175</v>
      </c>
      <c r="J300" s="8">
        <f>VPI!R300</f>
        <v>23478.314609929079</v>
      </c>
      <c r="K300" s="221">
        <f t="shared" si="26"/>
        <v>27712.57428012454</v>
      </c>
      <c r="L300" s="315">
        <f t="shared" si="27"/>
        <v>71077.413429060718</v>
      </c>
      <c r="M300" s="128"/>
      <c r="N300" s="129"/>
      <c r="O300" s="126"/>
      <c r="P300" s="126"/>
      <c r="Q300" s="130"/>
    </row>
    <row r="301" spans="1:17" s="125" customFormat="1" x14ac:dyDescent="0.25">
      <c r="A301" s="174">
        <f>Données!A301</f>
        <v>5934</v>
      </c>
      <c r="B301" s="325" t="str">
        <f>Données!B301</f>
        <v>Valeyres-sous-Ursins</v>
      </c>
      <c r="C301" s="174">
        <f>Données!AR301</f>
        <v>0</v>
      </c>
      <c r="D301" s="326">
        <f>Données!Z301</f>
        <v>241</v>
      </c>
      <c r="E301" s="127">
        <f>Données!X301</f>
        <v>77</v>
      </c>
      <c r="F301" s="31">
        <f>VPI!L301</f>
        <v>1261162.01</v>
      </c>
      <c r="G301" s="8">
        <f t="shared" si="23"/>
        <v>32757.454805194804</v>
      </c>
      <c r="H301" s="26">
        <f t="shared" si="24"/>
        <v>21524.890343955605</v>
      </c>
      <c r="I301" s="8">
        <f t="shared" si="25"/>
        <v>21524.890343955605</v>
      </c>
      <c r="J301" s="8">
        <f>VPI!R301</f>
        <v>16787.585844155841</v>
      </c>
      <c r="K301" s="221">
        <f t="shared" si="26"/>
        <v>19815.188075441729</v>
      </c>
      <c r="L301" s="315">
        <f t="shared" si="27"/>
        <v>41340.078419397338</v>
      </c>
      <c r="M301" s="128"/>
      <c r="N301" s="129"/>
      <c r="O301" s="126"/>
      <c r="P301" s="126"/>
      <c r="Q301" s="130"/>
    </row>
    <row r="302" spans="1:17" s="125" customFormat="1" x14ac:dyDescent="0.25">
      <c r="A302" s="174">
        <f>Données!A302</f>
        <v>5935</v>
      </c>
      <c r="B302" s="325" t="str">
        <f>Données!B302</f>
        <v>Villars-Epeney</v>
      </c>
      <c r="C302" s="174">
        <f>Données!AR302</f>
        <v>0</v>
      </c>
      <c r="D302" s="326">
        <f>Données!Z302</f>
        <v>92</v>
      </c>
      <c r="E302" s="127">
        <f>Données!X302</f>
        <v>68</v>
      </c>
      <c r="F302" s="31">
        <f>VPI!L302</f>
        <v>436398.09</v>
      </c>
      <c r="G302" s="8">
        <f t="shared" si="23"/>
        <v>12835.23794117647</v>
      </c>
      <c r="H302" s="26">
        <f t="shared" si="24"/>
        <v>8216.9705877340893</v>
      </c>
      <c r="I302" s="8">
        <f t="shared" si="25"/>
        <v>8216.9705877340893</v>
      </c>
      <c r="J302" s="8">
        <f>VPI!R302</f>
        <v>6724.4138235294122</v>
      </c>
      <c r="K302" s="221">
        <f t="shared" si="26"/>
        <v>7937.1462845994301</v>
      </c>
      <c r="L302" s="315">
        <f t="shared" si="27"/>
        <v>16154.116872333519</v>
      </c>
      <c r="M302" s="128"/>
      <c r="N302" s="129"/>
      <c r="O302" s="126"/>
      <c r="P302" s="126"/>
      <c r="Q302" s="130"/>
    </row>
    <row r="303" spans="1:17" s="125" customFormat="1" x14ac:dyDescent="0.25">
      <c r="A303" s="174">
        <f>Données!A303</f>
        <v>5937</v>
      </c>
      <c r="B303" s="325" t="str">
        <f>Données!B303</f>
        <v>Vugelles-La Mothe</v>
      </c>
      <c r="C303" s="174">
        <f>Données!AR303</f>
        <v>0</v>
      </c>
      <c r="D303" s="326">
        <f>Données!Z303</f>
        <v>137</v>
      </c>
      <c r="E303" s="127">
        <f>Données!X303</f>
        <v>70</v>
      </c>
      <c r="F303" s="31">
        <f>VPI!L303</f>
        <v>216167.49000000002</v>
      </c>
      <c r="G303" s="8">
        <f t="shared" si="23"/>
        <v>6176.2140000000009</v>
      </c>
      <c r="H303" s="26">
        <f t="shared" si="24"/>
        <v>12236.140983908374</v>
      </c>
      <c r="I303" s="8">
        <f t="shared" si="25"/>
        <v>6176.2140000000009</v>
      </c>
      <c r="J303" s="8">
        <f>VPI!R303</f>
        <v>3343.8941428571434</v>
      </c>
      <c r="K303" s="221">
        <f t="shared" si="26"/>
        <v>3946.9577079273108</v>
      </c>
      <c r="L303" s="315">
        <f t="shared" si="27"/>
        <v>10123.171707927311</v>
      </c>
      <c r="M303" s="128"/>
      <c r="N303" s="129"/>
      <c r="O303" s="126"/>
      <c r="P303" s="126"/>
      <c r="Q303" s="130"/>
    </row>
    <row r="304" spans="1:17" s="125" customFormat="1" x14ac:dyDescent="0.25">
      <c r="A304" s="174">
        <f>Données!A304</f>
        <v>5938</v>
      </c>
      <c r="B304" s="325" t="str">
        <f>Données!B304</f>
        <v>Yverdon-les-Bains</v>
      </c>
      <c r="C304" s="174">
        <f>Données!AR304</f>
        <v>1</v>
      </c>
      <c r="D304" s="326">
        <f>Données!Z304</f>
        <v>29877</v>
      </c>
      <c r="E304" s="127">
        <f>Données!X304</f>
        <v>75</v>
      </c>
      <c r="F304" s="31">
        <f>VPI!L304</f>
        <v>53113161.310000002</v>
      </c>
      <c r="G304" s="8">
        <f t="shared" si="23"/>
        <v>1416350.9682666666</v>
      </c>
      <c r="H304" s="26">
        <f t="shared" si="24"/>
        <v>2668461.1983666457</v>
      </c>
      <c r="I304" s="8">
        <f t="shared" si="25"/>
        <v>0</v>
      </c>
      <c r="J304" s="8">
        <f>VPI!R304</f>
        <v>780594.69946666679</v>
      </c>
      <c r="K304" s="221">
        <f t="shared" si="26"/>
        <v>921373.14586001448</v>
      </c>
      <c r="L304" s="315">
        <f t="shared" si="27"/>
        <v>921373.14586001448</v>
      </c>
      <c r="M304" s="128"/>
      <c r="N304" s="129"/>
      <c r="O304" s="126"/>
      <c r="P304" s="126"/>
      <c r="Q304" s="130"/>
    </row>
    <row r="305" spans="1:17" s="125" customFormat="1" x14ac:dyDescent="0.25">
      <c r="A305" s="175">
        <f>Données!A305</f>
        <v>5939</v>
      </c>
      <c r="B305" s="325" t="str">
        <f>Données!B305</f>
        <v>Yvonand</v>
      </c>
      <c r="C305" s="175">
        <f>Données!AR305</f>
        <v>0</v>
      </c>
      <c r="D305" s="326">
        <f>Données!Z305</f>
        <v>3531</v>
      </c>
      <c r="E305" s="127">
        <f>Données!X305</f>
        <v>71.5</v>
      </c>
      <c r="F305" s="31">
        <f>VPI!L305</f>
        <v>6312733.9500000002</v>
      </c>
      <c r="G305" s="210">
        <f t="shared" si="23"/>
        <v>176579.97062937063</v>
      </c>
      <c r="H305" s="70">
        <f t="shared" si="24"/>
        <v>315370.90375314211</v>
      </c>
      <c r="I305" s="8">
        <f t="shared" si="25"/>
        <v>176579.97062937063</v>
      </c>
      <c r="J305" s="210">
        <f>VPI!R305</f>
        <v>97394.348251748248</v>
      </c>
      <c r="K305" s="51">
        <f t="shared" si="26"/>
        <v>114959.19341882624</v>
      </c>
      <c r="L305" s="316">
        <f t="shared" si="27"/>
        <v>291539.16404819686</v>
      </c>
      <c r="M305" s="128"/>
      <c r="N305" s="129"/>
      <c r="O305" s="126"/>
      <c r="P305" s="126"/>
      <c r="Q305" s="130"/>
    </row>
    <row r="306" spans="1:17" s="125" customFormat="1" x14ac:dyDescent="0.25">
      <c r="A306" s="25"/>
      <c r="B306" s="74">
        <f>COUNTA(B6:B305)</f>
        <v>300</v>
      </c>
      <c r="C306" s="175">
        <f>SUM(C6:C305)</f>
        <v>51</v>
      </c>
      <c r="D306" s="136">
        <f>SUM(D6:D305)</f>
        <v>830791</v>
      </c>
      <c r="E306" s="136"/>
      <c r="F306" s="136">
        <f t="shared" ref="F306:J306" si="28">SUM(F6:F305)</f>
        <v>2505137685.2899976</v>
      </c>
      <c r="G306" s="140">
        <f>SUM(G6:G305)</f>
        <v>74202013.169067308</v>
      </c>
      <c r="H306" s="136">
        <f t="shared" si="28"/>
        <v>74202013.169067249</v>
      </c>
      <c r="I306" s="136">
        <f t="shared" si="28"/>
        <v>23493934.53359741</v>
      </c>
      <c r="J306" s="140">
        <f t="shared" si="28"/>
        <v>40269073.341943532</v>
      </c>
      <c r="K306" s="140">
        <f>SUM(K6:K305)</f>
        <v>47531507.46640259</v>
      </c>
      <c r="L306" s="375">
        <f>SUM(L6:L305)</f>
        <v>71025442</v>
      </c>
      <c r="M306" s="126"/>
      <c r="N306" s="246"/>
      <c r="O306" s="126"/>
      <c r="P306" s="126"/>
    </row>
    <row r="307" spans="1:17" s="125" customFormat="1" x14ac:dyDescent="0.25">
      <c r="A307" s="124"/>
      <c r="B307" s="124"/>
      <c r="C307" s="124"/>
      <c r="D307" s="124"/>
      <c r="E307" s="124"/>
      <c r="F307" s="124"/>
      <c r="G307" s="124"/>
      <c r="H307" s="139"/>
      <c r="I307" s="124"/>
      <c r="J307" s="131"/>
      <c r="K307" s="124"/>
      <c r="L307" s="131"/>
      <c r="M307" s="124"/>
      <c r="N307" s="126"/>
      <c r="P307" s="126"/>
      <c r="Q307" s="126"/>
    </row>
    <row r="308" spans="1:17" x14ac:dyDescent="0.25">
      <c r="H308" s="139"/>
      <c r="I308" s="139"/>
      <c r="J308" s="139"/>
      <c r="K308" s="139"/>
      <c r="L308" s="215"/>
      <c r="M308" s="139"/>
    </row>
  </sheetData>
  <sheetProtection sheet="1" objects="1" scenarios="1"/>
  <protectedRanges>
    <protectedRange sqref="C6:C305" name="Plage1"/>
  </protectedRanges>
  <mergeCells count="11">
    <mergeCell ref="E1:F1"/>
    <mergeCell ref="L4:L5"/>
    <mergeCell ref="B4:B5"/>
    <mergeCell ref="A4:A5"/>
    <mergeCell ref="J4:J5"/>
    <mergeCell ref="I4:I5"/>
    <mergeCell ref="H4:H5"/>
    <mergeCell ref="F4:F5"/>
    <mergeCell ref="E4:E5"/>
    <mergeCell ref="C4:C5"/>
    <mergeCell ref="G4:G5"/>
  </mergeCells>
  <hyperlinks>
    <hyperlink ref="C1" location="Taux!A1" display="← Précédent" xr:uid="{C8901635-E034-47DD-93A2-BAA21240173B}"/>
    <hyperlink ref="E1:F1" location="Synthèse!A1" display="Suivant →" xr:uid="{E0670AFE-D86B-4F7C-A3A7-5583CCD7E9BB}"/>
    <hyperlink ref="D1" location="'Table des matières'!A1" display="Table des             matières" xr:uid="{47FAC582-202D-4B6D-B66A-647C53FD6C30}"/>
  </hyperlinks>
  <printOptions horizontalCentered="1" verticalCentered="1"/>
  <pageMargins left="0.78740157480314965" right="0.78740157480314965" top="0.98425196850393704" bottom="0.98425196850393704" header="0.51181102362204722" footer="0.51181102362204722"/>
  <pageSetup paperSize="8" fitToHeight="9" orientation="landscape" r:id="rId1"/>
  <headerFooter alignWithMargins="0">
    <oddFooter>&amp;L&amp;8SCL - Division finances communales&amp;C- &amp;N -&amp;R&amp;8ASFiCo/FW/Juillet 2014</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7">
    <tabColor theme="3" tint="0.59999389629810485"/>
  </sheetPr>
  <dimension ref="A1:J307"/>
  <sheetViews>
    <sheetView workbookViewId="0">
      <pane ySplit="4" topLeftCell="A5" activePane="bottomLeft" state="frozen"/>
      <selection pane="bottomLeft" activeCell="A5" sqref="A5"/>
    </sheetView>
  </sheetViews>
  <sheetFormatPr baseColWidth="10" defaultColWidth="10.75" defaultRowHeight="15" x14ac:dyDescent="0.25"/>
  <cols>
    <col min="1" max="1" width="7.5" style="11" customWidth="1"/>
    <col min="2" max="2" width="20.875" style="11" customWidth="1"/>
    <col min="3" max="3" width="7.5" style="13" customWidth="1"/>
    <col min="4" max="4" width="10.5" style="84" customWidth="1"/>
    <col min="5" max="5" width="16.125" style="84" customWidth="1"/>
    <col min="6" max="6" width="12.5" style="11" customWidth="1"/>
    <col min="7" max="7" width="15.625" style="11" customWidth="1"/>
    <col min="8" max="8" width="10.25" style="202" customWidth="1"/>
    <col min="9" max="9" width="12" style="11" bestFit="1" customWidth="1"/>
    <col min="10" max="10" width="10.75" style="11" customWidth="1"/>
    <col min="11" max="16384" width="10.75" style="11"/>
  </cols>
  <sheetData>
    <row r="1" spans="1:10" s="33" customFormat="1" ht="26.25" x14ac:dyDescent="0.2">
      <c r="A1" s="271" t="s">
        <v>428</v>
      </c>
      <c r="B1" s="272"/>
      <c r="C1" s="374" t="s">
        <v>405</v>
      </c>
      <c r="D1" s="284" t="s">
        <v>397</v>
      </c>
      <c r="E1" s="279" t="s">
        <v>406</v>
      </c>
      <c r="F1" s="274"/>
      <c r="G1" s="49"/>
      <c r="H1" s="204"/>
      <c r="I1" s="49"/>
    </row>
    <row r="2" spans="1:10" s="33" customFormat="1" ht="15.75" x14ac:dyDescent="0.2">
      <c r="A2" s="328" t="str">
        <f>Paramètres!B4</f>
        <v>Décompte 2022</v>
      </c>
      <c r="C2" s="80"/>
      <c r="D2" s="163"/>
      <c r="E2" s="163"/>
      <c r="F2" s="49"/>
      <c r="G2" s="49"/>
      <c r="H2" s="204"/>
      <c r="I2" s="49"/>
      <c r="J2" s="49"/>
    </row>
    <row r="3" spans="1:10" x14ac:dyDescent="0.25">
      <c r="D3" s="11"/>
      <c r="E3" s="11"/>
    </row>
    <row r="4" spans="1:10" ht="53.25" customHeight="1" x14ac:dyDescent="0.25">
      <c r="A4" s="482" t="s">
        <v>44</v>
      </c>
      <c r="B4" s="482" t="s">
        <v>84</v>
      </c>
      <c r="C4" s="481" t="s">
        <v>301</v>
      </c>
      <c r="D4" s="484" t="s">
        <v>257</v>
      </c>
      <c r="E4" s="484" t="s">
        <v>413</v>
      </c>
      <c r="F4" s="485" t="s">
        <v>277</v>
      </c>
      <c r="G4" s="486" t="s">
        <v>394</v>
      </c>
      <c r="H4" s="483" t="s">
        <v>410</v>
      </c>
      <c r="I4" s="484" t="s">
        <v>124</v>
      </c>
    </row>
    <row r="5" spans="1:10" s="86" customFormat="1" x14ac:dyDescent="0.25">
      <c r="A5" s="363">
        <f>Données!A6</f>
        <v>5401</v>
      </c>
      <c r="B5" s="362" t="str">
        <f>Données!B6</f>
        <v>Aigle</v>
      </c>
      <c r="C5" s="366">
        <f>VPI!Q6</f>
        <v>66</v>
      </c>
      <c r="D5" s="370">
        <f>Données!Z6</f>
        <v>10937</v>
      </c>
      <c r="E5" s="176">
        <f>VPI!R6</f>
        <v>294634.51575757569</v>
      </c>
      <c r="F5" s="304">
        <f>+'Péréquation directe'!K12</f>
        <v>-8322706.037042697</v>
      </c>
      <c r="G5" s="450">
        <f>PCS!I12</f>
        <v>4781884.8566596573</v>
      </c>
      <c r="H5" s="314">
        <f>'Facture policière'!L6</f>
        <v>347771.16837710718</v>
      </c>
      <c r="I5" s="428">
        <f>SUM(F5:H5)</f>
        <v>-3193050.0120059326</v>
      </c>
      <c r="J5" s="178"/>
    </row>
    <row r="6" spans="1:10" s="86" customFormat="1" x14ac:dyDescent="0.25">
      <c r="A6" s="364">
        <f>Données!A7</f>
        <v>5402</v>
      </c>
      <c r="B6" s="368" t="str">
        <f>Données!B7</f>
        <v>Bex</v>
      </c>
      <c r="C6" s="366">
        <f>VPI!Q7</f>
        <v>71</v>
      </c>
      <c r="D6" s="371">
        <f>Données!Z7</f>
        <v>8151</v>
      </c>
      <c r="E6" s="176">
        <f>VPI!R7</f>
        <v>191961.18746478873</v>
      </c>
      <c r="F6" s="289">
        <f>+'Péréquation directe'!K13</f>
        <v>-7158729.0644397335</v>
      </c>
      <c r="G6" s="299">
        <f>PCS!I13</f>
        <v>3158197.2445721896</v>
      </c>
      <c r="H6" s="315">
        <f>'Facture policière'!L7</f>
        <v>226580.94309159354</v>
      </c>
      <c r="I6" s="411">
        <f t="shared" ref="I6:I69" si="0">SUM(F6:H6)</f>
        <v>-3773950.8767759502</v>
      </c>
      <c r="J6" s="178"/>
    </row>
    <row r="7" spans="1:10" s="86" customFormat="1" x14ac:dyDescent="0.25">
      <c r="A7" s="364">
        <f>Données!A8</f>
        <v>5403</v>
      </c>
      <c r="B7" s="368" t="str">
        <f>Données!B8</f>
        <v>Chessel</v>
      </c>
      <c r="C7" s="366">
        <f>VPI!Q8</f>
        <v>65</v>
      </c>
      <c r="D7" s="371">
        <f>Données!Z8</f>
        <v>528</v>
      </c>
      <c r="E7" s="176">
        <f>VPI!R8</f>
        <v>13521.430615384616</v>
      </c>
      <c r="F7" s="289">
        <f>+'Péréquation directe'!K14</f>
        <v>-36462.997144334979</v>
      </c>
      <c r="G7" s="299">
        <f>PCS!I14</f>
        <v>173992.69162321239</v>
      </c>
      <c r="H7" s="315">
        <f>'Facture policière'!L8</f>
        <v>40045.170545501736</v>
      </c>
      <c r="I7" s="411">
        <f t="shared" si="0"/>
        <v>177574.86502437916</v>
      </c>
      <c r="J7" s="178"/>
    </row>
    <row r="8" spans="1:10" s="86" customFormat="1" x14ac:dyDescent="0.25">
      <c r="A8" s="364">
        <f>Données!A9</f>
        <v>5404</v>
      </c>
      <c r="B8" s="368" t="str">
        <f>Données!B9</f>
        <v>Corbeyrier</v>
      </c>
      <c r="C8" s="366">
        <f>VPI!Q9</f>
        <v>74</v>
      </c>
      <c r="D8" s="371">
        <f>Données!Z9</f>
        <v>440</v>
      </c>
      <c r="E8" s="176">
        <f>VPI!R9</f>
        <v>11663.247882882884</v>
      </c>
      <c r="F8" s="289">
        <f>+'Péréquation directe'!K15</f>
        <v>-238069.55534936098</v>
      </c>
      <c r="G8" s="299">
        <f>PCS!I15</f>
        <v>240535.76915741409</v>
      </c>
      <c r="H8" s="315">
        <f>'Facture policière'!L9</f>
        <v>34621.927088954239</v>
      </c>
      <c r="I8" s="411">
        <f t="shared" si="0"/>
        <v>37088.140897007353</v>
      </c>
      <c r="J8" s="178"/>
    </row>
    <row r="9" spans="1:10" s="86" customFormat="1" x14ac:dyDescent="0.25">
      <c r="A9" s="364">
        <f>Données!A10</f>
        <v>5405</v>
      </c>
      <c r="B9" s="368" t="str">
        <f>Données!B10</f>
        <v>Gryon</v>
      </c>
      <c r="C9" s="366">
        <f>VPI!Q10</f>
        <v>73.5</v>
      </c>
      <c r="D9" s="371">
        <f>Données!Z10</f>
        <v>1389</v>
      </c>
      <c r="E9" s="176">
        <f>VPI!R10</f>
        <v>73286.214467120197</v>
      </c>
      <c r="F9" s="289">
        <f>+'Péréquation directe'!K16</f>
        <v>528498.58596026234</v>
      </c>
      <c r="G9" s="299">
        <f>PCS!I16</f>
        <v>1535310.4041543696</v>
      </c>
      <c r="H9" s="315">
        <f>'Facture policière'!L10</f>
        <v>210047.08918060263</v>
      </c>
      <c r="I9" s="411">
        <f t="shared" si="0"/>
        <v>2273856.0792952348</v>
      </c>
      <c r="J9" s="178"/>
    </row>
    <row r="10" spans="1:10" s="86" customFormat="1" x14ac:dyDescent="0.25">
      <c r="A10" s="364">
        <f>Données!A11</f>
        <v>5406</v>
      </c>
      <c r="B10" s="368" t="str">
        <f>Données!B11</f>
        <v>Lavey-Morcles</v>
      </c>
      <c r="C10" s="366">
        <f>VPI!Q11</f>
        <v>71.5</v>
      </c>
      <c r="D10" s="371">
        <f>Données!Z11</f>
        <v>979</v>
      </c>
      <c r="E10" s="176">
        <f>VPI!R11</f>
        <v>22111.529381387842</v>
      </c>
      <c r="F10" s="289">
        <f>+'Péréquation directe'!K17</f>
        <v>-392332.51635554369</v>
      </c>
      <c r="G10" s="299">
        <f>PCS!I17</f>
        <v>425114.13967169868</v>
      </c>
      <c r="H10" s="315">
        <f>'Facture policière'!L11</f>
        <v>65639.421731506271</v>
      </c>
      <c r="I10" s="411">
        <f t="shared" si="0"/>
        <v>98421.04504766126</v>
      </c>
      <c r="J10" s="178"/>
    </row>
    <row r="11" spans="1:10" s="86" customFormat="1" x14ac:dyDescent="0.25">
      <c r="A11" s="364">
        <f>Données!A12</f>
        <v>5407</v>
      </c>
      <c r="B11" s="368" t="str">
        <f>Données!B12</f>
        <v>Leysin</v>
      </c>
      <c r="C11" s="366">
        <f>VPI!Q12</f>
        <v>78</v>
      </c>
      <c r="D11" s="371">
        <f>Données!Z12</f>
        <v>3743</v>
      </c>
      <c r="E11" s="176">
        <f>VPI!R12</f>
        <v>89841.412521367529</v>
      </c>
      <c r="F11" s="289">
        <f>+'Péréquation directe'!K18</f>
        <v>-3338026.4207566697</v>
      </c>
      <c r="G11" s="299">
        <f>PCS!I18</f>
        <v>1522986.9843077064</v>
      </c>
      <c r="H11" s="315">
        <f>'Facture policière'!L12</f>
        <v>262011.77527139941</v>
      </c>
      <c r="I11" s="411">
        <f t="shared" si="0"/>
        <v>-1553027.6611775639</v>
      </c>
      <c r="J11" s="178"/>
    </row>
    <row r="12" spans="1:10" s="86" customFormat="1" x14ac:dyDescent="0.25">
      <c r="A12" s="364">
        <f>Données!A13</f>
        <v>5408</v>
      </c>
      <c r="B12" s="368" t="str">
        <f>Données!B13</f>
        <v>Noville</v>
      </c>
      <c r="C12" s="366">
        <f>VPI!Q13</f>
        <v>75</v>
      </c>
      <c r="D12" s="371">
        <f>Données!Z13</f>
        <v>1169</v>
      </c>
      <c r="E12" s="176">
        <f>VPI!R13</f>
        <v>41973.380088888902</v>
      </c>
      <c r="F12" s="289">
        <f>+'Péréquation directe'!K19</f>
        <v>153295.23592709063</v>
      </c>
      <c r="G12" s="299">
        <f>PCS!I19</f>
        <v>617276.54535752395</v>
      </c>
      <c r="H12" s="315">
        <f>'Facture policière'!L13</f>
        <v>123674.21238842589</v>
      </c>
      <c r="I12" s="411">
        <f t="shared" si="0"/>
        <v>894245.99367304053</v>
      </c>
      <c r="J12" s="178"/>
    </row>
    <row r="13" spans="1:10" s="86" customFormat="1" x14ac:dyDescent="0.25">
      <c r="A13" s="364">
        <f>Données!A14</f>
        <v>5409</v>
      </c>
      <c r="B13" s="368" t="str">
        <f>Données!B14</f>
        <v>Ollon</v>
      </c>
      <c r="C13" s="366">
        <f>VPI!Q14</f>
        <v>68</v>
      </c>
      <c r="D13" s="371">
        <f>Données!Z14</f>
        <v>7967</v>
      </c>
      <c r="E13" s="176">
        <f>VPI!R14</f>
        <v>405938.29721719451</v>
      </c>
      <c r="F13" s="289">
        <f>+'Péréquation directe'!K20</f>
        <v>515583.27536512446</v>
      </c>
      <c r="G13" s="299">
        <f>PCS!I20</f>
        <v>7446317.0916192839</v>
      </c>
      <c r="H13" s="315">
        <f>'Facture policière'!L14</f>
        <v>479148.32907219307</v>
      </c>
      <c r="I13" s="411">
        <f t="shared" si="0"/>
        <v>8441048.6960566007</v>
      </c>
      <c r="J13" s="178"/>
    </row>
    <row r="14" spans="1:10" s="86" customFormat="1" x14ac:dyDescent="0.25">
      <c r="A14" s="364">
        <f>Données!A15</f>
        <v>5410</v>
      </c>
      <c r="B14" s="368" t="str">
        <f>Données!B15</f>
        <v>Ormont-Dessous</v>
      </c>
      <c r="C14" s="366">
        <f>VPI!Q15</f>
        <v>77</v>
      </c>
      <c r="D14" s="371">
        <f>Données!Z15</f>
        <v>1178</v>
      </c>
      <c r="E14" s="176">
        <f>VPI!R15</f>
        <v>38413.35632034632</v>
      </c>
      <c r="F14" s="289">
        <f>+'Péréquation directe'!K21</f>
        <v>-808258.19522980775</v>
      </c>
      <c r="G14" s="299">
        <f>PCS!I21</f>
        <v>706492.9247840778</v>
      </c>
      <c r="H14" s="315">
        <f>'Facture policière'!L15</f>
        <v>111529.34396952885</v>
      </c>
      <c r="I14" s="411">
        <f t="shared" si="0"/>
        <v>9764.0735237988993</v>
      </c>
      <c r="J14" s="178"/>
    </row>
    <row r="15" spans="1:10" s="86" customFormat="1" x14ac:dyDescent="0.25">
      <c r="A15" s="364">
        <f>Données!A16</f>
        <v>5411</v>
      </c>
      <c r="B15" s="368" t="str">
        <f>Données!B16</f>
        <v>Ormont-Dessus</v>
      </c>
      <c r="C15" s="366">
        <f>VPI!Q16</f>
        <v>76</v>
      </c>
      <c r="D15" s="371">
        <f>Données!Z16</f>
        <v>1425</v>
      </c>
      <c r="E15" s="176">
        <f>VPI!R16</f>
        <v>76161.465657894747</v>
      </c>
      <c r="F15" s="289">
        <f>+'Péréquation directe'!K22</f>
        <v>482628.25140864961</v>
      </c>
      <c r="G15" s="299">
        <f>PCS!I22</f>
        <v>1596577.8782807316</v>
      </c>
      <c r="H15" s="315">
        <f>'Facture policière'!L16</f>
        <v>217170.73883122223</v>
      </c>
      <c r="I15" s="411">
        <f t="shared" si="0"/>
        <v>2296376.8685206035</v>
      </c>
      <c r="J15" s="178"/>
    </row>
    <row r="16" spans="1:10" s="86" customFormat="1" x14ac:dyDescent="0.25">
      <c r="A16" s="364">
        <f>Données!A17</f>
        <v>5412</v>
      </c>
      <c r="B16" s="368" t="str">
        <f>Données!B17</f>
        <v>Rennaz</v>
      </c>
      <c r="C16" s="366">
        <f>VPI!Q17</f>
        <v>69</v>
      </c>
      <c r="D16" s="371">
        <f>Données!Z17</f>
        <v>929</v>
      </c>
      <c r="E16" s="176">
        <f>VPI!R17</f>
        <v>32240.440579710143</v>
      </c>
      <c r="F16" s="289">
        <f>+'Péréquation directe'!K23</f>
        <v>193114.95847834478</v>
      </c>
      <c r="G16" s="299">
        <f>PCS!I23</f>
        <v>802516.30880416324</v>
      </c>
      <c r="H16" s="315">
        <f>'Facture policière'!L17</f>
        <v>92742.098942955112</v>
      </c>
      <c r="I16" s="411">
        <f t="shared" si="0"/>
        <v>1088373.3662254631</v>
      </c>
      <c r="J16" s="178"/>
    </row>
    <row r="17" spans="1:10" s="86" customFormat="1" x14ac:dyDescent="0.25">
      <c r="A17" s="364">
        <f>Données!A18</f>
        <v>5413</v>
      </c>
      <c r="B17" s="368" t="str">
        <f>Données!B18</f>
        <v>Roche</v>
      </c>
      <c r="C17" s="366">
        <f>VPI!Q18</f>
        <v>68</v>
      </c>
      <c r="D17" s="371">
        <f>Données!Z18</f>
        <v>1940</v>
      </c>
      <c r="E17" s="176">
        <f>VPI!R18</f>
        <v>42596.643504901964</v>
      </c>
      <c r="F17" s="289">
        <f>+'Péréquation directe'!K24</f>
        <v>-701645.11124588258</v>
      </c>
      <c r="G17" s="299">
        <f>PCS!I24</f>
        <v>901579.89774244768</v>
      </c>
      <c r="H17" s="315">
        <f>'Facture policière'!L18</f>
        <v>125679.58481231765</v>
      </c>
      <c r="I17" s="411">
        <f t="shared" si="0"/>
        <v>325614.37130888272</v>
      </c>
      <c r="J17" s="178"/>
    </row>
    <row r="18" spans="1:10" s="86" customFormat="1" x14ac:dyDescent="0.25">
      <c r="A18" s="364">
        <f>Données!A19</f>
        <v>5414</v>
      </c>
      <c r="B18" s="368" t="str">
        <f>Données!B19</f>
        <v>Villeneuve</v>
      </c>
      <c r="C18" s="366">
        <f>VPI!Q19</f>
        <v>67.5</v>
      </c>
      <c r="D18" s="371">
        <f>Données!Z19</f>
        <v>5979</v>
      </c>
      <c r="E18" s="176">
        <f>VPI!R19</f>
        <v>165881.46711111109</v>
      </c>
      <c r="F18" s="289">
        <f>+'Péréquation directe'!K25</f>
        <v>-3490780.5307264929</v>
      </c>
      <c r="G18" s="299">
        <f>PCS!I25</f>
        <v>2993195.5224559736</v>
      </c>
      <c r="H18" s="315">
        <f>'Facture policière'!L19</f>
        <v>483288.8760845369</v>
      </c>
      <c r="I18" s="411">
        <f t="shared" si="0"/>
        <v>-14296.132185982424</v>
      </c>
      <c r="J18" s="178"/>
    </row>
    <row r="19" spans="1:10" s="86" customFormat="1" x14ac:dyDescent="0.25">
      <c r="A19" s="364">
        <f>Données!A20</f>
        <v>5415</v>
      </c>
      <c r="B19" s="368" t="str">
        <f>Données!B20</f>
        <v>Yvorne</v>
      </c>
      <c r="C19" s="366">
        <f>VPI!Q20</f>
        <v>71.5</v>
      </c>
      <c r="D19" s="371">
        <f>Données!Z20</f>
        <v>1088</v>
      </c>
      <c r="E19" s="176">
        <f>VPI!R20</f>
        <v>33675.515990675995</v>
      </c>
      <c r="F19" s="289">
        <f>+'Péréquation directe'!K26</f>
        <v>-270376.14313879178</v>
      </c>
      <c r="G19" s="299">
        <f>PCS!I26</f>
        <v>587301.43987718318</v>
      </c>
      <c r="H19" s="315">
        <f>'Facture policière'!L20</f>
        <v>100372.65815496855</v>
      </c>
      <c r="I19" s="411">
        <f t="shared" si="0"/>
        <v>417297.95489335991</v>
      </c>
      <c r="J19" s="178"/>
    </row>
    <row r="20" spans="1:10" s="86" customFormat="1" x14ac:dyDescent="0.25">
      <c r="A20" s="364">
        <f>Données!A21</f>
        <v>5422</v>
      </c>
      <c r="B20" s="368" t="str">
        <f>Données!B21</f>
        <v>Aubonne</v>
      </c>
      <c r="C20" s="366">
        <f>VPI!Q21</f>
        <v>70</v>
      </c>
      <c r="D20" s="371">
        <f>Données!Z21</f>
        <v>3792</v>
      </c>
      <c r="E20" s="176">
        <f>VPI!R21</f>
        <v>297608.37742857152</v>
      </c>
      <c r="F20" s="289">
        <f>+'Péréquation directe'!K27</f>
        <v>4429513.0490948735</v>
      </c>
      <c r="G20" s="299">
        <f>PCS!I27</f>
        <v>7272490.7245665211</v>
      </c>
      <c r="H20" s="315">
        <f>'Facture policière'!L21</f>
        <v>689963.45116472535</v>
      </c>
      <c r="I20" s="411">
        <f t="shared" si="0"/>
        <v>12391967.22482612</v>
      </c>
      <c r="J20" s="178"/>
    </row>
    <row r="21" spans="1:10" s="86" customFormat="1" x14ac:dyDescent="0.25">
      <c r="A21" s="364">
        <f>Données!A22</f>
        <v>5423</v>
      </c>
      <c r="B21" s="368" t="str">
        <f>Données!B22</f>
        <v>Ballens</v>
      </c>
      <c r="C21" s="366">
        <f>VPI!Q22</f>
        <v>73</v>
      </c>
      <c r="D21" s="371">
        <f>Données!Z22</f>
        <v>590</v>
      </c>
      <c r="E21" s="176">
        <f>VPI!R22</f>
        <v>17345.890547945211</v>
      </c>
      <c r="F21" s="289">
        <f>+'Péréquation directe'!K28</f>
        <v>-58461.920488439093</v>
      </c>
      <c r="G21" s="299">
        <f>PCS!I28</f>
        <v>315788.69352364331</v>
      </c>
      <c r="H21" s="315">
        <f>'Facture policière'!L22</f>
        <v>52809.977904053761</v>
      </c>
      <c r="I21" s="411">
        <f t="shared" si="0"/>
        <v>310136.75093925797</v>
      </c>
      <c r="J21" s="178"/>
    </row>
    <row r="22" spans="1:10" s="86" customFormat="1" x14ac:dyDescent="0.25">
      <c r="A22" s="364">
        <f>Données!A23</f>
        <v>5424</v>
      </c>
      <c r="B22" s="368" t="str">
        <f>Données!B23</f>
        <v>Berolle</v>
      </c>
      <c r="C22" s="366">
        <f>VPI!Q23</f>
        <v>75.5</v>
      </c>
      <c r="D22" s="371">
        <f>Données!Z23</f>
        <v>303</v>
      </c>
      <c r="E22" s="176">
        <f>VPI!R23</f>
        <v>10263.254304635762</v>
      </c>
      <c r="F22" s="289">
        <f>+'Péréquation directe'!K29</f>
        <v>-28036.285085107404</v>
      </c>
      <c r="G22" s="299">
        <f>PCS!I29</f>
        <v>158191.37978080864</v>
      </c>
      <c r="H22" s="315">
        <f>'Facture policière'!L23</f>
        <v>31203.53825275839</v>
      </c>
      <c r="I22" s="411">
        <f t="shared" si="0"/>
        <v>161358.63294845962</v>
      </c>
      <c r="J22" s="178"/>
    </row>
    <row r="23" spans="1:10" s="86" customFormat="1" x14ac:dyDescent="0.25">
      <c r="A23" s="364">
        <f>Données!A24</f>
        <v>5425</v>
      </c>
      <c r="B23" s="368" t="str">
        <f>Données!B24</f>
        <v>Bière</v>
      </c>
      <c r="C23" s="366">
        <f>VPI!Q24</f>
        <v>69</v>
      </c>
      <c r="D23" s="371">
        <f>Données!Z24</f>
        <v>1683</v>
      </c>
      <c r="E23" s="176">
        <f>VPI!R24</f>
        <v>42247.955252373817</v>
      </c>
      <c r="F23" s="289">
        <f>+'Péréquation directe'!K30</f>
        <v>-856925.99905267241</v>
      </c>
      <c r="G23" s="299">
        <f>PCS!I30</f>
        <v>610823.95713769866</v>
      </c>
      <c r="H23" s="315">
        <f>'Facture policière'!L24</f>
        <v>127420.9816540466</v>
      </c>
      <c r="I23" s="411">
        <f t="shared" si="0"/>
        <v>-118681.06026092716</v>
      </c>
      <c r="J23" s="178"/>
    </row>
    <row r="24" spans="1:10" s="86" customFormat="1" x14ac:dyDescent="0.25">
      <c r="A24" s="364">
        <f>Données!A25</f>
        <v>5426</v>
      </c>
      <c r="B24" s="368" t="str">
        <f>Données!B25</f>
        <v>Bougy-Villars</v>
      </c>
      <c r="C24" s="366">
        <f>VPI!Q25</f>
        <v>64.5</v>
      </c>
      <c r="D24" s="371">
        <f>Données!Z25</f>
        <v>506</v>
      </c>
      <c r="E24" s="176">
        <f>VPI!R25</f>
        <v>61945.082222222212</v>
      </c>
      <c r="F24" s="289">
        <f>+'Péréquation directe'!K31</f>
        <v>1119009.8239862702</v>
      </c>
      <c r="G24" s="299">
        <f>PCS!I31</f>
        <v>2018877.4392351438</v>
      </c>
      <c r="H24" s="315">
        <f>'Facture policière'!L25</f>
        <v>118310.07258474577</v>
      </c>
      <c r="I24" s="411">
        <f t="shared" si="0"/>
        <v>3256197.3358061598</v>
      </c>
      <c r="J24" s="178"/>
    </row>
    <row r="25" spans="1:10" s="86" customFormat="1" x14ac:dyDescent="0.25">
      <c r="A25" s="364">
        <f>Données!A26</f>
        <v>5427</v>
      </c>
      <c r="B25" s="368" t="str">
        <f>Données!B26</f>
        <v>Féchy</v>
      </c>
      <c r="C25" s="366">
        <f>VPI!Q26</f>
        <v>64</v>
      </c>
      <c r="D25" s="371">
        <f>Données!Z26</f>
        <v>887</v>
      </c>
      <c r="E25" s="176">
        <f>VPI!R26</f>
        <v>86922.106418269221</v>
      </c>
      <c r="F25" s="289">
        <f>+'Péréquation directe'!K32</f>
        <v>1547374.4533583317</v>
      </c>
      <c r="G25" s="299">
        <f>PCS!I32</f>
        <v>2219798.2356851725</v>
      </c>
      <c r="H25" s="315">
        <f>'Facture policière'!L26</f>
        <v>181820.62127516302</v>
      </c>
      <c r="I25" s="411">
        <f t="shared" si="0"/>
        <v>3948993.3103186674</v>
      </c>
      <c r="J25" s="178"/>
    </row>
    <row r="26" spans="1:10" s="86" customFormat="1" x14ac:dyDescent="0.25">
      <c r="A26" s="364">
        <f>Données!A27</f>
        <v>5428</v>
      </c>
      <c r="B26" s="368" t="str">
        <f>Données!B27</f>
        <v>Gimel</v>
      </c>
      <c r="C26" s="366">
        <f>VPI!Q27</f>
        <v>74.5</v>
      </c>
      <c r="D26" s="371">
        <f>Données!Z27</f>
        <v>2414</v>
      </c>
      <c r="E26" s="176">
        <f>VPI!R27</f>
        <v>71357.587986577171</v>
      </c>
      <c r="F26" s="289">
        <f>+'Péréquation directe'!K33</f>
        <v>-825846.04622509633</v>
      </c>
      <c r="G26" s="299">
        <f>PCS!I33</f>
        <v>1279640.5178234885</v>
      </c>
      <c r="H26" s="315">
        <f>'Facture policière'!L27</f>
        <v>214839.37662014135</v>
      </c>
      <c r="I26" s="411">
        <f t="shared" si="0"/>
        <v>668633.84821853344</v>
      </c>
      <c r="J26" s="178"/>
    </row>
    <row r="27" spans="1:10" s="86" customFormat="1" x14ac:dyDescent="0.25">
      <c r="A27" s="364">
        <f>Données!A28</f>
        <v>5429</v>
      </c>
      <c r="B27" s="368" t="str">
        <f>Données!B28</f>
        <v>Longirod</v>
      </c>
      <c r="C27" s="366">
        <f>VPI!Q28</f>
        <v>77.5</v>
      </c>
      <c r="D27" s="371">
        <f>Données!Z28</f>
        <v>541</v>
      </c>
      <c r="E27" s="176">
        <f>VPI!R28</f>
        <v>17142.381290322584</v>
      </c>
      <c r="F27" s="289">
        <f>+'Péréquation directe'!K34</f>
        <v>-27258.776158765599</v>
      </c>
      <c r="G27" s="299">
        <f>PCS!I34</f>
        <v>260546.41801000343</v>
      </c>
      <c r="H27" s="315">
        <f>'Facture policière'!L28</f>
        <v>51615.723607097243</v>
      </c>
      <c r="I27" s="411">
        <f t="shared" si="0"/>
        <v>284903.36545833509</v>
      </c>
      <c r="J27" s="178"/>
    </row>
    <row r="28" spans="1:10" s="86" customFormat="1" x14ac:dyDescent="0.25">
      <c r="A28" s="364">
        <f>Données!A29</f>
        <v>5430</v>
      </c>
      <c r="B28" s="368" t="str">
        <f>Données!B29</f>
        <v>Marchissy</v>
      </c>
      <c r="C28" s="366">
        <f>VPI!Q29</f>
        <v>77.5</v>
      </c>
      <c r="D28" s="371">
        <f>Données!Z29</f>
        <v>499</v>
      </c>
      <c r="E28" s="176">
        <f>VPI!R29</f>
        <v>17121.715483870968</v>
      </c>
      <c r="F28" s="289">
        <f>+'Péréquation directe'!K35</f>
        <v>33725.757964252785</v>
      </c>
      <c r="G28" s="299">
        <f>PCS!I35</f>
        <v>260224.15623492547</v>
      </c>
      <c r="H28" s="315">
        <f>'Facture policière'!L29</f>
        <v>52036.18238321197</v>
      </c>
      <c r="I28" s="411">
        <f t="shared" si="0"/>
        <v>345986.09658239019</v>
      </c>
      <c r="J28" s="178"/>
    </row>
    <row r="29" spans="1:10" s="86" customFormat="1" x14ac:dyDescent="0.25">
      <c r="A29" s="364">
        <f>Données!A30</f>
        <v>5431</v>
      </c>
      <c r="B29" s="368" t="str">
        <f>Données!B30</f>
        <v>Mollens</v>
      </c>
      <c r="C29" s="366">
        <f>VPI!Q30</f>
        <v>74</v>
      </c>
      <c r="D29" s="371">
        <f>Données!Z30</f>
        <v>324</v>
      </c>
      <c r="E29" s="176">
        <f>VPI!R30</f>
        <v>9475.049594594595</v>
      </c>
      <c r="F29" s="289">
        <f>+'Péréquation directe'!K36</f>
        <v>-54209.975910479319</v>
      </c>
      <c r="G29" s="299">
        <f>PCS!I36</f>
        <v>139559.23317234806</v>
      </c>
      <c r="H29" s="315">
        <f>'Facture policière'!L30</f>
        <v>28639.954739106968</v>
      </c>
      <c r="I29" s="411">
        <f t="shared" si="0"/>
        <v>113989.21200097571</v>
      </c>
      <c r="J29" s="178"/>
    </row>
    <row r="30" spans="1:10" s="86" customFormat="1" x14ac:dyDescent="0.25">
      <c r="A30" s="364">
        <f>Données!A31</f>
        <v>5434</v>
      </c>
      <c r="B30" s="368" t="str">
        <f>Données!B31</f>
        <v>Saint-George</v>
      </c>
      <c r="C30" s="366">
        <f>VPI!Q31</f>
        <v>69.5</v>
      </c>
      <c r="D30" s="371">
        <f>Données!Z31</f>
        <v>1069</v>
      </c>
      <c r="E30" s="176">
        <f>VPI!R31</f>
        <v>40910.448657074339</v>
      </c>
      <c r="F30" s="289">
        <f>+'Péréquation directe'!K37</f>
        <v>260779.5226964333</v>
      </c>
      <c r="G30" s="299">
        <f>PCS!I37</f>
        <v>816574.48017714056</v>
      </c>
      <c r="H30" s="315">
        <f>'Facture policière'!L31</f>
        <v>122894.99765090464</v>
      </c>
      <c r="I30" s="411">
        <f t="shared" si="0"/>
        <v>1200249.0005244785</v>
      </c>
      <c r="J30" s="178"/>
    </row>
    <row r="31" spans="1:10" s="86" customFormat="1" x14ac:dyDescent="0.25">
      <c r="A31" s="364">
        <f>Données!A32</f>
        <v>5435</v>
      </c>
      <c r="B31" s="368" t="str">
        <f>Données!B32</f>
        <v>Saint-Livres</v>
      </c>
      <c r="C31" s="366">
        <f>VPI!Q32</f>
        <v>69</v>
      </c>
      <c r="D31" s="371">
        <f>Données!Z32</f>
        <v>697</v>
      </c>
      <c r="E31" s="176">
        <f>VPI!R32</f>
        <v>25462.29188405797</v>
      </c>
      <c r="F31" s="289">
        <f>+'Péréquation directe'!K38</f>
        <v>204686.80282298895</v>
      </c>
      <c r="G31" s="299">
        <f>PCS!I38</f>
        <v>477612.73565737664</v>
      </c>
      <c r="H31" s="315">
        <f>'Facture policière'!L32</f>
        <v>77096.709145322224</v>
      </c>
      <c r="I31" s="411">
        <f t="shared" si="0"/>
        <v>759396.24762568786</v>
      </c>
      <c r="J31" s="178"/>
    </row>
    <row r="32" spans="1:10" s="86" customFormat="1" x14ac:dyDescent="0.25">
      <c r="A32" s="364">
        <f>Données!A33</f>
        <v>5436</v>
      </c>
      <c r="B32" s="368" t="str">
        <f>Données!B33</f>
        <v>Saint-Oyens</v>
      </c>
      <c r="C32" s="366">
        <f>VPI!Q33</f>
        <v>79</v>
      </c>
      <c r="D32" s="371">
        <f>Données!Z33</f>
        <v>456</v>
      </c>
      <c r="E32" s="176">
        <f>VPI!R33</f>
        <v>16425.371772151899</v>
      </c>
      <c r="F32" s="289">
        <f>+'Péréquation directe'!K39</f>
        <v>113580.89014091139</v>
      </c>
      <c r="G32" s="299">
        <f>PCS!I39</f>
        <v>213487.47982057135</v>
      </c>
      <c r="H32" s="315">
        <f>'Facture policière'!L33</f>
        <v>49903.722192573841</v>
      </c>
      <c r="I32" s="411">
        <f t="shared" si="0"/>
        <v>376972.09215405653</v>
      </c>
      <c r="J32" s="178"/>
    </row>
    <row r="33" spans="1:10" s="86" customFormat="1" x14ac:dyDescent="0.25">
      <c r="A33" s="364">
        <f>Données!A34</f>
        <v>5437</v>
      </c>
      <c r="B33" s="368" t="str">
        <f>Données!B34</f>
        <v>Saubraz</v>
      </c>
      <c r="C33" s="366">
        <f>VPI!Q34</f>
        <v>80</v>
      </c>
      <c r="D33" s="371">
        <f>Données!Z34</f>
        <v>449</v>
      </c>
      <c r="E33" s="176">
        <f>VPI!R34</f>
        <v>12127.91725</v>
      </c>
      <c r="F33" s="289">
        <f>+'Péréquation directe'!K40</f>
        <v>-76160.457523883262</v>
      </c>
      <c r="G33" s="299">
        <f>PCS!I40</f>
        <v>226080.57537081285</v>
      </c>
      <c r="H33" s="315">
        <f>'Facture policière'!L34</f>
        <v>36578.577290917376</v>
      </c>
      <c r="I33" s="411">
        <f t="shared" si="0"/>
        <v>186498.69513784695</v>
      </c>
      <c r="J33" s="178"/>
    </row>
    <row r="34" spans="1:10" s="86" customFormat="1" x14ac:dyDescent="0.25">
      <c r="A34" s="364">
        <f>Données!A35</f>
        <v>5451</v>
      </c>
      <c r="B34" s="368" t="str">
        <f>Données!B35</f>
        <v>Avenches</v>
      </c>
      <c r="C34" s="366">
        <f>VPI!Q35</f>
        <v>66.5</v>
      </c>
      <c r="D34" s="371">
        <f>Données!Z35</f>
        <v>4696</v>
      </c>
      <c r="E34" s="176">
        <f>VPI!R35</f>
        <v>142633.11649122802</v>
      </c>
      <c r="F34" s="289">
        <f>+'Péréquation directe'!K41</f>
        <v>-1753559.6650853595</v>
      </c>
      <c r="G34" s="299">
        <f>PCS!I41</f>
        <v>2264397.3716949322</v>
      </c>
      <c r="H34" s="315">
        <f>'Facture policière'!L35</f>
        <v>419657.55386178941</v>
      </c>
      <c r="I34" s="411">
        <f t="shared" si="0"/>
        <v>930495.26047136215</v>
      </c>
      <c r="J34" s="178"/>
    </row>
    <row r="35" spans="1:10" s="86" customFormat="1" x14ac:dyDescent="0.25">
      <c r="A35" s="364">
        <f>Données!A36</f>
        <v>5456</v>
      </c>
      <c r="B35" s="368" t="str">
        <f>Données!B36</f>
        <v>Cudrefin</v>
      </c>
      <c r="C35" s="366">
        <f>VPI!Q36</f>
        <v>59</v>
      </c>
      <c r="D35" s="371">
        <f>Données!Z36</f>
        <v>1876</v>
      </c>
      <c r="E35" s="176">
        <f>VPI!R36</f>
        <v>64060.385932203382</v>
      </c>
      <c r="F35" s="289">
        <f>+'Péréquation directe'!K42</f>
        <v>252124.63860216131</v>
      </c>
      <c r="G35" s="299">
        <f>PCS!I42</f>
        <v>1070500.8817223082</v>
      </c>
      <c r="H35" s="315">
        <f>'Facture policière'!L36</f>
        <v>190872.21700134751</v>
      </c>
      <c r="I35" s="411">
        <f t="shared" si="0"/>
        <v>1513497.7373258171</v>
      </c>
      <c r="J35" s="178"/>
    </row>
    <row r="36" spans="1:10" s="86" customFormat="1" x14ac:dyDescent="0.25">
      <c r="A36" s="364">
        <f>Données!A37</f>
        <v>5458</v>
      </c>
      <c r="B36" s="368" t="str">
        <f>Données!B37</f>
        <v>Faoug</v>
      </c>
      <c r="C36" s="366">
        <f>VPI!Q37</f>
        <v>65</v>
      </c>
      <c r="D36" s="371">
        <f>Données!Z37</f>
        <v>903</v>
      </c>
      <c r="E36" s="176">
        <f>VPI!R37</f>
        <v>32630.920512820507</v>
      </c>
      <c r="F36" s="289">
        <f>+'Péréquation directe'!K43</f>
        <v>207983.91681839951</v>
      </c>
      <c r="G36" s="299">
        <f>PCS!I43</f>
        <v>461556.59620107181</v>
      </c>
      <c r="H36" s="315">
        <f>'Facture policière'!L37</f>
        <v>97425.005308687832</v>
      </c>
      <c r="I36" s="411">
        <f t="shared" si="0"/>
        <v>766965.51832815912</v>
      </c>
      <c r="J36" s="178"/>
    </row>
    <row r="37" spans="1:10" s="86" customFormat="1" x14ac:dyDescent="0.25">
      <c r="A37" s="364">
        <f>Données!A38</f>
        <v>5464</v>
      </c>
      <c r="B37" s="368" t="str">
        <f>Données!B38</f>
        <v>Vully-les-Lacs</v>
      </c>
      <c r="C37" s="366">
        <f>VPI!Q38</f>
        <v>67</v>
      </c>
      <c r="D37" s="371">
        <f>Données!Z38</f>
        <v>3540</v>
      </c>
      <c r="E37" s="176">
        <f>VPI!R38</f>
        <v>117933.44731343284</v>
      </c>
      <c r="F37" s="289">
        <f>+'Péréquation directe'!K44</f>
        <v>-228282.77518532751</v>
      </c>
      <c r="G37" s="299">
        <f>PCS!I44</f>
        <v>1893190.605268161</v>
      </c>
      <c r="H37" s="315">
        <f>'Facture policière'!L38</f>
        <v>352481.47053752118</v>
      </c>
      <c r="I37" s="411">
        <f t="shared" si="0"/>
        <v>2017389.3006203547</v>
      </c>
      <c r="J37" s="178"/>
    </row>
    <row r="38" spans="1:10" s="86" customFormat="1" x14ac:dyDescent="0.25">
      <c r="A38" s="364">
        <f>Données!A39</f>
        <v>5471</v>
      </c>
      <c r="B38" s="368" t="str">
        <f>Données!B39</f>
        <v>Bettens</v>
      </c>
      <c r="C38" s="366">
        <f>VPI!Q39</f>
        <v>70</v>
      </c>
      <c r="D38" s="371">
        <f>Données!Z39</f>
        <v>650</v>
      </c>
      <c r="E38" s="176">
        <f>VPI!R39</f>
        <v>22692.287412698413</v>
      </c>
      <c r="F38" s="289">
        <f>+'Péréquation directe'!K45</f>
        <v>177368.79181331088</v>
      </c>
      <c r="G38" s="299">
        <f>PCS!I45</f>
        <v>302833.66525397124</v>
      </c>
      <c r="H38" s="315">
        <f>'Facture policière'!L39</f>
        <v>68129.002612394775</v>
      </c>
      <c r="I38" s="411">
        <f t="shared" si="0"/>
        <v>548331.45967967692</v>
      </c>
      <c r="J38" s="178"/>
    </row>
    <row r="39" spans="1:10" s="86" customFormat="1" x14ac:dyDescent="0.25">
      <c r="A39" s="364">
        <f>Données!A40</f>
        <v>5472</v>
      </c>
      <c r="B39" s="368" t="str">
        <f>Données!B40</f>
        <v>Bournens</v>
      </c>
      <c r="C39" s="366">
        <f>VPI!Q40</f>
        <v>68</v>
      </c>
      <c r="D39" s="371">
        <f>Données!Z40</f>
        <v>514</v>
      </c>
      <c r="E39" s="176">
        <f>VPI!R40</f>
        <v>19974.836617647059</v>
      </c>
      <c r="F39" s="289">
        <f>+'Péréquation directe'!K46</f>
        <v>216610.39366620663</v>
      </c>
      <c r="G39" s="299">
        <f>PCS!I46</f>
        <v>304342.31467891659</v>
      </c>
      <c r="H39" s="315">
        <f>'Facture policière'!L40</f>
        <v>60102.547439201153</v>
      </c>
      <c r="I39" s="411">
        <f t="shared" si="0"/>
        <v>581055.25578432437</v>
      </c>
      <c r="J39" s="178"/>
    </row>
    <row r="40" spans="1:10" s="86" customFormat="1" x14ac:dyDescent="0.25">
      <c r="A40" s="364">
        <f>Données!A41</f>
        <v>5473</v>
      </c>
      <c r="B40" s="368" t="str">
        <f>Données!B41</f>
        <v>Boussens</v>
      </c>
      <c r="C40" s="366">
        <f>VPI!Q41</f>
        <v>66</v>
      </c>
      <c r="D40" s="371">
        <f>Données!Z41</f>
        <v>1009</v>
      </c>
      <c r="E40" s="176">
        <f>VPI!R41</f>
        <v>40043.184999999998</v>
      </c>
      <c r="F40" s="289">
        <f>+'Péréquation directe'!K47</f>
        <v>478972.41755284963</v>
      </c>
      <c r="G40" s="299">
        <f>PCS!I47</f>
        <v>577543.50837195164</v>
      </c>
      <c r="H40" s="315">
        <f>'Facture policière'!L41</f>
        <v>121215.0582608461</v>
      </c>
      <c r="I40" s="411">
        <f t="shared" si="0"/>
        <v>1177730.9841856475</v>
      </c>
      <c r="J40" s="178"/>
    </row>
    <row r="41" spans="1:10" s="86" customFormat="1" x14ac:dyDescent="0.25">
      <c r="A41" s="364">
        <f>Données!A42</f>
        <v>5474</v>
      </c>
      <c r="B41" s="368" t="str">
        <f>Données!B42</f>
        <v>La Chaux (Cossonay)</v>
      </c>
      <c r="C41" s="366">
        <f>VPI!Q42</f>
        <v>76</v>
      </c>
      <c r="D41" s="371">
        <f>Données!Z42</f>
        <v>412</v>
      </c>
      <c r="E41" s="176">
        <f>VPI!R42</f>
        <v>13862.516425438596</v>
      </c>
      <c r="F41" s="289">
        <f>+'Péréquation directe'!K48</f>
        <v>-103761.34005007584</v>
      </c>
      <c r="G41" s="299">
        <f>PCS!I48</f>
        <v>206984.17170465228</v>
      </c>
      <c r="H41" s="315">
        <f>'Facture policière'!L42</f>
        <v>42124.425739710554</v>
      </c>
      <c r="I41" s="411">
        <f t="shared" si="0"/>
        <v>145347.25739428698</v>
      </c>
      <c r="J41" s="178"/>
    </row>
    <row r="42" spans="1:10" s="86" customFormat="1" x14ac:dyDescent="0.25">
      <c r="A42" s="364">
        <f>Données!A43</f>
        <v>5475</v>
      </c>
      <c r="B42" s="368" t="str">
        <f>Données!B43</f>
        <v>Chavannes-le-Veyron</v>
      </c>
      <c r="C42" s="366">
        <f>VPI!Q43</f>
        <v>75</v>
      </c>
      <c r="D42" s="371">
        <f>Données!Z43</f>
        <v>163</v>
      </c>
      <c r="E42" s="176">
        <f>VPI!R43</f>
        <v>4297.2048000000004</v>
      </c>
      <c r="F42" s="289">
        <f>+'Péréquation directe'!K49</f>
        <v>-69742.229199838344</v>
      </c>
      <c r="G42" s="299">
        <f>PCS!I49</f>
        <v>61204.693312124866</v>
      </c>
      <c r="H42" s="315">
        <f>'Facture policière'!L43</f>
        <v>12983.264001131589</v>
      </c>
      <c r="I42" s="411">
        <f t="shared" si="0"/>
        <v>4445.7281134181103</v>
      </c>
      <c r="J42" s="178"/>
    </row>
    <row r="43" spans="1:10" s="86" customFormat="1" x14ac:dyDescent="0.25">
      <c r="A43" s="364">
        <f>Données!A44</f>
        <v>5476</v>
      </c>
      <c r="B43" s="368" t="str">
        <f>Données!B44</f>
        <v>Chevilly</v>
      </c>
      <c r="C43" s="366">
        <f>VPI!Q44</f>
        <v>72.5</v>
      </c>
      <c r="D43" s="371">
        <f>Données!Z44</f>
        <v>331</v>
      </c>
      <c r="E43" s="176">
        <f>VPI!R44</f>
        <v>13558.452965517243</v>
      </c>
      <c r="F43" s="289">
        <f>+'Péréquation directe'!K50</f>
        <v>164297.84052798708</v>
      </c>
      <c r="G43" s="299">
        <f>PCS!I50</f>
        <v>187246.00491418425</v>
      </c>
      <c r="H43" s="315">
        <f>'Facture policière'!L44</f>
        <v>41403.689663425641</v>
      </c>
      <c r="I43" s="411">
        <f t="shared" si="0"/>
        <v>392947.53510559699</v>
      </c>
      <c r="J43" s="178"/>
    </row>
    <row r="44" spans="1:10" s="86" customFormat="1" x14ac:dyDescent="0.25">
      <c r="A44" s="364">
        <f>Données!A45</f>
        <v>5477</v>
      </c>
      <c r="B44" s="368" t="str">
        <f>Données!B45</f>
        <v>Cossonay</v>
      </c>
      <c r="C44" s="366">
        <f>VPI!Q45</f>
        <v>68</v>
      </c>
      <c r="D44" s="371">
        <f>Données!Z45</f>
        <v>4389</v>
      </c>
      <c r="E44" s="176">
        <f>VPI!R45</f>
        <v>151490.5288235294</v>
      </c>
      <c r="F44" s="289">
        <f>+'Péréquation directe'!K51</f>
        <v>-742518.96993497107</v>
      </c>
      <c r="G44" s="299">
        <f>PCS!I51</f>
        <v>2533147.9994064709</v>
      </c>
      <c r="H44" s="315">
        <f>'Facture policière'!L45</f>
        <v>458169.32311925705</v>
      </c>
      <c r="I44" s="411">
        <f t="shared" si="0"/>
        <v>2248798.352590757</v>
      </c>
      <c r="J44" s="178"/>
    </row>
    <row r="45" spans="1:10" s="86" customFormat="1" x14ac:dyDescent="0.25">
      <c r="A45" s="364">
        <f>Données!A46</f>
        <v>5479</v>
      </c>
      <c r="B45" s="368" t="str">
        <f>Données!B46</f>
        <v>Cuarnens</v>
      </c>
      <c r="C45" s="366">
        <f>VPI!Q46</f>
        <v>77</v>
      </c>
      <c r="D45" s="371">
        <f>Données!Z46</f>
        <v>545</v>
      </c>
      <c r="E45" s="176">
        <f>VPI!R46</f>
        <v>14331.337792207793</v>
      </c>
      <c r="F45" s="289">
        <f>+'Péréquation directe'!K52</f>
        <v>-327895.43626853736</v>
      </c>
      <c r="G45" s="299">
        <f>PCS!I52</f>
        <v>225069.46488139313</v>
      </c>
      <c r="H45" s="315">
        <f>'Facture policière'!L46</f>
        <v>43033.039557178345</v>
      </c>
      <c r="I45" s="411">
        <f t="shared" si="0"/>
        <v>-59792.931829965892</v>
      </c>
      <c r="J45" s="178"/>
    </row>
    <row r="46" spans="1:10" s="86" customFormat="1" x14ac:dyDescent="0.25">
      <c r="A46" s="364">
        <f>Données!A47</f>
        <v>5480</v>
      </c>
      <c r="B46" s="368" t="str">
        <f>Données!B47</f>
        <v>Daillens</v>
      </c>
      <c r="C46" s="366">
        <f>VPI!Q47</f>
        <v>66</v>
      </c>
      <c r="D46" s="371">
        <f>Données!Z47</f>
        <v>1057</v>
      </c>
      <c r="E46" s="176">
        <f>VPI!R47</f>
        <v>42720.265505050505</v>
      </c>
      <c r="F46" s="289">
        <f>+'Péréquation directe'!K53</f>
        <v>421267.67996582092</v>
      </c>
      <c r="G46" s="299">
        <f>PCS!I53</f>
        <v>938506.98702492844</v>
      </c>
      <c r="H46" s="315">
        <f>'Facture policière'!L47</f>
        <v>125425.51615676843</v>
      </c>
      <c r="I46" s="411">
        <f t="shared" si="0"/>
        <v>1485200.1831475177</v>
      </c>
      <c r="J46" s="178"/>
    </row>
    <row r="47" spans="1:10" s="86" customFormat="1" x14ac:dyDescent="0.25">
      <c r="A47" s="364">
        <f>Données!A48</f>
        <v>5481</v>
      </c>
      <c r="B47" s="368" t="str">
        <f>Données!B48</f>
        <v>Dizy</v>
      </c>
      <c r="C47" s="366">
        <f>VPI!Q48</f>
        <v>75</v>
      </c>
      <c r="D47" s="371">
        <f>Données!Z48</f>
        <v>232</v>
      </c>
      <c r="E47" s="176">
        <f>VPI!R48</f>
        <v>8552.7156000000014</v>
      </c>
      <c r="F47" s="289">
        <f>+'Péréquation directe'!K54</f>
        <v>41221.577738635184</v>
      </c>
      <c r="G47" s="299">
        <f>PCS!I54</f>
        <v>121189.963544122</v>
      </c>
      <c r="H47" s="315">
        <f>'Facture policière'!L48</f>
        <v>26156.178585915703</v>
      </c>
      <c r="I47" s="411">
        <f t="shared" si="0"/>
        <v>188567.7198686729</v>
      </c>
      <c r="J47" s="178"/>
    </row>
    <row r="48" spans="1:10" s="86" customFormat="1" x14ac:dyDescent="0.25">
      <c r="A48" s="364">
        <f>Données!A49</f>
        <v>5482</v>
      </c>
      <c r="B48" s="368" t="str">
        <f>Données!B49</f>
        <v>Eclépens</v>
      </c>
      <c r="C48" s="366">
        <f>VPI!Q49</f>
        <v>46</v>
      </c>
      <c r="D48" s="371">
        <f>Données!Z49</f>
        <v>1199</v>
      </c>
      <c r="E48" s="176">
        <f>VPI!R49</f>
        <v>48314.544130434791</v>
      </c>
      <c r="F48" s="289">
        <f>+'Péréquation directe'!K55</f>
        <v>496075.54888181371</v>
      </c>
      <c r="G48" s="299">
        <f>PCS!I55</f>
        <v>783253.62201551977</v>
      </c>
      <c r="H48" s="315">
        <f>'Facture policière'!L49</f>
        <v>133536.37897602061</v>
      </c>
      <c r="I48" s="411">
        <f t="shared" si="0"/>
        <v>1412865.5498733539</v>
      </c>
      <c r="J48" s="178"/>
    </row>
    <row r="49" spans="1:10" s="86" customFormat="1" x14ac:dyDescent="0.25">
      <c r="A49" s="364">
        <f>Données!A50</f>
        <v>5483</v>
      </c>
      <c r="B49" s="368" t="str">
        <f>Données!B50</f>
        <v>Ferreyres</v>
      </c>
      <c r="C49" s="366">
        <f>VPI!Q50</f>
        <v>76</v>
      </c>
      <c r="D49" s="371">
        <f>Données!Z50</f>
        <v>308</v>
      </c>
      <c r="E49" s="176">
        <f>VPI!R50</f>
        <v>10284.283289473684</v>
      </c>
      <c r="F49" s="289">
        <f>+'Péréquation directe'!K56</f>
        <v>49204.61391029309</v>
      </c>
      <c r="G49" s="299">
        <f>PCS!I56</f>
        <v>125614.25031032145</v>
      </c>
      <c r="H49" s="315">
        <f>'Facture policière'!L50</f>
        <v>31122.441280779109</v>
      </c>
      <c r="I49" s="411">
        <f t="shared" si="0"/>
        <v>205941.30550139365</v>
      </c>
      <c r="J49" s="178"/>
    </row>
    <row r="50" spans="1:10" s="86" customFormat="1" x14ac:dyDescent="0.25">
      <c r="A50" s="364">
        <f>Données!A51</f>
        <v>5484</v>
      </c>
      <c r="B50" s="368" t="str">
        <f>Données!B51</f>
        <v>Gollion</v>
      </c>
      <c r="C50" s="366">
        <f>VPI!Q51</f>
        <v>74</v>
      </c>
      <c r="D50" s="371">
        <f>Données!Z51</f>
        <v>1033</v>
      </c>
      <c r="E50" s="176">
        <f>VPI!R51</f>
        <v>32601.670945945945</v>
      </c>
      <c r="F50" s="289">
        <f>+'Péréquation directe'!K57</f>
        <v>-179091.08145839116</v>
      </c>
      <c r="G50" s="299">
        <f>PCS!I57</f>
        <v>490996.63418222137</v>
      </c>
      <c r="H50" s="315">
        <f>'Facture policière'!L51</f>
        <v>98195.758155359392</v>
      </c>
      <c r="I50" s="411">
        <f t="shared" si="0"/>
        <v>410101.31087918964</v>
      </c>
      <c r="J50" s="178"/>
    </row>
    <row r="51" spans="1:10" s="86" customFormat="1" x14ac:dyDescent="0.25">
      <c r="A51" s="364">
        <f>Données!A52</f>
        <v>5485</v>
      </c>
      <c r="B51" s="368" t="str">
        <f>Données!B52</f>
        <v>Grancy</v>
      </c>
      <c r="C51" s="366">
        <f>VPI!Q52</f>
        <v>70</v>
      </c>
      <c r="D51" s="371">
        <f>Données!Z52</f>
        <v>489</v>
      </c>
      <c r="E51" s="176">
        <f>VPI!R52</f>
        <v>18961.380428571429</v>
      </c>
      <c r="F51" s="289">
        <f>+'Péréquation directe'!K58</f>
        <v>132439.34754883166</v>
      </c>
      <c r="G51" s="299">
        <f>PCS!I58</f>
        <v>262022.1474672365</v>
      </c>
      <c r="H51" s="315">
        <f>'Facture policière'!L52</f>
        <v>57693.956622067679</v>
      </c>
      <c r="I51" s="411">
        <f t="shared" si="0"/>
        <v>452155.45163813583</v>
      </c>
      <c r="J51" s="178"/>
    </row>
    <row r="52" spans="1:10" s="86" customFormat="1" x14ac:dyDescent="0.25">
      <c r="A52" s="364">
        <f>Données!A53</f>
        <v>5486</v>
      </c>
      <c r="B52" s="368" t="str">
        <f>Données!B53</f>
        <v>L'Isle</v>
      </c>
      <c r="C52" s="366">
        <f>VPI!Q53</f>
        <v>75</v>
      </c>
      <c r="D52" s="371">
        <f>Données!Z53</f>
        <v>1095</v>
      </c>
      <c r="E52" s="176">
        <f>VPI!R53</f>
        <v>34756.215466666676</v>
      </c>
      <c r="F52" s="289">
        <f>+'Péréquation directe'!K59</f>
        <v>-266591.00997618679</v>
      </c>
      <c r="G52" s="299">
        <f>PCS!I59</f>
        <v>586571.81614979624</v>
      </c>
      <c r="H52" s="315">
        <f>'Facture policière'!L53</f>
        <v>104794.0680396728</v>
      </c>
      <c r="I52" s="411">
        <f t="shared" si="0"/>
        <v>424774.87421328225</v>
      </c>
      <c r="J52" s="178"/>
    </row>
    <row r="53" spans="1:10" s="86" customFormat="1" x14ac:dyDescent="0.25">
      <c r="A53" s="364">
        <f>Données!A54</f>
        <v>5487</v>
      </c>
      <c r="B53" s="368" t="str">
        <f>Données!B54</f>
        <v>Lussery-Villars</v>
      </c>
      <c r="C53" s="366">
        <f>VPI!Q54</f>
        <v>75</v>
      </c>
      <c r="D53" s="371">
        <f>Données!Z54</f>
        <v>482</v>
      </c>
      <c r="E53" s="176">
        <f>VPI!R54</f>
        <v>12042.619866666666</v>
      </c>
      <c r="F53" s="289">
        <f>+'Péréquation directe'!K60</f>
        <v>-91041.553204401687</v>
      </c>
      <c r="G53" s="299">
        <f>PCS!I60</f>
        <v>182538.8705617495</v>
      </c>
      <c r="H53" s="315">
        <f>'Facture policière'!L54</f>
        <v>36069.088872026558</v>
      </c>
      <c r="I53" s="411">
        <f t="shared" si="0"/>
        <v>127566.40622937438</v>
      </c>
      <c r="J53" s="178"/>
    </row>
    <row r="54" spans="1:10" s="86" customFormat="1" x14ac:dyDescent="0.25">
      <c r="A54" s="364">
        <f>Données!A55</f>
        <v>5488</v>
      </c>
      <c r="B54" s="368" t="str">
        <f>Données!B55</f>
        <v>Mauraz</v>
      </c>
      <c r="C54" s="366">
        <f>VPI!Q55</f>
        <v>77</v>
      </c>
      <c r="D54" s="371">
        <f>Données!Z55</f>
        <v>65</v>
      </c>
      <c r="E54" s="176">
        <f>VPI!R55</f>
        <v>2131.6062337662343</v>
      </c>
      <c r="F54" s="289">
        <f>+'Péréquation directe'!K61</f>
        <v>8219.7945115385228</v>
      </c>
      <c r="G54" s="299">
        <f>PCS!I61</f>
        <v>44276.488736039071</v>
      </c>
      <c r="H54" s="315">
        <f>'Facture policière'!L55</f>
        <v>6545.8203778810575</v>
      </c>
      <c r="I54" s="411">
        <f t="shared" si="0"/>
        <v>59042.103625458651</v>
      </c>
      <c r="J54" s="178"/>
    </row>
    <row r="55" spans="1:10" s="86" customFormat="1" x14ac:dyDescent="0.25">
      <c r="A55" s="364">
        <f>Données!A56</f>
        <v>5489</v>
      </c>
      <c r="B55" s="368" t="str">
        <f>Données!B56</f>
        <v>Mex</v>
      </c>
      <c r="C55" s="366">
        <f>VPI!Q56</f>
        <v>59.5</v>
      </c>
      <c r="D55" s="371">
        <f>Données!Z56</f>
        <v>817</v>
      </c>
      <c r="E55" s="176">
        <f>VPI!R56</f>
        <v>60740.368067226897</v>
      </c>
      <c r="F55" s="289">
        <f>+'Péréquation directe'!K62</f>
        <v>1055851.007064004</v>
      </c>
      <c r="G55" s="299">
        <f>PCS!I62</f>
        <v>1270556.7724773674</v>
      </c>
      <c r="H55" s="315">
        <f>'Facture policière'!L56</f>
        <v>144665.02420415246</v>
      </c>
      <c r="I55" s="411">
        <f t="shared" si="0"/>
        <v>2471072.803745524</v>
      </c>
      <c r="J55" s="178"/>
    </row>
    <row r="56" spans="1:10" s="86" customFormat="1" x14ac:dyDescent="0.25">
      <c r="A56" s="364">
        <f>Données!A57</f>
        <v>5490</v>
      </c>
      <c r="B56" s="368" t="str">
        <f>Données!B57</f>
        <v>Moiry</v>
      </c>
      <c r="C56" s="366">
        <f>VPI!Q57</f>
        <v>77</v>
      </c>
      <c r="D56" s="371">
        <f>Données!Z57</f>
        <v>296</v>
      </c>
      <c r="E56" s="176">
        <f>VPI!R57</f>
        <v>8460.9523376623383</v>
      </c>
      <c r="F56" s="289">
        <f>+'Péréquation directe'!K63</f>
        <v>-53370.580342694419</v>
      </c>
      <c r="G56" s="299">
        <f>PCS!I63</f>
        <v>108565.95770789906</v>
      </c>
      <c r="H56" s="315">
        <f>'Facture policière'!L57</f>
        <v>25663.15978409638</v>
      </c>
      <c r="I56" s="411">
        <f t="shared" si="0"/>
        <v>80858.537149301017</v>
      </c>
      <c r="J56" s="178"/>
    </row>
    <row r="57" spans="1:10" s="86" customFormat="1" x14ac:dyDescent="0.25">
      <c r="A57" s="364">
        <f>Données!A58</f>
        <v>5491</v>
      </c>
      <c r="B57" s="368" t="str">
        <f>Données!B58</f>
        <v>Mont-la-Ville</v>
      </c>
      <c r="C57" s="366">
        <f>VPI!Q58</f>
        <v>76</v>
      </c>
      <c r="D57" s="371">
        <f>Données!Z58</f>
        <v>502</v>
      </c>
      <c r="E57" s="176">
        <f>VPI!R58</f>
        <v>13842.217236842105</v>
      </c>
      <c r="F57" s="289">
        <f>+'Péréquation directe'!K64</f>
        <v>-729530.63276302139</v>
      </c>
      <c r="G57" s="299">
        <f>PCS!I64</f>
        <v>230311.26377963967</v>
      </c>
      <c r="H57" s="315">
        <f>'Facture policière'!L58</f>
        <v>41492.956955247842</v>
      </c>
      <c r="I57" s="411">
        <f t="shared" si="0"/>
        <v>-457726.41202813387</v>
      </c>
      <c r="J57" s="178"/>
    </row>
    <row r="58" spans="1:10" s="86" customFormat="1" x14ac:dyDescent="0.25">
      <c r="A58" s="364">
        <f>Données!A59</f>
        <v>5492</v>
      </c>
      <c r="B58" s="368" t="str">
        <f>Données!B59</f>
        <v>Montricher</v>
      </c>
      <c r="C58" s="366">
        <f>VPI!Q59</f>
        <v>64</v>
      </c>
      <c r="D58" s="371">
        <f>Données!Z59</f>
        <v>978</v>
      </c>
      <c r="E58" s="176">
        <f>VPI!R59</f>
        <v>149907.58062499994</v>
      </c>
      <c r="F58" s="289">
        <f>+'Péréquation directe'!K65</f>
        <v>2634429.677926694</v>
      </c>
      <c r="G58" s="299">
        <f>PCS!I65</f>
        <v>4679742.1270733038</v>
      </c>
      <c r="H58" s="315">
        <f>'Facture policière'!L59</f>
        <v>264293.03558704851</v>
      </c>
      <c r="I58" s="411">
        <f t="shared" si="0"/>
        <v>7578464.840587046</v>
      </c>
      <c r="J58" s="178"/>
    </row>
    <row r="59" spans="1:10" s="86" customFormat="1" x14ac:dyDescent="0.25">
      <c r="A59" s="364">
        <f>Données!A60</f>
        <v>5493</v>
      </c>
      <c r="B59" s="368" t="str">
        <f>Données!B60</f>
        <v>Orny</v>
      </c>
      <c r="C59" s="366">
        <f>VPI!Q60</f>
        <v>73</v>
      </c>
      <c r="D59" s="371">
        <f>Données!Z60</f>
        <v>484</v>
      </c>
      <c r="E59" s="176">
        <f>VPI!R60</f>
        <v>14635.830579557431</v>
      </c>
      <c r="F59" s="289">
        <f>+'Péréquation directe'!K66</f>
        <v>-42414.773472337285</v>
      </c>
      <c r="G59" s="299">
        <f>PCS!I66</f>
        <v>225876.14155918942</v>
      </c>
      <c r="H59" s="315">
        <f>'Facture policière'!L60</f>
        <v>44259.028731781757</v>
      </c>
      <c r="I59" s="411">
        <f t="shared" si="0"/>
        <v>227720.39681863389</v>
      </c>
      <c r="J59" s="178"/>
    </row>
    <row r="60" spans="1:10" s="86" customFormat="1" x14ac:dyDescent="0.25">
      <c r="A60" s="364">
        <f>Données!A61</f>
        <v>5495</v>
      </c>
      <c r="B60" s="368" t="str">
        <f>Données!B61</f>
        <v>Penthalaz</v>
      </c>
      <c r="C60" s="366">
        <f>VPI!Q61</f>
        <v>74</v>
      </c>
      <c r="D60" s="371">
        <f>Données!Z61</f>
        <v>3214</v>
      </c>
      <c r="E60" s="176">
        <f>VPI!R61</f>
        <v>103056.57202702702</v>
      </c>
      <c r="F60" s="289">
        <f>+'Péréquation directe'!K67</f>
        <v>-748374.13777526445</v>
      </c>
      <c r="G60" s="299">
        <f>PCS!I67</f>
        <v>2305497.9934482956</v>
      </c>
      <c r="H60" s="315">
        <f>'Facture policière'!L61</f>
        <v>311778.67478837917</v>
      </c>
      <c r="I60" s="411">
        <f t="shared" si="0"/>
        <v>1868902.5304614103</v>
      </c>
      <c r="J60" s="178"/>
    </row>
    <row r="61" spans="1:10" s="86" customFormat="1" x14ac:dyDescent="0.25">
      <c r="A61" s="364">
        <f>Données!A62</f>
        <v>5496</v>
      </c>
      <c r="B61" s="368" t="str">
        <f>Données!B62</f>
        <v>Penthaz</v>
      </c>
      <c r="C61" s="366">
        <f>VPI!Q62</f>
        <v>69.5</v>
      </c>
      <c r="D61" s="371">
        <f>Données!Z62</f>
        <v>1923</v>
      </c>
      <c r="E61" s="176">
        <f>VPI!R62</f>
        <v>61651.518705035967</v>
      </c>
      <c r="F61" s="289">
        <f>+'Péréquation directe'!K68</f>
        <v>-53751.100168649107</v>
      </c>
      <c r="G61" s="299">
        <f>PCS!I68</f>
        <v>876628.90112612233</v>
      </c>
      <c r="H61" s="315">
        <f>'Facture policière'!L62</f>
        <v>184727.94675897513</v>
      </c>
      <c r="I61" s="411">
        <f t="shared" si="0"/>
        <v>1007605.7477164484</v>
      </c>
      <c r="J61" s="178"/>
    </row>
    <row r="62" spans="1:10" s="86" customFormat="1" x14ac:dyDescent="0.25">
      <c r="A62" s="364">
        <f>Données!A63</f>
        <v>5497</v>
      </c>
      <c r="B62" s="368" t="str">
        <f>Données!B63</f>
        <v>Pompaples</v>
      </c>
      <c r="C62" s="366">
        <f>VPI!Q63</f>
        <v>66</v>
      </c>
      <c r="D62" s="371">
        <f>Données!Z63</f>
        <v>860</v>
      </c>
      <c r="E62" s="176">
        <f>VPI!R63</f>
        <v>22949.830606060608</v>
      </c>
      <c r="F62" s="289">
        <f>+'Péréquation directe'!K69</f>
        <v>-129660.37476374081</v>
      </c>
      <c r="G62" s="299">
        <f>PCS!I69</f>
        <v>372840.77173005091</v>
      </c>
      <c r="H62" s="315">
        <f>'Facture policière'!L63</f>
        <v>68652.08304635431</v>
      </c>
      <c r="I62" s="411">
        <f t="shared" si="0"/>
        <v>311832.4800126644</v>
      </c>
      <c r="J62" s="178"/>
    </row>
    <row r="63" spans="1:10" s="86" customFormat="1" x14ac:dyDescent="0.25">
      <c r="A63" s="364">
        <f>Données!A64</f>
        <v>5498</v>
      </c>
      <c r="B63" s="368" t="str">
        <f>Données!B64</f>
        <v>La Sarraz</v>
      </c>
      <c r="C63" s="366">
        <f>VPI!Q64</f>
        <v>66</v>
      </c>
      <c r="D63" s="371">
        <f>Données!Z64</f>
        <v>2608</v>
      </c>
      <c r="E63" s="176">
        <f>VPI!R64</f>
        <v>73743.655606060609</v>
      </c>
      <c r="F63" s="289">
        <f>+'Péréquation directe'!K70</f>
        <v>-711465.2474537564</v>
      </c>
      <c r="G63" s="299">
        <f>PCS!I70</f>
        <v>1013425.7518426498</v>
      </c>
      <c r="H63" s="315">
        <f>'Facture policière'!L64</f>
        <v>221088.13706277098</v>
      </c>
      <c r="I63" s="411">
        <f t="shared" si="0"/>
        <v>523048.64145166439</v>
      </c>
      <c r="J63" s="178"/>
    </row>
    <row r="64" spans="1:10" s="86" customFormat="1" x14ac:dyDescent="0.25">
      <c r="A64" s="364">
        <f>Données!A65</f>
        <v>5499</v>
      </c>
      <c r="B64" s="368" t="str">
        <f>Données!B65</f>
        <v>Senarclens</v>
      </c>
      <c r="C64" s="366">
        <f>VPI!Q65</f>
        <v>68.5</v>
      </c>
      <c r="D64" s="371">
        <f>Données!Z65</f>
        <v>496</v>
      </c>
      <c r="E64" s="176">
        <f>VPI!R65</f>
        <v>20491.103065693427</v>
      </c>
      <c r="F64" s="289">
        <f>+'Péréquation directe'!K71</f>
        <v>228298.25085981388</v>
      </c>
      <c r="G64" s="299">
        <f>PCS!I71</f>
        <v>287770.56920372375</v>
      </c>
      <c r="H64" s="315">
        <f>'Facture policière'!L65</f>
        <v>62150.24970113048</v>
      </c>
      <c r="I64" s="411">
        <f t="shared" si="0"/>
        <v>578219.06976466812</v>
      </c>
      <c r="J64" s="178"/>
    </row>
    <row r="65" spans="1:10" s="86" customFormat="1" x14ac:dyDescent="0.25">
      <c r="A65" s="364">
        <f>Données!A66</f>
        <v>5501</v>
      </c>
      <c r="B65" s="368" t="str">
        <f>Données!B66</f>
        <v>Sullens</v>
      </c>
      <c r="C65" s="366">
        <f>VPI!Q66</f>
        <v>64</v>
      </c>
      <c r="D65" s="371">
        <f>Données!Z66</f>
        <v>1169</v>
      </c>
      <c r="E65" s="176">
        <f>VPI!R66</f>
        <v>53840.673124999994</v>
      </c>
      <c r="F65" s="289">
        <f>+'Péréquation directe'!K72</f>
        <v>793081.5163325984</v>
      </c>
      <c r="G65" s="299">
        <f>PCS!I72</f>
        <v>910770.81223513628</v>
      </c>
      <c r="H65" s="315">
        <f>'Facture policière'!L66</f>
        <v>163340.73509201774</v>
      </c>
      <c r="I65" s="411">
        <f t="shared" si="0"/>
        <v>1867193.0636597525</v>
      </c>
      <c r="J65" s="178"/>
    </row>
    <row r="66" spans="1:10" s="86" customFormat="1" x14ac:dyDescent="0.25">
      <c r="A66" s="364">
        <f>Données!A67</f>
        <v>5503</v>
      </c>
      <c r="B66" s="368" t="str">
        <f>Données!B67</f>
        <v>Vufflens-la-Ville</v>
      </c>
      <c r="C66" s="366">
        <f>VPI!Q67</f>
        <v>67</v>
      </c>
      <c r="D66" s="371">
        <f>Données!Z67</f>
        <v>1334</v>
      </c>
      <c r="E66" s="176">
        <f>VPI!R67</f>
        <v>75222.663980099518</v>
      </c>
      <c r="F66" s="289">
        <f>+'Péréquation directe'!K73</f>
        <v>1188455.745808674</v>
      </c>
      <c r="G66" s="299">
        <f>PCS!I73</f>
        <v>1159998.4498925649</v>
      </c>
      <c r="H66" s="315">
        <f>'Facture policière'!L67</f>
        <v>207934.97075481724</v>
      </c>
      <c r="I66" s="411">
        <f t="shared" si="0"/>
        <v>2556389.1664560558</v>
      </c>
      <c r="J66" s="178"/>
    </row>
    <row r="67" spans="1:10" s="86" customFormat="1" x14ac:dyDescent="0.25">
      <c r="A67" s="364">
        <f>Données!A68</f>
        <v>5511</v>
      </c>
      <c r="B67" s="368" t="str">
        <f>Données!B68</f>
        <v>Assens</v>
      </c>
      <c r="C67" s="366">
        <f>VPI!Q68</f>
        <v>70</v>
      </c>
      <c r="D67" s="371">
        <f>Données!Z68</f>
        <v>1669</v>
      </c>
      <c r="E67" s="176">
        <f>VPI!R68</f>
        <v>72835.778857142868</v>
      </c>
      <c r="F67" s="289">
        <f>+'Péréquation directe'!K74</f>
        <v>613379.19967920519</v>
      </c>
      <c r="G67" s="299">
        <f>PCS!I74</f>
        <v>1008430.4276513013</v>
      </c>
      <c r="H67" s="315">
        <f>'Facture policière'!L68</f>
        <v>219852.15061948547</v>
      </c>
      <c r="I67" s="411">
        <f t="shared" si="0"/>
        <v>1841661.7779499919</v>
      </c>
      <c r="J67" s="178"/>
    </row>
    <row r="68" spans="1:10" s="86" customFormat="1" x14ac:dyDescent="0.25">
      <c r="A68" s="364">
        <f>Données!A69</f>
        <v>5512</v>
      </c>
      <c r="B68" s="368" t="str">
        <f>Données!B69</f>
        <v>Bercher</v>
      </c>
      <c r="C68" s="366">
        <f>VPI!Q69</f>
        <v>79</v>
      </c>
      <c r="D68" s="371">
        <f>Données!Z69</f>
        <v>1359</v>
      </c>
      <c r="E68" s="176">
        <f>VPI!R69</f>
        <v>41198.7282278481</v>
      </c>
      <c r="F68" s="289">
        <f>+'Péréquation directe'!K75</f>
        <v>-330081.2194645725</v>
      </c>
      <c r="G68" s="299">
        <f>PCS!I75</f>
        <v>598008.50617571687</v>
      </c>
      <c r="H68" s="315">
        <f>'Facture policière'!L69</f>
        <v>123927.04193915239</v>
      </c>
      <c r="I68" s="411">
        <f t="shared" si="0"/>
        <v>391854.32865029678</v>
      </c>
      <c r="J68" s="178"/>
    </row>
    <row r="69" spans="1:10" s="86" customFormat="1" x14ac:dyDescent="0.25">
      <c r="A69" s="364">
        <f>Données!A70</f>
        <v>5514</v>
      </c>
      <c r="B69" s="368" t="str">
        <f>Données!B70</f>
        <v>Bottens</v>
      </c>
      <c r="C69" s="366">
        <f>VPI!Q70</f>
        <v>72.5</v>
      </c>
      <c r="D69" s="371">
        <f>Données!Z70</f>
        <v>1356</v>
      </c>
      <c r="E69" s="176">
        <f>VPI!R70</f>
        <v>45712.235586206894</v>
      </c>
      <c r="F69" s="289">
        <f>+'Péréquation directe'!K76</f>
        <v>153480.5286839871</v>
      </c>
      <c r="G69" s="299">
        <f>PCS!I76</f>
        <v>636017.36798923311</v>
      </c>
      <c r="H69" s="315">
        <f>'Facture policière'!L70</f>
        <v>138377.80948542818</v>
      </c>
      <c r="I69" s="411">
        <f t="shared" si="0"/>
        <v>927875.70615864836</v>
      </c>
      <c r="J69" s="178"/>
    </row>
    <row r="70" spans="1:10" s="86" customFormat="1" x14ac:dyDescent="0.25">
      <c r="A70" s="364">
        <f>Données!A71</f>
        <v>5515</v>
      </c>
      <c r="B70" s="368" t="str">
        <f>Données!B71</f>
        <v>Bretigny-sur-Morrens</v>
      </c>
      <c r="C70" s="366">
        <f>VPI!Q71</f>
        <v>78</v>
      </c>
      <c r="D70" s="371">
        <f>Données!Z71</f>
        <v>878</v>
      </c>
      <c r="E70" s="176">
        <f>VPI!R71</f>
        <v>29285.295897435899</v>
      </c>
      <c r="F70" s="289">
        <f>+'Péréquation directe'!K77</f>
        <v>80049.27266996156</v>
      </c>
      <c r="G70" s="299">
        <f>PCS!I77</f>
        <v>389290.47517032834</v>
      </c>
      <c r="H70" s="315">
        <f>'Facture policière'!L71</f>
        <v>87754.366579981608</v>
      </c>
      <c r="I70" s="411">
        <f t="shared" ref="I70:I133" si="1">SUM(F70:H70)</f>
        <v>557094.11442027148</v>
      </c>
      <c r="J70" s="178"/>
    </row>
    <row r="71" spans="1:10" s="86" customFormat="1" x14ac:dyDescent="0.25">
      <c r="A71" s="364">
        <f>Données!A72</f>
        <v>5516</v>
      </c>
      <c r="B71" s="368" t="str">
        <f>Données!B72</f>
        <v>Cugy</v>
      </c>
      <c r="C71" s="366">
        <f>VPI!Q72</f>
        <v>76</v>
      </c>
      <c r="D71" s="371">
        <f>Données!Z72</f>
        <v>2697</v>
      </c>
      <c r="E71" s="176">
        <f>VPI!R72</f>
        <v>110290.24758771928</v>
      </c>
      <c r="F71" s="289">
        <f>+'Péréquation directe'!K78</f>
        <v>704347.77950779418</v>
      </c>
      <c r="G71" s="299">
        <f>PCS!I78</f>
        <v>1594496.0290301892</v>
      </c>
      <c r="H71" s="315">
        <f>'Facture policière'!L72</f>
        <v>333695.98702068208</v>
      </c>
      <c r="I71" s="411">
        <f t="shared" si="1"/>
        <v>2632539.7955586654</v>
      </c>
      <c r="J71" s="178"/>
    </row>
    <row r="72" spans="1:10" s="86" customFormat="1" x14ac:dyDescent="0.25">
      <c r="A72" s="364">
        <f>Données!A73</f>
        <v>5518</v>
      </c>
      <c r="B72" s="368" t="str">
        <f>Données!B73</f>
        <v>Echallens</v>
      </c>
      <c r="C72" s="366">
        <f>VPI!Q73</f>
        <v>72.5</v>
      </c>
      <c r="D72" s="371">
        <f>Données!Z73</f>
        <v>5816</v>
      </c>
      <c r="E72" s="176">
        <f>VPI!R73</f>
        <v>193282.28662068967</v>
      </c>
      <c r="F72" s="289">
        <f>+'Péréquation directe'!K79</f>
        <v>-1997159.8928641235</v>
      </c>
      <c r="G72" s="299">
        <f>PCS!I79</f>
        <v>2875049.4016996911</v>
      </c>
      <c r="H72" s="315">
        <f>'Facture policière'!L73</f>
        <v>581168.63680024759</v>
      </c>
      <c r="I72" s="411">
        <f t="shared" si="1"/>
        <v>1459058.1456358153</v>
      </c>
      <c r="J72" s="178"/>
    </row>
    <row r="73" spans="1:10" s="86" customFormat="1" x14ac:dyDescent="0.25">
      <c r="A73" s="364">
        <f>Données!A74</f>
        <v>5520</v>
      </c>
      <c r="B73" s="368" t="str">
        <f>Données!B74</f>
        <v>Essertines-sur-Yverdon</v>
      </c>
      <c r="C73" s="366">
        <f>VPI!Q74</f>
        <v>74</v>
      </c>
      <c r="D73" s="371">
        <f>Données!Z74</f>
        <v>1081</v>
      </c>
      <c r="E73" s="176">
        <f>VPI!R74</f>
        <v>31422.035945945943</v>
      </c>
      <c r="F73" s="289">
        <f>+'Péréquation directe'!K80</f>
        <v>-410967.33767465793</v>
      </c>
      <c r="G73" s="299">
        <f>PCS!I80</f>
        <v>496698.70138562011</v>
      </c>
      <c r="H73" s="315">
        <f>'Facture policière'!L74</f>
        <v>94384.373579703853</v>
      </c>
      <c r="I73" s="411">
        <f t="shared" si="1"/>
        <v>180115.73729066603</v>
      </c>
      <c r="J73" s="178"/>
    </row>
    <row r="74" spans="1:10" s="86" customFormat="1" x14ac:dyDescent="0.25">
      <c r="A74" s="364">
        <f>Données!A75</f>
        <v>5521</v>
      </c>
      <c r="B74" s="368" t="str">
        <f>Données!B75</f>
        <v>Etagnières</v>
      </c>
      <c r="C74" s="366">
        <f>VPI!Q75</f>
        <v>73</v>
      </c>
      <c r="D74" s="371">
        <f>Données!Z75</f>
        <v>1154</v>
      </c>
      <c r="E74" s="176">
        <f>VPI!R75</f>
        <v>47189.665890410972</v>
      </c>
      <c r="F74" s="289">
        <f>+'Péréquation directe'!K81</f>
        <v>465811.36510049977</v>
      </c>
      <c r="G74" s="299">
        <f>PCS!I81</f>
        <v>920449.98650966631</v>
      </c>
      <c r="H74" s="315">
        <f>'Facture policière'!L75</f>
        <v>141904.49806016288</v>
      </c>
      <c r="I74" s="411">
        <f t="shared" si="1"/>
        <v>1528165.8496703289</v>
      </c>
      <c r="J74" s="178"/>
    </row>
    <row r="75" spans="1:10" s="86" customFormat="1" x14ac:dyDescent="0.25">
      <c r="A75" s="364">
        <f>Données!A76</f>
        <v>5522</v>
      </c>
      <c r="B75" s="368" t="str">
        <f>Données!B76</f>
        <v>Fey</v>
      </c>
      <c r="C75" s="366">
        <f>VPI!Q76</f>
        <v>75</v>
      </c>
      <c r="D75" s="371">
        <f>Données!Z76</f>
        <v>736</v>
      </c>
      <c r="E75" s="176">
        <f>VPI!R76</f>
        <v>24172.463733333334</v>
      </c>
      <c r="F75" s="289">
        <f>+'Péréquation directe'!K82</f>
        <v>-20153.984118662018</v>
      </c>
      <c r="G75" s="299">
        <f>PCS!I82</f>
        <v>355424.96547906729</v>
      </c>
      <c r="H75" s="315">
        <f>'Facture policière'!L76</f>
        <v>72928.283057131543</v>
      </c>
      <c r="I75" s="411">
        <f t="shared" si="1"/>
        <v>408199.26441753679</v>
      </c>
      <c r="J75" s="178"/>
    </row>
    <row r="76" spans="1:10" s="86" customFormat="1" x14ac:dyDescent="0.25">
      <c r="A76" s="364">
        <f>Données!A77</f>
        <v>5523</v>
      </c>
      <c r="B76" s="368" t="str">
        <f>Données!B77</f>
        <v>Froideville</v>
      </c>
      <c r="C76" s="366">
        <f>VPI!Q77</f>
        <v>72</v>
      </c>
      <c r="D76" s="371">
        <f>Données!Z77</f>
        <v>2720</v>
      </c>
      <c r="E76" s="176">
        <f>VPI!R77</f>
        <v>92224.237222222204</v>
      </c>
      <c r="F76" s="289">
        <f>+'Péréquation directe'!K83</f>
        <v>89751.734088246245</v>
      </c>
      <c r="G76" s="299">
        <f>PCS!I83</f>
        <v>1437669.2789815536</v>
      </c>
      <c r="H76" s="315">
        <f>'Facture policière'!L77</f>
        <v>277057.97372665419</v>
      </c>
      <c r="I76" s="411">
        <f t="shared" si="1"/>
        <v>1804478.9867964541</v>
      </c>
      <c r="J76" s="178"/>
    </row>
    <row r="77" spans="1:10" s="86" customFormat="1" x14ac:dyDescent="0.25">
      <c r="A77" s="364">
        <f>Données!A78</f>
        <v>5527</v>
      </c>
      <c r="B77" s="368" t="str">
        <f>Données!B78</f>
        <v>Morrens</v>
      </c>
      <c r="C77" s="366">
        <f>VPI!Q78</f>
        <v>74</v>
      </c>
      <c r="D77" s="371">
        <f>Données!Z78</f>
        <v>1172</v>
      </c>
      <c r="E77" s="176">
        <f>VPI!R78</f>
        <v>40722.505675675682</v>
      </c>
      <c r="F77" s="289">
        <f>+'Péréquation directe'!K84</f>
        <v>227538.24780335592</v>
      </c>
      <c r="G77" s="299">
        <f>PCS!I84</f>
        <v>617807.62863129948</v>
      </c>
      <c r="H77" s="315">
        <f>'Facture policière'!L78</f>
        <v>122594.32392013997</v>
      </c>
      <c r="I77" s="411">
        <f t="shared" si="1"/>
        <v>967940.20035479532</v>
      </c>
      <c r="J77" s="178"/>
    </row>
    <row r="78" spans="1:10" s="86" customFormat="1" x14ac:dyDescent="0.25">
      <c r="A78" s="364">
        <f>Données!A79</f>
        <v>5529</v>
      </c>
      <c r="B78" s="368" t="str">
        <f>Données!B79</f>
        <v>Oulens-sous-Echallens</v>
      </c>
      <c r="C78" s="366">
        <f>VPI!Q79</f>
        <v>71</v>
      </c>
      <c r="D78" s="371">
        <f>Données!Z79</f>
        <v>606</v>
      </c>
      <c r="E78" s="176">
        <f>VPI!R79</f>
        <v>22677.013380281693</v>
      </c>
      <c r="F78" s="289">
        <f>+'Péréquation directe'!K85</f>
        <v>127809.73608576483</v>
      </c>
      <c r="G78" s="299">
        <f>PCS!I85</f>
        <v>270462.433120284</v>
      </c>
      <c r="H78" s="315">
        <f>'Facture policière'!L79</f>
        <v>68213.946144809641</v>
      </c>
      <c r="I78" s="411">
        <f t="shared" si="1"/>
        <v>466486.11535085848</v>
      </c>
      <c r="J78" s="178"/>
    </row>
    <row r="79" spans="1:10" s="86" customFormat="1" x14ac:dyDescent="0.25">
      <c r="A79" s="364">
        <f>Données!A80</f>
        <v>5530</v>
      </c>
      <c r="B79" s="368" t="str">
        <f>Données!B80</f>
        <v>Pailly</v>
      </c>
      <c r="C79" s="366">
        <f>VPI!Q80</f>
        <v>76</v>
      </c>
      <c r="D79" s="371">
        <f>Données!Z80</f>
        <v>566</v>
      </c>
      <c r="E79" s="176">
        <f>VPI!R80</f>
        <v>20359.246820175435</v>
      </c>
      <c r="F79" s="289">
        <f>+'Péréquation directe'!K86</f>
        <v>72316.358543227019</v>
      </c>
      <c r="G79" s="299">
        <f>PCS!I86</f>
        <v>510113.32415151299</v>
      </c>
      <c r="H79" s="315">
        <f>'Facture policière'!L80</f>
        <v>61751.649047969564</v>
      </c>
      <c r="I79" s="411">
        <f t="shared" si="1"/>
        <v>644181.33174270962</v>
      </c>
      <c r="J79" s="178"/>
    </row>
    <row r="80" spans="1:10" s="86" customFormat="1" x14ac:dyDescent="0.25">
      <c r="A80" s="364">
        <f>Données!A81</f>
        <v>5531</v>
      </c>
      <c r="B80" s="368" t="str">
        <f>Données!B81</f>
        <v>Penthéréaz</v>
      </c>
      <c r="C80" s="366">
        <f>VPI!Q81</f>
        <v>74</v>
      </c>
      <c r="D80" s="371">
        <f>Données!Z81</f>
        <v>433</v>
      </c>
      <c r="E80" s="176">
        <f>VPI!R81</f>
        <v>17299.306216216217</v>
      </c>
      <c r="F80" s="289">
        <f>+'Péréquation directe'!K87</f>
        <v>145517.93144438305</v>
      </c>
      <c r="G80" s="299">
        <f>PCS!I87</f>
        <v>225487.68136911478</v>
      </c>
      <c r="H80" s="315">
        <f>'Facture policière'!L81</f>
        <v>52723.736842401944</v>
      </c>
      <c r="I80" s="411">
        <f t="shared" si="1"/>
        <v>423729.3496558998</v>
      </c>
      <c r="J80" s="178"/>
    </row>
    <row r="81" spans="1:10" s="86" customFormat="1" x14ac:dyDescent="0.25">
      <c r="A81" s="364">
        <f>Données!A82</f>
        <v>5533</v>
      </c>
      <c r="B81" s="368" t="str">
        <f>Données!B82</f>
        <v>Poliez-Pittet</v>
      </c>
      <c r="C81" s="366">
        <f>VPI!Q82</f>
        <v>73</v>
      </c>
      <c r="D81" s="371">
        <f>Données!Z82</f>
        <v>848</v>
      </c>
      <c r="E81" s="176">
        <f>VPI!R82</f>
        <v>28012.381095890411</v>
      </c>
      <c r="F81" s="289">
        <f>+'Péréquation directe'!K88</f>
        <v>71681.637562976393</v>
      </c>
      <c r="G81" s="299">
        <f>PCS!I88</f>
        <v>386102.29247168166</v>
      </c>
      <c r="H81" s="315">
        <f>'Facture policière'!L82</f>
        <v>84433.118198199401</v>
      </c>
      <c r="I81" s="411">
        <f t="shared" si="1"/>
        <v>542217.04823285749</v>
      </c>
      <c r="J81" s="178"/>
    </row>
    <row r="82" spans="1:10" s="86" customFormat="1" x14ac:dyDescent="0.25">
      <c r="A82" s="364">
        <f>Données!A83</f>
        <v>5534</v>
      </c>
      <c r="B82" s="368" t="str">
        <f>Données!B83</f>
        <v>Rueyres</v>
      </c>
      <c r="C82" s="366">
        <f>VPI!Q83</f>
        <v>73</v>
      </c>
      <c r="D82" s="371">
        <f>Données!Z83</f>
        <v>303</v>
      </c>
      <c r="E82" s="176">
        <f>VPI!R83</f>
        <v>15042.055228310503</v>
      </c>
      <c r="F82" s="289">
        <f>+'Péréquation directe'!K89</f>
        <v>248486.97095881464</v>
      </c>
      <c r="G82" s="299">
        <f>PCS!I89</f>
        <v>205956.55476893252</v>
      </c>
      <c r="H82" s="315">
        <f>'Facture policière'!L83</f>
        <v>44817.269056133038</v>
      </c>
      <c r="I82" s="411">
        <f t="shared" si="1"/>
        <v>499260.79478388018</v>
      </c>
      <c r="J82" s="178"/>
    </row>
    <row r="83" spans="1:10" s="86" customFormat="1" x14ac:dyDescent="0.25">
      <c r="A83" s="364">
        <f>Données!A84</f>
        <v>5535</v>
      </c>
      <c r="B83" s="368" t="str">
        <f>Données!B84</f>
        <v>Saint-Barthélemy</v>
      </c>
      <c r="C83" s="366">
        <f>VPI!Q84</f>
        <v>75</v>
      </c>
      <c r="D83" s="371">
        <f>Données!Z84</f>
        <v>814</v>
      </c>
      <c r="E83" s="176">
        <f>VPI!R84</f>
        <v>25492.610399999998</v>
      </c>
      <c r="F83" s="289">
        <f>+'Péréquation directe'!K90</f>
        <v>68452.615912456182</v>
      </c>
      <c r="G83" s="299">
        <f>PCS!I90</f>
        <v>380777.78895703476</v>
      </c>
      <c r="H83" s="315">
        <f>'Facture policière'!L84</f>
        <v>77065.279118013248</v>
      </c>
      <c r="I83" s="411">
        <f t="shared" si="1"/>
        <v>526295.68398750422</v>
      </c>
      <c r="J83" s="178"/>
    </row>
    <row r="84" spans="1:10" s="86" customFormat="1" x14ac:dyDescent="0.25">
      <c r="A84" s="364">
        <f>Données!A85</f>
        <v>5537</v>
      </c>
      <c r="B84" s="368" t="str">
        <f>Données!B85</f>
        <v>Villars-le-Terroir</v>
      </c>
      <c r="C84" s="366">
        <f>VPI!Q85</f>
        <v>76</v>
      </c>
      <c r="D84" s="371">
        <f>Données!Z85</f>
        <v>1308</v>
      </c>
      <c r="E84" s="176">
        <f>VPI!R85</f>
        <v>39162.728026315795</v>
      </c>
      <c r="F84" s="289">
        <f>+'Péréquation directe'!K91</f>
        <v>-128845.35712787672</v>
      </c>
      <c r="G84" s="299">
        <f>PCS!I91</f>
        <v>521365.36039132392</v>
      </c>
      <c r="H84" s="315">
        <f>'Facture policière'!L85</f>
        <v>117343.00059826896</v>
      </c>
      <c r="I84" s="411">
        <f t="shared" si="1"/>
        <v>509863.00386171613</v>
      </c>
      <c r="J84" s="178"/>
    </row>
    <row r="85" spans="1:10" s="86" customFormat="1" x14ac:dyDescent="0.25">
      <c r="A85" s="364">
        <f>Données!A86</f>
        <v>5539</v>
      </c>
      <c r="B85" s="368" t="str">
        <f>Données!B86</f>
        <v>Vuarrens</v>
      </c>
      <c r="C85" s="366">
        <f>VPI!Q86</f>
        <v>73.5</v>
      </c>
      <c r="D85" s="371">
        <f>Données!Z86</f>
        <v>1106</v>
      </c>
      <c r="E85" s="176">
        <f>VPI!R86</f>
        <v>34442.458945578233</v>
      </c>
      <c r="F85" s="289">
        <f>+'Péréquation directe'!K92</f>
        <v>61546.809404104017</v>
      </c>
      <c r="G85" s="299">
        <f>PCS!I92</f>
        <v>507849.57243481092</v>
      </c>
      <c r="H85" s="315">
        <f>'Facture policière'!L86</f>
        <v>103887.69488787753</v>
      </c>
      <c r="I85" s="411">
        <f t="shared" si="1"/>
        <v>673284.0767267925</v>
      </c>
      <c r="J85" s="178"/>
    </row>
    <row r="86" spans="1:10" s="86" customFormat="1" x14ac:dyDescent="0.25">
      <c r="A86" s="364">
        <f>Données!A87</f>
        <v>5540</v>
      </c>
      <c r="B86" s="368" t="str">
        <f>Données!B87</f>
        <v>Montilliez</v>
      </c>
      <c r="C86" s="366">
        <f>VPI!Q87</f>
        <v>72.5</v>
      </c>
      <c r="D86" s="371">
        <f>Données!Z87</f>
        <v>1895</v>
      </c>
      <c r="E86" s="176">
        <f>VPI!R87</f>
        <v>67464.467689655183</v>
      </c>
      <c r="F86" s="289">
        <f>+'Péréquation directe'!K93</f>
        <v>225772.35016605211</v>
      </c>
      <c r="G86" s="299">
        <f>PCS!I93</f>
        <v>906415.39227244316</v>
      </c>
      <c r="H86" s="315">
        <f>'Facture policière'!L87</f>
        <v>204313.41013825784</v>
      </c>
      <c r="I86" s="411">
        <f t="shared" si="1"/>
        <v>1336501.1525767529</v>
      </c>
      <c r="J86" s="178"/>
    </row>
    <row r="87" spans="1:10" s="86" customFormat="1" x14ac:dyDescent="0.25">
      <c r="A87" s="364">
        <f>Données!A88</f>
        <v>5541</v>
      </c>
      <c r="B87" s="368" t="str">
        <f>Données!B88</f>
        <v>Goumoëns</v>
      </c>
      <c r="C87" s="366">
        <f>VPI!Q88</f>
        <v>75.5</v>
      </c>
      <c r="D87" s="371">
        <f>Données!Z88</f>
        <v>1175</v>
      </c>
      <c r="E87" s="176">
        <f>VPI!R88</f>
        <v>41726.211258278148</v>
      </c>
      <c r="F87" s="289">
        <f>+'Péréquation directe'!K94</f>
        <v>247567.05521571008</v>
      </c>
      <c r="G87" s="299">
        <f>PCS!I94</f>
        <v>624086.08808367699</v>
      </c>
      <c r="H87" s="315">
        <f>'Facture policière'!L88</f>
        <v>126618.24742762005</v>
      </c>
      <c r="I87" s="411">
        <f t="shared" si="1"/>
        <v>998271.39072700706</v>
      </c>
      <c r="J87" s="178"/>
    </row>
    <row r="88" spans="1:10" s="86" customFormat="1" x14ac:dyDescent="0.25">
      <c r="A88" s="364">
        <f>Données!A89</f>
        <v>5551</v>
      </c>
      <c r="B88" s="368" t="str">
        <f>Données!B89</f>
        <v>Bonvillars</v>
      </c>
      <c r="C88" s="366">
        <f>VPI!Q89</f>
        <v>56</v>
      </c>
      <c r="D88" s="371">
        <f>Données!Z89</f>
        <v>501</v>
      </c>
      <c r="E88" s="176">
        <f>VPI!R89</f>
        <v>18575.023035714283</v>
      </c>
      <c r="F88" s="289">
        <f>+'Péréquation directe'!K95</f>
        <v>102405.49968059323</v>
      </c>
      <c r="G88" s="299">
        <f>PCS!I95</f>
        <v>393136.41861053347</v>
      </c>
      <c r="H88" s="315">
        <f>'Facture policière'!L89</f>
        <v>54443.349353826852</v>
      </c>
      <c r="I88" s="411">
        <f t="shared" si="1"/>
        <v>549985.26764495356</v>
      </c>
      <c r="J88" s="178"/>
    </row>
    <row r="89" spans="1:10" s="86" customFormat="1" x14ac:dyDescent="0.25">
      <c r="A89" s="364">
        <f>Données!A90</f>
        <v>5552</v>
      </c>
      <c r="B89" s="368" t="str">
        <f>Données!B90</f>
        <v>Bullet</v>
      </c>
      <c r="C89" s="366">
        <f>VPI!Q90</f>
        <v>71.5</v>
      </c>
      <c r="D89" s="371">
        <f>Données!Z90</f>
        <v>651</v>
      </c>
      <c r="E89" s="176">
        <f>VPI!R90</f>
        <v>19038.952167832165</v>
      </c>
      <c r="F89" s="289">
        <f>+'Péréquation directe'!K96</f>
        <v>-290605.19057138899</v>
      </c>
      <c r="G89" s="299">
        <f>PCS!I96</f>
        <v>303172.51052954403</v>
      </c>
      <c r="H89" s="315">
        <f>'Facture policière'!L90</f>
        <v>56697.730794318544</v>
      </c>
      <c r="I89" s="411">
        <f t="shared" si="1"/>
        <v>69265.050752473588</v>
      </c>
      <c r="J89" s="178"/>
    </row>
    <row r="90" spans="1:10" s="86" customFormat="1" x14ac:dyDescent="0.25">
      <c r="A90" s="364">
        <f>Données!A91</f>
        <v>5553</v>
      </c>
      <c r="B90" s="368" t="str">
        <f>Données!B91</f>
        <v>Champagne</v>
      </c>
      <c r="C90" s="366">
        <f>VPI!Q91</f>
        <v>65</v>
      </c>
      <c r="D90" s="371">
        <f>Données!Z91</f>
        <v>1077</v>
      </c>
      <c r="E90" s="176">
        <f>VPI!R91</f>
        <v>38263.796923076923</v>
      </c>
      <c r="F90" s="289">
        <f>+'Péréquation directe'!K97</f>
        <v>50303.169158712612</v>
      </c>
      <c r="G90" s="299">
        <f>PCS!I97</f>
        <v>574973.79012350668</v>
      </c>
      <c r="H90" s="315">
        <f>'Facture policière'!L91</f>
        <v>113691.81793524887</v>
      </c>
      <c r="I90" s="411">
        <f t="shared" si="1"/>
        <v>738968.77721746813</v>
      </c>
      <c r="J90" s="178"/>
    </row>
    <row r="91" spans="1:10" s="86" customFormat="1" x14ac:dyDescent="0.25">
      <c r="A91" s="364">
        <f>Données!A92</f>
        <v>5554</v>
      </c>
      <c r="B91" s="368" t="str">
        <f>Données!B92</f>
        <v>Concise</v>
      </c>
      <c r="C91" s="366">
        <f>VPI!Q92</f>
        <v>75</v>
      </c>
      <c r="D91" s="371">
        <f>Données!Z92</f>
        <v>1002</v>
      </c>
      <c r="E91" s="176">
        <f>VPI!R92</f>
        <v>33907.166000000005</v>
      </c>
      <c r="F91" s="289">
        <f>+'Péréquation directe'!K98</f>
        <v>-13875.873920122045</v>
      </c>
      <c r="G91" s="299">
        <f>PCS!I98</f>
        <v>528904.67638947524</v>
      </c>
      <c r="H91" s="315">
        <f>'Facture policière'!L92</f>
        <v>102645.50620120513</v>
      </c>
      <c r="I91" s="411">
        <f t="shared" si="1"/>
        <v>617674.30867055827</v>
      </c>
      <c r="J91" s="178"/>
    </row>
    <row r="92" spans="1:10" s="86" customFormat="1" x14ac:dyDescent="0.25">
      <c r="A92" s="364">
        <f>Données!A93</f>
        <v>5555</v>
      </c>
      <c r="B92" s="368" t="str">
        <f>Données!B93</f>
        <v>Corcelles-près-Concise</v>
      </c>
      <c r="C92" s="366">
        <f>VPI!Q93</f>
        <v>69</v>
      </c>
      <c r="D92" s="371">
        <f>Données!Z93</f>
        <v>412</v>
      </c>
      <c r="E92" s="176">
        <f>VPI!R93</f>
        <v>13425.201594202899</v>
      </c>
      <c r="F92" s="289">
        <f>+'Péréquation directe'!K99</f>
        <v>-91908.846050683263</v>
      </c>
      <c r="G92" s="299">
        <f>PCS!I99</f>
        <v>171982.47617379652</v>
      </c>
      <c r="H92" s="315">
        <f>'Facture policière'!L93</f>
        <v>39773.595757349736</v>
      </c>
      <c r="I92" s="411">
        <f t="shared" si="1"/>
        <v>119847.225880463</v>
      </c>
      <c r="J92" s="178"/>
    </row>
    <row r="93" spans="1:10" s="86" customFormat="1" x14ac:dyDescent="0.25">
      <c r="A93" s="364">
        <f>Données!A94</f>
        <v>5556</v>
      </c>
      <c r="B93" s="368" t="str">
        <f>Données!B94</f>
        <v>Fiez</v>
      </c>
      <c r="C93" s="366">
        <f>VPI!Q94</f>
        <v>69</v>
      </c>
      <c r="D93" s="371">
        <f>Données!Z94</f>
        <v>436</v>
      </c>
      <c r="E93" s="176">
        <f>VPI!R94</f>
        <v>13304.241787439612</v>
      </c>
      <c r="F93" s="289">
        <f>+'Péréquation directe'!K100</f>
        <v>-38403.165214403212</v>
      </c>
      <c r="G93" s="299">
        <f>PCS!I100</f>
        <v>216713.26142827154</v>
      </c>
      <c r="H93" s="315">
        <f>'Facture policière'!L94</f>
        <v>40043.048375925129</v>
      </c>
      <c r="I93" s="411">
        <f t="shared" si="1"/>
        <v>218353.14458979346</v>
      </c>
      <c r="J93" s="178"/>
    </row>
    <row r="94" spans="1:10" s="86" customFormat="1" x14ac:dyDescent="0.25">
      <c r="A94" s="364">
        <f>Données!A95</f>
        <v>5557</v>
      </c>
      <c r="B94" s="368" t="str">
        <f>Données!B95</f>
        <v>Fontaines-sur-Grandson</v>
      </c>
      <c r="C94" s="366">
        <f>VPI!Q95</f>
        <v>69</v>
      </c>
      <c r="D94" s="371">
        <f>Données!Z95</f>
        <v>214</v>
      </c>
      <c r="E94" s="176">
        <f>VPI!R95</f>
        <v>5098.7534782608691</v>
      </c>
      <c r="F94" s="289">
        <f>+'Péréquation directe'!K101</f>
        <v>-78719.252652202355</v>
      </c>
      <c r="G94" s="299">
        <f>PCS!I101</f>
        <v>68312.927318159971</v>
      </c>
      <c r="H94" s="315">
        <f>'Facture policière'!L95</f>
        <v>15085.079831685169</v>
      </c>
      <c r="I94" s="411">
        <f t="shared" si="1"/>
        <v>4678.7544976427853</v>
      </c>
      <c r="J94" s="178"/>
    </row>
    <row r="95" spans="1:10" s="86" customFormat="1" x14ac:dyDescent="0.25">
      <c r="A95" s="364">
        <f>Données!A96</f>
        <v>5559</v>
      </c>
      <c r="B95" s="368" t="str">
        <f>Données!B96</f>
        <v>Giez</v>
      </c>
      <c r="C95" s="366">
        <f>VPI!Q96</f>
        <v>66</v>
      </c>
      <c r="D95" s="371">
        <f>Données!Z96</f>
        <v>450</v>
      </c>
      <c r="E95" s="176">
        <f>VPI!R96</f>
        <v>21011.030606060605</v>
      </c>
      <c r="F95" s="289">
        <f>+'Péréquation directe'!K102</f>
        <v>310971.14759348746</v>
      </c>
      <c r="G95" s="299">
        <f>PCS!I102</f>
        <v>306823.66293641925</v>
      </c>
      <c r="H95" s="315">
        <f>'Facture policière'!L96</f>
        <v>63934.803743992539</v>
      </c>
      <c r="I95" s="411">
        <f t="shared" si="1"/>
        <v>681729.61427389935</v>
      </c>
      <c r="J95" s="178"/>
    </row>
    <row r="96" spans="1:10" s="86" customFormat="1" x14ac:dyDescent="0.25">
      <c r="A96" s="364">
        <f>Données!A97</f>
        <v>5560</v>
      </c>
      <c r="B96" s="368" t="str">
        <f>Données!B97</f>
        <v>Grandevent</v>
      </c>
      <c r="C96" s="366">
        <f>VPI!Q97</f>
        <v>71</v>
      </c>
      <c r="D96" s="371">
        <f>Données!Z97</f>
        <v>237</v>
      </c>
      <c r="E96" s="176">
        <f>VPI!R97</f>
        <v>8996.1449295774655</v>
      </c>
      <c r="F96" s="289">
        <f>+'Péréquation directe'!K103</f>
        <v>84370.442693679041</v>
      </c>
      <c r="G96" s="299">
        <f>PCS!I103</f>
        <v>131521.11887974487</v>
      </c>
      <c r="H96" s="315">
        <f>'Facture policière'!L97</f>
        <v>27340.827848965979</v>
      </c>
      <c r="I96" s="411">
        <f t="shared" si="1"/>
        <v>243232.38942238988</v>
      </c>
      <c r="J96" s="178"/>
    </row>
    <row r="97" spans="1:10" s="86" customFormat="1" x14ac:dyDescent="0.25">
      <c r="A97" s="364">
        <f>Données!A98</f>
        <v>5561</v>
      </c>
      <c r="B97" s="368" t="str">
        <f>Données!B98</f>
        <v>Grandson</v>
      </c>
      <c r="C97" s="366">
        <f>VPI!Q98</f>
        <v>69</v>
      </c>
      <c r="D97" s="371">
        <f>Données!Z98</f>
        <v>3358</v>
      </c>
      <c r="E97" s="176">
        <f>VPI!R98</f>
        <v>132376.08594202899</v>
      </c>
      <c r="F97" s="289">
        <f>+'Péréquation directe'!K104</f>
        <v>-39656.694612636697</v>
      </c>
      <c r="G97" s="299">
        <f>PCS!I104</f>
        <v>1984896.4703841964</v>
      </c>
      <c r="H97" s="315">
        <f>'Facture policière'!L98</f>
        <v>400571.08417405013</v>
      </c>
      <c r="I97" s="411">
        <f t="shared" si="1"/>
        <v>2345810.8599456097</v>
      </c>
      <c r="J97" s="178"/>
    </row>
    <row r="98" spans="1:10" s="86" customFormat="1" x14ac:dyDescent="0.25">
      <c r="A98" s="364">
        <f>Données!A99</f>
        <v>5562</v>
      </c>
      <c r="B98" s="368" t="str">
        <f>Données!B99</f>
        <v>Mauborget</v>
      </c>
      <c r="C98" s="366">
        <f>VPI!Q99</f>
        <v>70</v>
      </c>
      <c r="D98" s="371">
        <f>Données!Z99</f>
        <v>138</v>
      </c>
      <c r="E98" s="176">
        <f>VPI!R99</f>
        <v>4559.8505476190467</v>
      </c>
      <c r="F98" s="289">
        <f>+'Péréquation directe'!K105</f>
        <v>17071.760799978103</v>
      </c>
      <c r="G98" s="299">
        <f>PCS!I105</f>
        <v>57205.487848124147</v>
      </c>
      <c r="H98" s="315">
        <f>'Facture policière'!L99</f>
        <v>13674.761320161715</v>
      </c>
      <c r="I98" s="411">
        <f t="shared" si="1"/>
        <v>87952.00996826397</v>
      </c>
      <c r="J98" s="178"/>
    </row>
    <row r="99" spans="1:10" s="86" customFormat="1" x14ac:dyDescent="0.25">
      <c r="A99" s="364">
        <f>Données!A100</f>
        <v>5563</v>
      </c>
      <c r="B99" s="368" t="str">
        <f>Données!B100</f>
        <v>Mutrux</v>
      </c>
      <c r="C99" s="366">
        <f>VPI!Q100</f>
        <v>80</v>
      </c>
      <c r="D99" s="371">
        <f>Données!Z100</f>
        <v>151</v>
      </c>
      <c r="E99" s="176">
        <f>VPI!R100</f>
        <v>2282.08925</v>
      </c>
      <c r="F99" s="289">
        <f>+'Péréquation directe'!K106</f>
        <v>-120937.95705328209</v>
      </c>
      <c r="G99" s="299">
        <f>PCS!I106</f>
        <v>57450.845490782071</v>
      </c>
      <c r="H99" s="315">
        <f>'Facture policière'!L100</f>
        <v>6696.173511508935</v>
      </c>
      <c r="I99" s="411">
        <f t="shared" si="1"/>
        <v>-56790.938050991092</v>
      </c>
      <c r="J99" s="178"/>
    </row>
    <row r="100" spans="1:10" s="86" customFormat="1" x14ac:dyDescent="0.25">
      <c r="A100" s="364">
        <f>Données!A101</f>
        <v>5564</v>
      </c>
      <c r="B100" s="368" t="str">
        <f>Données!B101</f>
        <v>Novalles</v>
      </c>
      <c r="C100" s="366">
        <f>VPI!Q101</f>
        <v>76</v>
      </c>
      <c r="D100" s="371">
        <f>Données!Z101</f>
        <v>99</v>
      </c>
      <c r="E100" s="176">
        <f>VPI!R101</f>
        <v>2548.8725328947371</v>
      </c>
      <c r="F100" s="289">
        <f>+'Péréquation directe'!K107</f>
        <v>-50694.315462694452</v>
      </c>
      <c r="G100" s="299">
        <f>PCS!I107</f>
        <v>29713.498371560217</v>
      </c>
      <c r="H100" s="315">
        <f>'Facture policière'!L101</f>
        <v>7730.8255285147497</v>
      </c>
      <c r="I100" s="411">
        <f t="shared" si="1"/>
        <v>-13249.991562619485</v>
      </c>
      <c r="J100" s="178"/>
    </row>
    <row r="101" spans="1:10" s="86" customFormat="1" x14ac:dyDescent="0.25">
      <c r="A101" s="364">
        <f>Données!A102</f>
        <v>5565</v>
      </c>
      <c r="B101" s="368" t="str">
        <f>Données!B102</f>
        <v>Onnens</v>
      </c>
      <c r="C101" s="366">
        <f>VPI!Q102</f>
        <v>63.5</v>
      </c>
      <c r="D101" s="371">
        <f>Données!Z102</f>
        <v>496</v>
      </c>
      <c r="E101" s="176">
        <f>VPI!R102</f>
        <v>11658.700944881888</v>
      </c>
      <c r="F101" s="289">
        <f>+'Péréquation directe'!K108</f>
        <v>-178394.88356404458</v>
      </c>
      <c r="G101" s="299">
        <f>PCS!I108</f>
        <v>174561.46319766343</v>
      </c>
      <c r="H101" s="315">
        <f>'Facture policière'!L102</f>
        <v>32201.673732620977</v>
      </c>
      <c r="I101" s="411">
        <f t="shared" si="1"/>
        <v>28368.253366239827</v>
      </c>
      <c r="J101" s="178"/>
    </row>
    <row r="102" spans="1:10" s="86" customFormat="1" x14ac:dyDescent="0.25">
      <c r="A102" s="364">
        <f>Données!A103</f>
        <v>5566</v>
      </c>
      <c r="B102" s="368" t="str">
        <f>Données!B103</f>
        <v>Provence</v>
      </c>
      <c r="C102" s="366">
        <f>VPI!Q103</f>
        <v>81</v>
      </c>
      <c r="D102" s="371">
        <f>Données!Z103</f>
        <v>403</v>
      </c>
      <c r="E102" s="176">
        <f>VPI!R103</f>
        <v>8528.9197942386818</v>
      </c>
      <c r="F102" s="289">
        <f>+'Péréquation directe'!K109</f>
        <v>-507083.11264620919</v>
      </c>
      <c r="G102" s="299">
        <f>PCS!I109</f>
        <v>138362.14878143714</v>
      </c>
      <c r="H102" s="315">
        <f>'Facture policière'!L103</f>
        <v>25591.901098727292</v>
      </c>
      <c r="I102" s="411">
        <f t="shared" si="1"/>
        <v>-343129.06276604475</v>
      </c>
      <c r="J102" s="178"/>
    </row>
    <row r="103" spans="1:10" s="86" customFormat="1" x14ac:dyDescent="0.25">
      <c r="A103" s="364">
        <f>Données!A104</f>
        <v>5568</v>
      </c>
      <c r="B103" s="368" t="str">
        <f>Données!B104</f>
        <v>Sainte-Croix</v>
      </c>
      <c r="C103" s="366">
        <f>VPI!Q104</f>
        <v>70</v>
      </c>
      <c r="D103" s="371">
        <f>Données!Z104</f>
        <v>4869</v>
      </c>
      <c r="E103" s="176">
        <f>VPI!R104</f>
        <v>106004.96942857141</v>
      </c>
      <c r="F103" s="289">
        <f>+'Péréquation directe'!K110</f>
        <v>-4194209.7700502407</v>
      </c>
      <c r="G103" s="299">
        <f>PCS!I110</f>
        <v>2312135.1556124985</v>
      </c>
      <c r="H103" s="315">
        <f>'Facture policière'!L104</f>
        <v>317074.96904206031</v>
      </c>
      <c r="I103" s="411">
        <f t="shared" si="1"/>
        <v>-1564999.6453956817</v>
      </c>
      <c r="J103" s="178"/>
    </row>
    <row r="104" spans="1:10" s="86" customFormat="1" x14ac:dyDescent="0.25">
      <c r="A104" s="364">
        <f>Données!A105</f>
        <v>5571</v>
      </c>
      <c r="B104" s="368" t="str">
        <f>Données!B105</f>
        <v>Tévenon</v>
      </c>
      <c r="C104" s="366">
        <f>VPI!Q105</f>
        <v>71.5</v>
      </c>
      <c r="D104" s="371">
        <f>Données!Z105</f>
        <v>867</v>
      </c>
      <c r="E104" s="176">
        <f>VPI!R105</f>
        <v>25907.008578088578</v>
      </c>
      <c r="F104" s="289">
        <f>+'Péréquation directe'!K111</f>
        <v>-124886.76620798541</v>
      </c>
      <c r="G104" s="299">
        <f>PCS!I111</f>
        <v>358760.96345260704</v>
      </c>
      <c r="H104" s="315">
        <f>'Facture policière'!L105</f>
        <v>77369.566532263387</v>
      </c>
      <c r="I104" s="411">
        <f t="shared" si="1"/>
        <v>311243.763776885</v>
      </c>
      <c r="J104" s="178"/>
    </row>
    <row r="105" spans="1:10" s="86" customFormat="1" x14ac:dyDescent="0.25">
      <c r="A105" s="364">
        <f>Données!A106</f>
        <v>5581</v>
      </c>
      <c r="B105" s="368" t="str">
        <f>Données!B106</f>
        <v>Belmont-sur-Lausanne</v>
      </c>
      <c r="C105" s="366">
        <f>VPI!Q106</f>
        <v>72</v>
      </c>
      <c r="D105" s="371">
        <f>Données!Z106</f>
        <v>3835</v>
      </c>
      <c r="E105" s="176">
        <f>VPI!R106</f>
        <v>233670.95416666666</v>
      </c>
      <c r="F105" s="289">
        <f>+'Péréquation directe'!K112</f>
        <v>2108876.0403068876</v>
      </c>
      <c r="G105" s="299">
        <f>PCS!I112</f>
        <v>4107979.4038744201</v>
      </c>
      <c r="H105" s="315">
        <f>'Facture policière'!L106</f>
        <v>275812.96962912142</v>
      </c>
      <c r="I105" s="411">
        <f t="shared" si="1"/>
        <v>6492668.4138104292</v>
      </c>
      <c r="J105" s="178"/>
    </row>
    <row r="106" spans="1:10" s="86" customFormat="1" x14ac:dyDescent="0.25">
      <c r="A106" s="364">
        <f>Données!A107</f>
        <v>5582</v>
      </c>
      <c r="B106" s="368" t="str">
        <f>Données!B107</f>
        <v>Cheseaux-sur-Lausanne</v>
      </c>
      <c r="C106" s="366">
        <f>VPI!Q107</f>
        <v>73</v>
      </c>
      <c r="D106" s="371">
        <f>Données!Z107</f>
        <v>4525</v>
      </c>
      <c r="E106" s="176">
        <f>VPI!R107</f>
        <v>170428.79082191776</v>
      </c>
      <c r="F106" s="289">
        <f>+'Péréquation directe'!K113</f>
        <v>99698.51434728317</v>
      </c>
      <c r="G106" s="299">
        <f>PCS!I113</f>
        <v>2432726.5386212962</v>
      </c>
      <c r="H106" s="315">
        <f>'Facture policière'!L107</f>
        <v>511347.07597490342</v>
      </c>
      <c r="I106" s="411">
        <f t="shared" si="1"/>
        <v>3043772.1289434829</v>
      </c>
      <c r="J106" s="178"/>
    </row>
    <row r="107" spans="1:10" s="86" customFormat="1" x14ac:dyDescent="0.25">
      <c r="A107" s="364">
        <f>Données!A108</f>
        <v>5583</v>
      </c>
      <c r="B107" s="368" t="str">
        <f>Données!B108</f>
        <v>Crissier</v>
      </c>
      <c r="C107" s="366">
        <f>VPI!Q108</f>
        <v>63.5</v>
      </c>
      <c r="D107" s="371">
        <f>Données!Z108</f>
        <v>9161</v>
      </c>
      <c r="E107" s="176">
        <f>VPI!R108</f>
        <v>340496.54456692917</v>
      </c>
      <c r="F107" s="289">
        <f>+'Péréquation directe'!K114</f>
        <v>-3188420.7809566287</v>
      </c>
      <c r="G107" s="299">
        <f>PCS!I114</f>
        <v>6177830.2051361669</v>
      </c>
      <c r="H107" s="315">
        <f>'Facture policière'!L108</f>
        <v>401904.30787762854</v>
      </c>
      <c r="I107" s="411">
        <f t="shared" si="1"/>
        <v>3391313.7320571668</v>
      </c>
      <c r="J107" s="178"/>
    </row>
    <row r="108" spans="1:10" s="86" customFormat="1" x14ac:dyDescent="0.25">
      <c r="A108" s="364">
        <f>Données!A109</f>
        <v>5584</v>
      </c>
      <c r="B108" s="368" t="str">
        <f>Données!B109</f>
        <v>Epalinges</v>
      </c>
      <c r="C108" s="366">
        <f>VPI!Q109</f>
        <v>64.5</v>
      </c>
      <c r="D108" s="371">
        <f>Données!Z109</f>
        <v>9825</v>
      </c>
      <c r="E108" s="176">
        <f>VPI!R109</f>
        <v>489766.22341085278</v>
      </c>
      <c r="F108" s="289">
        <f>+'Péréquation directe'!K115</f>
        <v>-110566.1771800369</v>
      </c>
      <c r="G108" s="299">
        <f>PCS!I115</f>
        <v>8342732.7727836175</v>
      </c>
      <c r="H108" s="315">
        <f>'Facture policière'!L109</f>
        <v>1455613.2974624631</v>
      </c>
      <c r="I108" s="411">
        <f t="shared" si="1"/>
        <v>9687779.893066043</v>
      </c>
      <c r="J108" s="178"/>
    </row>
    <row r="109" spans="1:10" s="86" customFormat="1" x14ac:dyDescent="0.25">
      <c r="A109" s="364">
        <f>Données!A110</f>
        <v>5585</v>
      </c>
      <c r="B109" s="368" t="str">
        <f>Données!B110</f>
        <v>Jouxtens-Mézery</v>
      </c>
      <c r="C109" s="366">
        <f>VPI!Q110</f>
        <v>59</v>
      </c>
      <c r="D109" s="371">
        <f>Données!Z110</f>
        <v>1468</v>
      </c>
      <c r="E109" s="176">
        <f>VPI!R110</f>
        <v>252946.52254237281</v>
      </c>
      <c r="F109" s="289">
        <f>+'Péréquation directe'!K116</f>
        <v>4310605.6290551983</v>
      </c>
      <c r="G109" s="299">
        <f>PCS!I116</f>
        <v>8198715.2579786964</v>
      </c>
      <c r="H109" s="315">
        <f>'Facture policière'!L110</f>
        <v>429679.11193712876</v>
      </c>
      <c r="I109" s="411">
        <f t="shared" si="1"/>
        <v>12938999.998971023</v>
      </c>
      <c r="J109" s="178"/>
    </row>
    <row r="110" spans="1:10" s="86" customFormat="1" x14ac:dyDescent="0.25">
      <c r="A110" s="364">
        <f>Données!A111</f>
        <v>5586</v>
      </c>
      <c r="B110" s="368" t="str">
        <f>Données!B111</f>
        <v>Lausanne</v>
      </c>
      <c r="C110" s="366">
        <f>VPI!Q111</f>
        <v>78.5</v>
      </c>
      <c r="D110" s="371">
        <f>Données!Z111</f>
        <v>141513</v>
      </c>
      <c r="E110" s="176">
        <f>VPI!R111</f>
        <v>6671978.8432696378</v>
      </c>
      <c r="F110" s="289">
        <f>+'Péréquation directe'!K117</f>
        <v>-72955805.201904997</v>
      </c>
      <c r="G110" s="299">
        <f>PCS!I117</f>
        <v>100982636.01705033</v>
      </c>
      <c r="H110" s="315">
        <f>'Facture policière'!L111</f>
        <v>7875254.7770756604</v>
      </c>
      <c r="I110" s="411">
        <f t="shared" si="1"/>
        <v>35902085.592220992</v>
      </c>
      <c r="J110" s="178"/>
    </row>
    <row r="111" spans="1:10" s="86" customFormat="1" x14ac:dyDescent="0.25">
      <c r="A111" s="364">
        <f>Données!A112</f>
        <v>5587</v>
      </c>
      <c r="B111" s="368" t="str">
        <f>Données!B112</f>
        <v>Le Mont-sur-Lausanne</v>
      </c>
      <c r="C111" s="366">
        <f>VPI!Q112</f>
        <v>73.5</v>
      </c>
      <c r="D111" s="371">
        <f>Données!Z112</f>
        <v>9297</v>
      </c>
      <c r="E111" s="176">
        <f>VPI!R112</f>
        <v>484050.33068027202</v>
      </c>
      <c r="F111" s="289">
        <f>+'Péréquation directe'!K118</f>
        <v>2236874.304494597</v>
      </c>
      <c r="G111" s="299">
        <f>PCS!I118</f>
        <v>8481998.7288462278</v>
      </c>
      <c r="H111" s="315">
        <f>'Facture policière'!L112</f>
        <v>1401708.2907326734</v>
      </c>
      <c r="I111" s="411">
        <f t="shared" si="1"/>
        <v>12120581.324073497</v>
      </c>
      <c r="J111" s="178"/>
    </row>
    <row r="112" spans="1:10" s="86" customFormat="1" x14ac:dyDescent="0.25">
      <c r="A112" s="364">
        <f>Données!A113</f>
        <v>5588</v>
      </c>
      <c r="B112" s="368" t="str">
        <f>Données!B113</f>
        <v>Paudex</v>
      </c>
      <c r="C112" s="366">
        <f>VPI!Q113</f>
        <v>66.5</v>
      </c>
      <c r="D112" s="371">
        <f>Données!Z113</f>
        <v>1550</v>
      </c>
      <c r="E112" s="176">
        <f>VPI!R113</f>
        <v>137556.51114930178</v>
      </c>
      <c r="F112" s="289">
        <f>+'Péréquation directe'!K119</f>
        <v>2302150.5805620537</v>
      </c>
      <c r="G112" s="299">
        <f>PCS!I119</f>
        <v>3208387.4755205088</v>
      </c>
      <c r="H112" s="315">
        <f>'Facture policière'!L113</f>
        <v>162364.50938977004</v>
      </c>
      <c r="I112" s="411">
        <f t="shared" si="1"/>
        <v>5672902.5654723328</v>
      </c>
      <c r="J112" s="178"/>
    </row>
    <row r="113" spans="1:10" s="86" customFormat="1" x14ac:dyDescent="0.25">
      <c r="A113" s="364">
        <f>Données!A114</f>
        <v>5589</v>
      </c>
      <c r="B113" s="368" t="str">
        <f>Données!B114</f>
        <v>Prilly</v>
      </c>
      <c r="C113" s="366">
        <f>VPI!Q114</f>
        <v>72.5</v>
      </c>
      <c r="D113" s="371">
        <f>Données!Z114</f>
        <v>12318</v>
      </c>
      <c r="E113" s="176">
        <f>VPI!R114</f>
        <v>404219.10002122016</v>
      </c>
      <c r="F113" s="289">
        <f>+'Péréquation directe'!K120</f>
        <v>-7044588.273168141</v>
      </c>
      <c r="G113" s="299">
        <f>PCS!I120</f>
        <v>6456669.0108329579</v>
      </c>
      <c r="H113" s="315">
        <f>'Facture policière'!L114</f>
        <v>477119.07864314085</v>
      </c>
      <c r="I113" s="411">
        <f t="shared" si="1"/>
        <v>-110800.18369204225</v>
      </c>
      <c r="J113" s="178"/>
    </row>
    <row r="114" spans="1:10" s="86" customFormat="1" x14ac:dyDescent="0.25">
      <c r="A114" s="364">
        <f>Données!A115</f>
        <v>5590</v>
      </c>
      <c r="B114" s="368" t="str">
        <f>Données!B115</f>
        <v>Pully</v>
      </c>
      <c r="C114" s="366">
        <f>VPI!Q115</f>
        <v>61</v>
      </c>
      <c r="D114" s="371">
        <f>Données!Z115</f>
        <v>19005</v>
      </c>
      <c r="E114" s="176">
        <f>VPI!R115</f>
        <v>1396472.1616393442</v>
      </c>
      <c r="F114" s="289">
        <f>+'Péréquation directe'!K121</f>
        <v>7802737.2409381494</v>
      </c>
      <c r="G114" s="299">
        <f>PCS!I121</f>
        <v>28388059.446311399</v>
      </c>
      <c r="H114" s="315">
        <f>'Facture policière'!L115</f>
        <v>1648322.6821225951</v>
      </c>
      <c r="I114" s="411">
        <f t="shared" si="1"/>
        <v>37839119.369372144</v>
      </c>
      <c r="J114" s="178"/>
    </row>
    <row r="115" spans="1:10" s="86" customFormat="1" x14ac:dyDescent="0.25">
      <c r="A115" s="364">
        <f>Données!A116</f>
        <v>5591</v>
      </c>
      <c r="B115" s="368" t="str">
        <f>Données!B116</f>
        <v>Renens</v>
      </c>
      <c r="C115" s="366">
        <f>VPI!Q116</f>
        <v>77</v>
      </c>
      <c r="D115" s="371">
        <f>Données!Z116</f>
        <v>21116</v>
      </c>
      <c r="E115" s="176">
        <f>VPI!R116</f>
        <v>592907.73419294995</v>
      </c>
      <c r="F115" s="289">
        <f>+'Péréquation directe'!K122</f>
        <v>-22079953.867182486</v>
      </c>
      <c r="G115" s="299">
        <f>PCS!I122</f>
        <v>9859914.1487965938</v>
      </c>
      <c r="H115" s="315">
        <f>'Facture policière'!L116</f>
        <v>699837.27103365946</v>
      </c>
      <c r="I115" s="411">
        <f t="shared" si="1"/>
        <v>-11520202.447352232</v>
      </c>
      <c r="J115" s="178"/>
    </row>
    <row r="116" spans="1:10" s="86" customFormat="1" x14ac:dyDescent="0.25">
      <c r="A116" s="364">
        <f>Données!A117</f>
        <v>5592</v>
      </c>
      <c r="B116" s="368" t="str">
        <f>Données!B117</f>
        <v>Romanel-sur-Lausanne</v>
      </c>
      <c r="C116" s="366">
        <f>VPI!Q117</f>
        <v>70.5</v>
      </c>
      <c r="D116" s="371">
        <f>Données!Z117</f>
        <v>3798</v>
      </c>
      <c r="E116" s="176">
        <f>VPI!R117</f>
        <v>113604.64354609928</v>
      </c>
      <c r="F116" s="289">
        <f>+'Péréquation directe'!K123</f>
        <v>-819308.90773659199</v>
      </c>
      <c r="G116" s="299">
        <f>PCS!I123</f>
        <v>2108349.6267858315</v>
      </c>
      <c r="H116" s="315">
        <f>'Facture policière'!L117</f>
        <v>333565.17027108697</v>
      </c>
      <c r="I116" s="411">
        <f t="shared" si="1"/>
        <v>1622605.8893203265</v>
      </c>
      <c r="J116" s="178"/>
    </row>
    <row r="117" spans="1:10" s="86" customFormat="1" x14ac:dyDescent="0.25">
      <c r="A117" s="364">
        <f>Données!A118</f>
        <v>5601</v>
      </c>
      <c r="B117" s="368" t="str">
        <f>Données!B118</f>
        <v>Chexbres</v>
      </c>
      <c r="C117" s="366">
        <f>VPI!Q118</f>
        <v>67.5</v>
      </c>
      <c r="D117" s="371">
        <f>Données!Z118</f>
        <v>2204</v>
      </c>
      <c r="E117" s="176">
        <f>VPI!R118</f>
        <v>106015.29511111112</v>
      </c>
      <c r="F117" s="289">
        <f>+'Péréquation directe'!K124</f>
        <v>1094846.7383288997</v>
      </c>
      <c r="G117" s="299">
        <f>PCS!I124</f>
        <v>1695605.917324842</v>
      </c>
      <c r="H117" s="315">
        <f>'Facture policière'!L118</f>
        <v>125134.90808039161</v>
      </c>
      <c r="I117" s="411">
        <f t="shared" si="1"/>
        <v>2915587.5637341333</v>
      </c>
      <c r="J117" s="178"/>
    </row>
    <row r="118" spans="1:10" s="86" customFormat="1" x14ac:dyDescent="0.25">
      <c r="A118" s="364">
        <f>Données!A119</f>
        <v>5604</v>
      </c>
      <c r="B118" s="368" t="str">
        <f>Données!B119</f>
        <v>Forel (Lavaux)</v>
      </c>
      <c r="C118" s="366">
        <f>VPI!Q119</f>
        <v>69</v>
      </c>
      <c r="D118" s="371">
        <f>Données!Z119</f>
        <v>2067</v>
      </c>
      <c r="E118" s="176">
        <f>VPI!R119</f>
        <v>70961.315942029003</v>
      </c>
      <c r="F118" s="289">
        <f>+'Péréquation directe'!K125</f>
        <v>-135206.11422883486</v>
      </c>
      <c r="G118" s="299">
        <f>PCS!I125</f>
        <v>1055649.8838492734</v>
      </c>
      <c r="H118" s="315">
        <f>'Facture policière'!L119</f>
        <v>212590.6090020875</v>
      </c>
      <c r="I118" s="411">
        <f t="shared" si="1"/>
        <v>1133034.3786225261</v>
      </c>
      <c r="J118" s="178"/>
    </row>
    <row r="119" spans="1:10" s="86" customFormat="1" x14ac:dyDescent="0.25">
      <c r="A119" s="364">
        <f>Données!A120</f>
        <v>5606</v>
      </c>
      <c r="B119" s="368" t="str">
        <f>Données!B120</f>
        <v>Lutry</v>
      </c>
      <c r="C119" s="366">
        <f>VPI!Q120</f>
        <v>54</v>
      </c>
      <c r="D119" s="371">
        <f>Données!Z120</f>
        <v>10713</v>
      </c>
      <c r="E119" s="176">
        <f>VPI!R120</f>
        <v>1212171.2253174603</v>
      </c>
      <c r="F119" s="289">
        <f>+'Péréquation directe'!K126</f>
        <v>16525631.401156805</v>
      </c>
      <c r="G119" s="299">
        <f>PCS!I126</f>
        <v>31297245.895735573</v>
      </c>
      <c r="H119" s="315">
        <f>'Facture policière'!L120</f>
        <v>1430783.4987283684</v>
      </c>
      <c r="I119" s="411">
        <f t="shared" si="1"/>
        <v>49253660.795620739</v>
      </c>
      <c r="J119" s="178"/>
    </row>
    <row r="120" spans="1:10" s="86" customFormat="1" x14ac:dyDescent="0.25">
      <c r="A120" s="364">
        <f>Données!A121</f>
        <v>5607</v>
      </c>
      <c r="B120" s="368" t="str">
        <f>Données!B121</f>
        <v>Puidoux</v>
      </c>
      <c r="C120" s="366">
        <f>VPI!Q121</f>
        <v>68.5</v>
      </c>
      <c r="D120" s="371">
        <f>Données!Z121</f>
        <v>2991</v>
      </c>
      <c r="E120" s="176">
        <f>VPI!R121</f>
        <v>117496.04099650904</v>
      </c>
      <c r="F120" s="289">
        <f>+'Péréquation directe'!K127</f>
        <v>-180918.5127856438</v>
      </c>
      <c r="G120" s="299">
        <f>PCS!I127</f>
        <v>2046678.2582422923</v>
      </c>
      <c r="H120" s="315">
        <f>'Facture policière'!L121</f>
        <v>138686.17989978247</v>
      </c>
      <c r="I120" s="411">
        <f t="shared" si="1"/>
        <v>2004445.9253564309</v>
      </c>
      <c r="J120" s="178"/>
    </row>
    <row r="121" spans="1:10" s="86" customFormat="1" x14ac:dyDescent="0.25">
      <c r="A121" s="364">
        <f>Données!A122</f>
        <v>5609</v>
      </c>
      <c r="B121" s="368" t="str">
        <f>Données!B122</f>
        <v>Rivaz</v>
      </c>
      <c r="C121" s="366">
        <f>VPI!Q122</f>
        <v>62</v>
      </c>
      <c r="D121" s="371">
        <f>Données!Z122</f>
        <v>332</v>
      </c>
      <c r="E121" s="176">
        <f>VPI!R122</f>
        <v>14930.201612903227</v>
      </c>
      <c r="F121" s="289">
        <f>+'Péréquation directe'!K128</f>
        <v>149831.67887112245</v>
      </c>
      <c r="G121" s="299">
        <f>PCS!I128</f>
        <v>244636.09882289509</v>
      </c>
      <c r="H121" s="315">
        <f>'Facture policière'!L122</f>
        <v>17622.828899304273</v>
      </c>
      <c r="I121" s="411">
        <f t="shared" si="1"/>
        <v>412090.60659332178</v>
      </c>
      <c r="J121" s="178"/>
    </row>
    <row r="122" spans="1:10" s="86" customFormat="1" x14ac:dyDescent="0.25">
      <c r="A122" s="364">
        <f>Données!A123</f>
        <v>5610</v>
      </c>
      <c r="B122" s="368" t="str">
        <f>Données!B123</f>
        <v>St-Saphorin (Lavaux)</v>
      </c>
      <c r="C122" s="366">
        <f>VPI!Q123</f>
        <v>72</v>
      </c>
      <c r="D122" s="371">
        <f>Données!Z123</f>
        <v>402</v>
      </c>
      <c r="E122" s="176">
        <f>VPI!R123</f>
        <v>21326.679629629627</v>
      </c>
      <c r="F122" s="289">
        <f>+'Péréquation directe'!K129</f>
        <v>348847.89721967088</v>
      </c>
      <c r="G122" s="299">
        <f>PCS!I129</f>
        <v>312638.21956460341</v>
      </c>
      <c r="H122" s="315">
        <f>'Facture policière'!L123</f>
        <v>25172.896913758294</v>
      </c>
      <c r="I122" s="411">
        <f t="shared" si="1"/>
        <v>686659.01369803259</v>
      </c>
      <c r="J122" s="178"/>
    </row>
    <row r="123" spans="1:10" s="86" customFormat="1" x14ac:dyDescent="0.25">
      <c r="A123" s="364">
        <f>Données!A124</f>
        <v>5611</v>
      </c>
      <c r="B123" s="368" t="str">
        <f>Données!B124</f>
        <v>Savigny</v>
      </c>
      <c r="C123" s="366">
        <f>VPI!Q124</f>
        <v>69</v>
      </c>
      <c r="D123" s="371">
        <f>Données!Z124</f>
        <v>3421</v>
      </c>
      <c r="E123" s="176">
        <f>VPI!R124</f>
        <v>139629.67036231884</v>
      </c>
      <c r="F123" s="289">
        <f>+'Péréquation directe'!K130</f>
        <v>345410.85704159411</v>
      </c>
      <c r="G123" s="299">
        <f>PCS!I130</f>
        <v>2084035.5736282219</v>
      </c>
      <c r="H123" s="315">
        <f>'Facture policière'!L124</f>
        <v>164811.5580659541</v>
      </c>
      <c r="I123" s="411">
        <f t="shared" si="1"/>
        <v>2594257.9887357703</v>
      </c>
      <c r="J123" s="178"/>
    </row>
    <row r="124" spans="1:10" s="86" customFormat="1" x14ac:dyDescent="0.25">
      <c r="A124" s="364">
        <f>Données!A125</f>
        <v>5613</v>
      </c>
      <c r="B124" s="368" t="str">
        <f>Données!B125</f>
        <v>Bourg-en-Lavaux</v>
      </c>
      <c r="C124" s="366">
        <f>VPI!Q125</f>
        <v>62.5</v>
      </c>
      <c r="D124" s="371">
        <f>Données!Z125</f>
        <v>5389</v>
      </c>
      <c r="E124" s="176">
        <f>VPI!R125</f>
        <v>367206.35685333336</v>
      </c>
      <c r="F124" s="289">
        <f>+'Péréquation directe'!K131</f>
        <v>4895762.3290728778</v>
      </c>
      <c r="G124" s="299">
        <f>PCS!I131</f>
        <v>7682707.9796963297</v>
      </c>
      <c r="H124" s="315">
        <f>'Facture policière'!L125</f>
        <v>433431.17295686749</v>
      </c>
      <c r="I124" s="411">
        <f t="shared" si="1"/>
        <v>13011901.481726075</v>
      </c>
      <c r="J124" s="178"/>
    </row>
    <row r="125" spans="1:10" s="86" customFormat="1" x14ac:dyDescent="0.25">
      <c r="A125" s="364">
        <f>Données!A126</f>
        <v>5621</v>
      </c>
      <c r="B125" s="368" t="str">
        <f>Données!B126</f>
        <v>Aclens</v>
      </c>
      <c r="C125" s="366">
        <f>VPI!Q126</f>
        <v>62</v>
      </c>
      <c r="D125" s="371">
        <f>Données!Z126</f>
        <v>557</v>
      </c>
      <c r="E125" s="176">
        <f>VPI!R126</f>
        <v>39203.094076246336</v>
      </c>
      <c r="F125" s="289">
        <f>+'Péréquation directe'!K132</f>
        <v>677637.2641976818</v>
      </c>
      <c r="G125" s="299">
        <f>PCS!I132</f>
        <v>821535.37155916216</v>
      </c>
      <c r="H125" s="315">
        <f>'Facture policière'!L126</f>
        <v>96021.679323537581</v>
      </c>
      <c r="I125" s="411">
        <f t="shared" si="1"/>
        <v>1595194.3150803815</v>
      </c>
      <c r="J125" s="178"/>
    </row>
    <row r="126" spans="1:10" s="86" customFormat="1" x14ac:dyDescent="0.25">
      <c r="A126" s="364">
        <f>Données!A127</f>
        <v>5622</v>
      </c>
      <c r="B126" s="368" t="str">
        <f>Données!B127</f>
        <v>Bremblens</v>
      </c>
      <c r="C126" s="366">
        <f>VPI!Q127</f>
        <v>68</v>
      </c>
      <c r="D126" s="371">
        <f>Données!Z127</f>
        <v>604</v>
      </c>
      <c r="E126" s="176">
        <f>VPI!R127</f>
        <v>30852.761617647058</v>
      </c>
      <c r="F126" s="289">
        <f>+'Péréquation directe'!K133</f>
        <v>511927.43485736486</v>
      </c>
      <c r="G126" s="299">
        <f>PCS!I133</f>
        <v>539070.4777394823</v>
      </c>
      <c r="H126" s="315">
        <f>'Facture policière'!L127</f>
        <v>90363.183934800341</v>
      </c>
      <c r="I126" s="411">
        <f t="shared" si="1"/>
        <v>1141361.0965316475</v>
      </c>
      <c r="J126" s="178"/>
    </row>
    <row r="127" spans="1:10" s="86" customFormat="1" x14ac:dyDescent="0.25">
      <c r="A127" s="364">
        <f>Données!A128</f>
        <v>5623</v>
      </c>
      <c r="B127" s="368" t="str">
        <f>Données!B128</f>
        <v>Buchillon</v>
      </c>
      <c r="C127" s="366">
        <f>VPI!Q128</f>
        <v>52</v>
      </c>
      <c r="D127" s="371">
        <f>Données!Z128</f>
        <v>670</v>
      </c>
      <c r="E127" s="176">
        <f>VPI!R128</f>
        <v>88403.083461538452</v>
      </c>
      <c r="F127" s="289">
        <f>+'Péréquation directe'!K134</f>
        <v>1603686.7281737931</v>
      </c>
      <c r="G127" s="299">
        <f>PCS!I134</f>
        <v>2288209.7862809179</v>
      </c>
      <c r="H127" s="315">
        <f>'Facture policière'!L128</f>
        <v>104346.37484514626</v>
      </c>
      <c r="I127" s="411">
        <f t="shared" si="1"/>
        <v>3996242.8892998574</v>
      </c>
      <c r="J127" s="178"/>
    </row>
    <row r="128" spans="1:10" s="86" customFormat="1" x14ac:dyDescent="0.25">
      <c r="A128" s="364">
        <f>Données!A129</f>
        <v>5624</v>
      </c>
      <c r="B128" s="368" t="str">
        <f>Données!B129</f>
        <v>Bussigny</v>
      </c>
      <c r="C128" s="366">
        <f>VPI!Q129</f>
        <v>62.5</v>
      </c>
      <c r="D128" s="371">
        <f>Données!Z129</f>
        <v>10392</v>
      </c>
      <c r="E128" s="176">
        <f>VPI!R129</f>
        <v>522420.75055999996</v>
      </c>
      <c r="F128" s="289">
        <f>+'Péréquation directe'!K135</f>
        <v>2534518.4534597285</v>
      </c>
      <c r="G128" s="299">
        <f>PCS!I135</f>
        <v>7859393.2155531719</v>
      </c>
      <c r="H128" s="315">
        <f>'Facture policière'!L129</f>
        <v>616638.12313213339</v>
      </c>
      <c r="I128" s="411">
        <f t="shared" si="1"/>
        <v>11010549.792145034</v>
      </c>
      <c r="J128" s="178"/>
    </row>
    <row r="129" spans="1:10" s="86" customFormat="1" x14ac:dyDescent="0.25">
      <c r="A129" s="364">
        <f>Données!A130</f>
        <v>5627</v>
      </c>
      <c r="B129" s="368" t="str">
        <f>Données!B130</f>
        <v>Chavannes-près-Renens</v>
      </c>
      <c r="C129" s="366">
        <f>VPI!Q130</f>
        <v>77.5</v>
      </c>
      <c r="D129" s="371">
        <f>Données!Z130</f>
        <v>8725</v>
      </c>
      <c r="E129" s="176">
        <f>VPI!R130</f>
        <v>188690.75535483871</v>
      </c>
      <c r="F129" s="289">
        <f>+'Péréquation directe'!K136</f>
        <v>-7023143.0963794012</v>
      </c>
      <c r="G129" s="299">
        <f>PCS!I136</f>
        <v>3192089.5856697252</v>
      </c>
      <c r="H129" s="315">
        <f>'Facture policière'!L130</f>
        <v>222720.69612408907</v>
      </c>
      <c r="I129" s="411">
        <f t="shared" si="1"/>
        <v>-3608332.814585587</v>
      </c>
      <c r="J129" s="178"/>
    </row>
    <row r="130" spans="1:10" s="86" customFormat="1" x14ac:dyDescent="0.25">
      <c r="A130" s="364">
        <f>Données!A131</f>
        <v>5628</v>
      </c>
      <c r="B130" s="368" t="str">
        <f>Données!B131</f>
        <v>Chigny</v>
      </c>
      <c r="C130" s="366">
        <f>VPI!Q131</f>
        <v>62</v>
      </c>
      <c r="D130" s="371">
        <f>Données!Z131</f>
        <v>419</v>
      </c>
      <c r="E130" s="176">
        <f>VPI!R131</f>
        <v>27627.379193548386</v>
      </c>
      <c r="F130" s="289">
        <f>+'Péréquation directe'!K137</f>
        <v>474132.48053748254</v>
      </c>
      <c r="G130" s="299">
        <f>PCS!I137</f>
        <v>531864.88748397247</v>
      </c>
      <c r="H130" s="315">
        <f>'Facture policière'!L131</f>
        <v>70032.85518650616</v>
      </c>
      <c r="I130" s="411">
        <f t="shared" si="1"/>
        <v>1076030.2232079611</v>
      </c>
      <c r="J130" s="178"/>
    </row>
    <row r="131" spans="1:10" s="86" customFormat="1" x14ac:dyDescent="0.25">
      <c r="A131" s="364">
        <f>Données!A132</f>
        <v>5629</v>
      </c>
      <c r="B131" s="368" t="str">
        <f>Données!B132</f>
        <v>Clarmont</v>
      </c>
      <c r="C131" s="366">
        <f>VPI!Q132</f>
        <v>72</v>
      </c>
      <c r="D131" s="371">
        <f>Données!Z132</f>
        <v>213</v>
      </c>
      <c r="E131" s="176">
        <f>VPI!R132</f>
        <v>9964.7430555555547</v>
      </c>
      <c r="F131" s="289">
        <f>+'Péréquation directe'!K138</f>
        <v>102355.72824008127</v>
      </c>
      <c r="G131" s="299">
        <f>PCS!I138</f>
        <v>132229.79792485887</v>
      </c>
      <c r="H131" s="315">
        <f>'Facture policière'!L132</f>
        <v>30600.289167634699</v>
      </c>
      <c r="I131" s="411">
        <f t="shared" si="1"/>
        <v>265185.81533257483</v>
      </c>
      <c r="J131" s="178"/>
    </row>
    <row r="132" spans="1:10" s="86" customFormat="1" x14ac:dyDescent="0.25">
      <c r="A132" s="364">
        <f>Données!A133</f>
        <v>5631</v>
      </c>
      <c r="B132" s="368" t="str">
        <f>Données!B133</f>
        <v>Denens</v>
      </c>
      <c r="C132" s="366">
        <f>VPI!Q133</f>
        <v>68</v>
      </c>
      <c r="D132" s="371">
        <f>Données!Z133</f>
        <v>715</v>
      </c>
      <c r="E132" s="176">
        <f>VPI!R133</f>
        <v>41694.310588235297</v>
      </c>
      <c r="F132" s="289">
        <f>+'Péréquation directe'!K139</f>
        <v>704879.73144640122</v>
      </c>
      <c r="G132" s="299">
        <f>PCS!I139</f>
        <v>722178.6387754227</v>
      </c>
      <c r="H132" s="315">
        <f>'Facture policière'!L133</f>
        <v>113073.9347999069</v>
      </c>
      <c r="I132" s="411">
        <f t="shared" si="1"/>
        <v>1540132.3050217307</v>
      </c>
      <c r="J132" s="178"/>
    </row>
    <row r="133" spans="1:10" s="86" customFormat="1" x14ac:dyDescent="0.25">
      <c r="A133" s="364">
        <f>Données!A134</f>
        <v>5632</v>
      </c>
      <c r="B133" s="368" t="str">
        <f>Données!B134</f>
        <v>Denges</v>
      </c>
      <c r="C133" s="366">
        <f>VPI!Q134</f>
        <v>62</v>
      </c>
      <c r="D133" s="371">
        <f>Données!Z134</f>
        <v>1778</v>
      </c>
      <c r="E133" s="176">
        <f>VPI!R134</f>
        <v>81642.531612903229</v>
      </c>
      <c r="F133" s="289">
        <f>+'Péréquation directe'!K140</f>
        <v>907582.7438514214</v>
      </c>
      <c r="G133" s="299">
        <f>PCS!I140</f>
        <v>1291155.8960150238</v>
      </c>
      <c r="H133" s="315">
        <f>'Facture policière'!L134</f>
        <v>246058.70570694466</v>
      </c>
      <c r="I133" s="411">
        <f t="shared" si="1"/>
        <v>2444797.3455733899</v>
      </c>
      <c r="J133" s="178"/>
    </row>
    <row r="134" spans="1:10" s="86" customFormat="1" x14ac:dyDescent="0.25">
      <c r="A134" s="364">
        <f>Données!A135</f>
        <v>5633</v>
      </c>
      <c r="B134" s="368" t="str">
        <f>Données!B135</f>
        <v>Echandens</v>
      </c>
      <c r="C134" s="366">
        <f>VPI!Q135</f>
        <v>60.5</v>
      </c>
      <c r="D134" s="371">
        <f>Données!Z135</f>
        <v>2891</v>
      </c>
      <c r="E134" s="176">
        <f>VPI!R135</f>
        <v>149835.3479338843</v>
      </c>
      <c r="F134" s="289">
        <f>+'Péréquation directe'!K141</f>
        <v>1207468.54924348</v>
      </c>
      <c r="G134" s="299">
        <f>PCS!I141</f>
        <v>2419619.318224804</v>
      </c>
      <c r="H134" s="315">
        <f>'Facture policière'!L135</f>
        <v>435067.17518361576</v>
      </c>
      <c r="I134" s="411">
        <f t="shared" ref="I134:I197" si="2">SUM(F134:H134)</f>
        <v>4062155.0426518996</v>
      </c>
      <c r="J134" s="178"/>
    </row>
    <row r="135" spans="1:10" s="86" customFormat="1" x14ac:dyDescent="0.25">
      <c r="A135" s="364">
        <f>Données!A136</f>
        <v>5634</v>
      </c>
      <c r="B135" s="368" t="str">
        <f>Données!B136</f>
        <v>Echichens</v>
      </c>
      <c r="C135" s="366">
        <f>VPI!Q136</f>
        <v>66</v>
      </c>
      <c r="D135" s="371">
        <f>Données!Z136</f>
        <v>3211</v>
      </c>
      <c r="E135" s="176">
        <f>VPI!R136</f>
        <v>183137.63424242428</v>
      </c>
      <c r="F135" s="289">
        <f>+'Péréquation directe'!K142</f>
        <v>2477204.9359077318</v>
      </c>
      <c r="G135" s="299">
        <f>PCS!I142</f>
        <v>3418655.5141573832</v>
      </c>
      <c r="H135" s="315">
        <f>'Facture policière'!L136</f>
        <v>502956.21897010144</v>
      </c>
      <c r="I135" s="411">
        <f t="shared" si="2"/>
        <v>6398816.6690352168</v>
      </c>
      <c r="J135" s="178"/>
    </row>
    <row r="136" spans="1:10" s="86" customFormat="1" x14ac:dyDescent="0.25">
      <c r="A136" s="364">
        <f>Données!A137</f>
        <v>5635</v>
      </c>
      <c r="B136" s="368" t="str">
        <f>Données!B137</f>
        <v>Ecublens</v>
      </c>
      <c r="C136" s="366">
        <f>VPI!Q137</f>
        <v>62.5</v>
      </c>
      <c r="D136" s="371">
        <f>Données!Z137</f>
        <v>13129</v>
      </c>
      <c r="E136" s="176">
        <f>VPI!R137</f>
        <v>516165.47293333331</v>
      </c>
      <c r="F136" s="289">
        <f>+'Péréquation directe'!K143</f>
        <v>-3884257.0029076133</v>
      </c>
      <c r="G136" s="299">
        <f>PCS!I143</f>
        <v>8304575.746760604</v>
      </c>
      <c r="H136" s="315">
        <f>'Facture policière'!L137</f>
        <v>609254.72067110275</v>
      </c>
      <c r="I136" s="411">
        <f t="shared" si="2"/>
        <v>5029573.4645240931</v>
      </c>
      <c r="J136" s="178"/>
    </row>
    <row r="137" spans="1:10" s="86" customFormat="1" x14ac:dyDescent="0.25">
      <c r="A137" s="364">
        <f>Données!A138</f>
        <v>5636</v>
      </c>
      <c r="B137" s="368" t="str">
        <f>Données!B138</f>
        <v>Etoy</v>
      </c>
      <c r="C137" s="366">
        <f>VPI!Q138</f>
        <v>60</v>
      </c>
      <c r="D137" s="371">
        <f>Données!Z138</f>
        <v>2938</v>
      </c>
      <c r="E137" s="176">
        <f>VPI!R138</f>
        <v>189458.35050000003</v>
      </c>
      <c r="F137" s="289">
        <f>+'Péréquation directe'!K144</f>
        <v>2792995.6106607532</v>
      </c>
      <c r="G137" s="299">
        <f>PCS!I144</f>
        <v>3809232.5694502983</v>
      </c>
      <c r="H137" s="315">
        <f>'Facture policière'!L138</f>
        <v>486033.89469746267</v>
      </c>
      <c r="I137" s="411">
        <f t="shared" si="2"/>
        <v>7088262.0748085137</v>
      </c>
      <c r="J137" s="178"/>
    </row>
    <row r="138" spans="1:10" s="86" customFormat="1" x14ac:dyDescent="0.25">
      <c r="A138" s="364">
        <f>Données!A139</f>
        <v>5637</v>
      </c>
      <c r="B138" s="368" t="str">
        <f>Données!B139</f>
        <v>Lavigny</v>
      </c>
      <c r="C138" s="366">
        <f>VPI!Q139</f>
        <v>73</v>
      </c>
      <c r="D138" s="371">
        <f>Données!Z139</f>
        <v>1038</v>
      </c>
      <c r="E138" s="176">
        <f>VPI!R139</f>
        <v>36293.809863013703</v>
      </c>
      <c r="F138" s="289">
        <f>+'Péréquation directe'!K145</f>
        <v>-18431.995163763524</v>
      </c>
      <c r="G138" s="299">
        <f>PCS!I145</f>
        <v>616047.04297139298</v>
      </c>
      <c r="H138" s="315">
        <f>'Facture policière'!L139</f>
        <v>109727.41771240122</v>
      </c>
      <c r="I138" s="411">
        <f t="shared" si="2"/>
        <v>707342.4655200307</v>
      </c>
      <c r="J138" s="178"/>
    </row>
    <row r="139" spans="1:10" s="86" customFormat="1" x14ac:dyDescent="0.25">
      <c r="A139" s="364">
        <f>Données!A140</f>
        <v>5638</v>
      </c>
      <c r="B139" s="368" t="str">
        <f>Données!B140</f>
        <v>Lonay</v>
      </c>
      <c r="C139" s="366">
        <f>VPI!Q140</f>
        <v>55</v>
      </c>
      <c r="D139" s="371">
        <f>Données!Z140</f>
        <v>2675</v>
      </c>
      <c r="E139" s="176">
        <f>VPI!R140</f>
        <v>153893.84090909091</v>
      </c>
      <c r="F139" s="289">
        <f>+'Péréquation directe'!K146</f>
        <v>1716233.5414772867</v>
      </c>
      <c r="G139" s="299">
        <f>PCS!I146</f>
        <v>5208022.0310178017</v>
      </c>
      <c r="H139" s="315">
        <f>'Facture policière'!L140</f>
        <v>420565.59006684413</v>
      </c>
      <c r="I139" s="411">
        <f t="shared" si="2"/>
        <v>7344821.1625619326</v>
      </c>
      <c r="J139" s="178"/>
    </row>
    <row r="140" spans="1:10" s="86" customFormat="1" x14ac:dyDescent="0.25">
      <c r="A140" s="364">
        <f>Données!A141</f>
        <v>5639</v>
      </c>
      <c r="B140" s="368" t="str">
        <f>Données!B141</f>
        <v>Lully</v>
      </c>
      <c r="C140" s="366">
        <f>VPI!Q141</f>
        <v>61</v>
      </c>
      <c r="D140" s="371">
        <f>Données!Z141</f>
        <v>825</v>
      </c>
      <c r="E140" s="176">
        <f>VPI!R141</f>
        <v>52242.173114754092</v>
      </c>
      <c r="F140" s="289">
        <f>+'Péréquation directe'!K147</f>
        <v>892346.21270290855</v>
      </c>
      <c r="G140" s="299">
        <f>PCS!I147</f>
        <v>901492.74969928304</v>
      </c>
      <c r="H140" s="315">
        <f>'Facture policière'!L141</f>
        <v>135348.71865316518</v>
      </c>
      <c r="I140" s="411">
        <f t="shared" si="2"/>
        <v>1929187.6810553567</v>
      </c>
      <c r="J140" s="178"/>
    </row>
    <row r="141" spans="1:10" s="86" customFormat="1" x14ac:dyDescent="0.25">
      <c r="A141" s="364">
        <f>Données!A142</f>
        <v>5640</v>
      </c>
      <c r="B141" s="368" t="str">
        <f>Données!B142</f>
        <v>Lussy-sur-Morges</v>
      </c>
      <c r="C141" s="366">
        <f>VPI!Q142</f>
        <v>64.5</v>
      </c>
      <c r="D141" s="371">
        <f>Données!Z142</f>
        <v>730</v>
      </c>
      <c r="E141" s="176">
        <f>VPI!R142</f>
        <v>57771.49271317829</v>
      </c>
      <c r="F141" s="289">
        <f>+'Péréquation directe'!K148</f>
        <v>1010315.7127702542</v>
      </c>
      <c r="G141" s="299">
        <f>PCS!I148</f>
        <v>3238522.2614371646</v>
      </c>
      <c r="H141" s="315">
        <f>'Facture policière'!L142</f>
        <v>68190.447640162325</v>
      </c>
      <c r="I141" s="411">
        <f t="shared" si="2"/>
        <v>4317028.4218475809</v>
      </c>
      <c r="J141" s="178"/>
    </row>
    <row r="142" spans="1:10" s="86" customFormat="1" x14ac:dyDescent="0.25">
      <c r="A142" s="364">
        <f>Données!A143</f>
        <v>5642</v>
      </c>
      <c r="B142" s="368" t="str">
        <f>Données!B143</f>
        <v>Morges</v>
      </c>
      <c r="C142" s="366">
        <f>VPI!Q143</f>
        <v>67</v>
      </c>
      <c r="D142" s="371">
        <f>Données!Z143</f>
        <v>17530</v>
      </c>
      <c r="E142" s="176">
        <f>VPI!R143</f>
        <v>980547.23447761196</v>
      </c>
      <c r="F142" s="289">
        <f>+'Péréquation directe'!K149</f>
        <v>4609172.4158352651</v>
      </c>
      <c r="G142" s="299">
        <f>PCS!I149</f>
        <v>16723730.148998016</v>
      </c>
      <c r="H142" s="315">
        <f>'Facture policière'!L143</f>
        <v>1157386.6575218195</v>
      </c>
      <c r="I142" s="411">
        <f t="shared" si="2"/>
        <v>22490289.222355101</v>
      </c>
      <c r="J142" s="178"/>
    </row>
    <row r="143" spans="1:10" s="86" customFormat="1" x14ac:dyDescent="0.25">
      <c r="A143" s="364">
        <f>Données!A144</f>
        <v>5643</v>
      </c>
      <c r="B143" s="368" t="str">
        <f>Données!B144</f>
        <v>Préverenges</v>
      </c>
      <c r="C143" s="366">
        <f>VPI!Q144</f>
        <v>62.5</v>
      </c>
      <c r="D143" s="371">
        <f>Données!Z144</f>
        <v>5209</v>
      </c>
      <c r="E143" s="176">
        <f>VPI!R144</f>
        <v>252724.38943999997</v>
      </c>
      <c r="F143" s="289">
        <f>+'Péréquation directe'!K150</f>
        <v>2818517.5687182616</v>
      </c>
      <c r="G143" s="299">
        <f>PCS!I150</f>
        <v>3565636.2299253973</v>
      </c>
      <c r="H143" s="315">
        <f>'Facture policière'!L144</f>
        <v>298302.64783117146</v>
      </c>
      <c r="I143" s="411">
        <f t="shared" si="2"/>
        <v>6682456.4464748306</v>
      </c>
      <c r="J143" s="178"/>
    </row>
    <row r="144" spans="1:10" s="86" customFormat="1" x14ac:dyDescent="0.25">
      <c r="A144" s="364">
        <f>Données!A145</f>
        <v>5645</v>
      </c>
      <c r="B144" s="368" t="str">
        <f>Données!B145</f>
        <v>Romanel-sur-Morges</v>
      </c>
      <c r="C144" s="366">
        <f>VPI!Q145</f>
        <v>56</v>
      </c>
      <c r="D144" s="371">
        <f>Données!Z145</f>
        <v>458</v>
      </c>
      <c r="E144" s="176">
        <f>VPI!R145</f>
        <v>23768.997321428575</v>
      </c>
      <c r="F144" s="289">
        <f>+'Péréquation directe'!K151</f>
        <v>368091.86210183159</v>
      </c>
      <c r="G144" s="299">
        <f>PCS!I151</f>
        <v>356091.47922072682</v>
      </c>
      <c r="H144" s="315">
        <f>'Facture policière'!L145</f>
        <v>68961.904088781899</v>
      </c>
      <c r="I144" s="411">
        <f t="shared" si="2"/>
        <v>793145.24541134038</v>
      </c>
      <c r="J144" s="178"/>
    </row>
    <row r="145" spans="1:10" s="86" customFormat="1" x14ac:dyDescent="0.25">
      <c r="A145" s="364">
        <f>Données!A146</f>
        <v>5646</v>
      </c>
      <c r="B145" s="368" t="str">
        <f>Données!B146</f>
        <v>Saint-Prex</v>
      </c>
      <c r="C145" s="366">
        <f>VPI!Q146</f>
        <v>59</v>
      </c>
      <c r="D145" s="371">
        <f>Données!Z146</f>
        <v>5876</v>
      </c>
      <c r="E145" s="176">
        <f>VPI!R146</f>
        <v>515578.26330508466</v>
      </c>
      <c r="F145" s="289">
        <f>+'Péréquation directe'!K152</f>
        <v>7430801.3547494411</v>
      </c>
      <c r="G145" s="299">
        <f>PCS!I152</f>
        <v>12690325.748767952</v>
      </c>
      <c r="H145" s="315">
        <f>'Facture policière'!L146</f>
        <v>608561.60914622515</v>
      </c>
      <c r="I145" s="411">
        <f t="shared" si="2"/>
        <v>20729688.712663617</v>
      </c>
      <c r="J145" s="178"/>
    </row>
    <row r="146" spans="1:10" s="86" customFormat="1" x14ac:dyDescent="0.25">
      <c r="A146" s="364">
        <f>Données!A147</f>
        <v>5648</v>
      </c>
      <c r="B146" s="368" t="str">
        <f>Données!B147</f>
        <v>Saint-Sulpice</v>
      </c>
      <c r="C146" s="366">
        <f>VPI!Q147</f>
        <v>55</v>
      </c>
      <c r="D146" s="371">
        <f>Données!Z147</f>
        <v>5036</v>
      </c>
      <c r="E146" s="176">
        <f>VPI!R147</f>
        <v>417040.44568181824</v>
      </c>
      <c r="F146" s="289">
        <f>+'Péréquation directe'!K153</f>
        <v>6065600.4764098506</v>
      </c>
      <c r="G146" s="299">
        <f>PCS!I153</f>
        <v>8603235.8630696572</v>
      </c>
      <c r="H146" s="315">
        <f>'Facture policière'!L147</f>
        <v>492252.72430270677</v>
      </c>
      <c r="I146" s="411">
        <f t="shared" si="2"/>
        <v>15161089.063782215</v>
      </c>
      <c r="J146" s="178"/>
    </row>
    <row r="147" spans="1:10" s="86" customFormat="1" x14ac:dyDescent="0.25">
      <c r="A147" s="364">
        <f>Données!A148</f>
        <v>5649</v>
      </c>
      <c r="B147" s="368" t="str">
        <f>Données!B148</f>
        <v>Tolochenaz</v>
      </c>
      <c r="C147" s="366">
        <f>VPI!Q148</f>
        <v>64</v>
      </c>
      <c r="D147" s="371">
        <f>Données!Z148</f>
        <v>1890</v>
      </c>
      <c r="E147" s="176">
        <f>VPI!R148</f>
        <v>173464.05234375002</v>
      </c>
      <c r="F147" s="289">
        <f>+'Péréquation directe'!K154</f>
        <v>2865817.333667892</v>
      </c>
      <c r="G147" s="299">
        <f>PCS!I154</f>
        <v>4211982.4553817827</v>
      </c>
      <c r="H147" s="315">
        <f>'Facture policière'!L148</f>
        <v>204747.89248605716</v>
      </c>
      <c r="I147" s="411">
        <f t="shared" si="2"/>
        <v>7282547.681535732</v>
      </c>
      <c r="J147" s="178"/>
    </row>
    <row r="148" spans="1:10" s="86" customFormat="1" x14ac:dyDescent="0.25">
      <c r="A148" s="364">
        <f>Données!A149</f>
        <v>5650</v>
      </c>
      <c r="B148" s="368" t="str">
        <f>Données!B149</f>
        <v>Vaux-sur-Morges</v>
      </c>
      <c r="C148" s="366">
        <f>VPI!Q149</f>
        <v>56</v>
      </c>
      <c r="D148" s="371">
        <f>Données!Z149</f>
        <v>185</v>
      </c>
      <c r="E148" s="176">
        <f>VPI!R149</f>
        <v>90407.863928571445</v>
      </c>
      <c r="F148" s="289">
        <f>+'Péréquation directe'!K155</f>
        <v>735035.35789605102</v>
      </c>
      <c r="G148" s="299">
        <f>PCS!I155</f>
        <v>3620809.810675378</v>
      </c>
      <c r="H148" s="315">
        <f>'Facture policière'!L149</f>
        <v>123235.96890001647</v>
      </c>
      <c r="I148" s="411">
        <f t="shared" si="2"/>
        <v>4479081.1374714458</v>
      </c>
      <c r="J148" s="178"/>
    </row>
    <row r="149" spans="1:10" s="86" customFormat="1" x14ac:dyDescent="0.25">
      <c r="A149" s="364">
        <f>Données!A150</f>
        <v>5651</v>
      </c>
      <c r="B149" s="368" t="str">
        <f>Données!B150</f>
        <v>Villars-Sainte-Croix</v>
      </c>
      <c r="C149" s="366">
        <f>VPI!Q150</f>
        <v>60.5</v>
      </c>
      <c r="D149" s="371">
        <f>Données!Z150</f>
        <v>978</v>
      </c>
      <c r="E149" s="176">
        <f>VPI!R150</f>
        <v>56008.147272727285</v>
      </c>
      <c r="F149" s="289">
        <f>+'Péréquation directe'!K156</f>
        <v>847022.86751711625</v>
      </c>
      <c r="G149" s="299">
        <f>PCS!I156</f>
        <v>969234.95280618488</v>
      </c>
      <c r="H149" s="315">
        <f>'Facture policière'!L150</f>
        <v>66109.086932978025</v>
      </c>
      <c r="I149" s="411">
        <f t="shared" si="2"/>
        <v>1882366.9072562791</v>
      </c>
      <c r="J149" s="178"/>
    </row>
    <row r="150" spans="1:10" s="86" customFormat="1" x14ac:dyDescent="0.25">
      <c r="A150" s="364">
        <f>Données!A151</f>
        <v>5652</v>
      </c>
      <c r="B150" s="368" t="str">
        <f>Données!B151</f>
        <v>Villars-sous-Yens</v>
      </c>
      <c r="C150" s="366">
        <f>VPI!Q151</f>
        <v>76</v>
      </c>
      <c r="D150" s="371">
        <f>Données!Z151</f>
        <v>615</v>
      </c>
      <c r="E150" s="176">
        <f>VPI!R151</f>
        <v>25957.212521929825</v>
      </c>
      <c r="F150" s="289">
        <f>+'Péréquation directe'!K157</f>
        <v>139000.19812896318</v>
      </c>
      <c r="G150" s="299">
        <f>PCS!I157</f>
        <v>548257.60125921899</v>
      </c>
      <c r="H150" s="315">
        <f>'Facture policière'!L151</f>
        <v>79457.370163752305</v>
      </c>
      <c r="I150" s="411">
        <f t="shared" si="2"/>
        <v>766715.16955193446</v>
      </c>
      <c r="J150" s="178"/>
    </row>
    <row r="151" spans="1:10" s="86" customFormat="1" x14ac:dyDescent="0.25">
      <c r="A151" s="364">
        <f>Données!A152</f>
        <v>5653</v>
      </c>
      <c r="B151" s="368" t="str">
        <f>Données!B152</f>
        <v>Vufflens-le-Château</v>
      </c>
      <c r="C151" s="366">
        <f>VPI!Q152</f>
        <v>58.5</v>
      </c>
      <c r="D151" s="371">
        <f>Données!Z152</f>
        <v>884</v>
      </c>
      <c r="E151" s="176">
        <f>VPI!R152</f>
        <v>71346.970598290602</v>
      </c>
      <c r="F151" s="289">
        <f>+'Péréquation directe'!K158</f>
        <v>1249988.5463660264</v>
      </c>
      <c r="G151" s="299">
        <f>PCS!I158</f>
        <v>1504559.7942003419</v>
      </c>
      <c r="H151" s="315">
        <f>'Facture policière'!L152</f>
        <v>163168.6010849599</v>
      </c>
      <c r="I151" s="411">
        <f t="shared" si="2"/>
        <v>2917716.941651328</v>
      </c>
      <c r="J151" s="178"/>
    </row>
    <row r="152" spans="1:10" s="86" customFormat="1" x14ac:dyDescent="0.25">
      <c r="A152" s="364">
        <f>Données!A153</f>
        <v>5654</v>
      </c>
      <c r="B152" s="368" t="str">
        <f>Données!B153</f>
        <v>Vullierens</v>
      </c>
      <c r="C152" s="366">
        <f>VPI!Q153</f>
        <v>76</v>
      </c>
      <c r="D152" s="371">
        <f>Données!Z153</f>
        <v>562</v>
      </c>
      <c r="E152" s="176">
        <f>VPI!R153</f>
        <v>20741.31131578947</v>
      </c>
      <c r="F152" s="289">
        <f>+'Péréquation directe'!K159</f>
        <v>129370.72849521501</v>
      </c>
      <c r="G152" s="299">
        <f>PCS!I159</f>
        <v>283341.18353027682</v>
      </c>
      <c r="H152" s="315">
        <f>'Facture policière'!L153</f>
        <v>62884.661674815543</v>
      </c>
      <c r="I152" s="411">
        <f t="shared" si="2"/>
        <v>475596.57370030734</v>
      </c>
      <c r="J152" s="178"/>
    </row>
    <row r="153" spans="1:10" s="86" customFormat="1" x14ac:dyDescent="0.25">
      <c r="A153" s="364">
        <f>Données!A154</f>
        <v>5655</v>
      </c>
      <c r="B153" s="368" t="str">
        <f>Données!B154</f>
        <v>Yens</v>
      </c>
      <c r="C153" s="366">
        <f>VPI!Q154</f>
        <v>71.5</v>
      </c>
      <c r="D153" s="371">
        <f>Données!Z154</f>
        <v>1513</v>
      </c>
      <c r="E153" s="176">
        <f>VPI!R154</f>
        <v>81488.710349650341</v>
      </c>
      <c r="F153" s="289">
        <f>+'Péréquation directe'!K160</f>
        <v>1243586.1494288547</v>
      </c>
      <c r="G153" s="299">
        <f>PCS!I160</f>
        <v>1411595.9288069308</v>
      </c>
      <c r="H153" s="315">
        <f>'Facture policière'!L154</f>
        <v>231318.45076357792</v>
      </c>
      <c r="I153" s="411">
        <f t="shared" si="2"/>
        <v>2886500.5289993635</v>
      </c>
      <c r="J153" s="178"/>
    </row>
    <row r="154" spans="1:10" s="86" customFormat="1" x14ac:dyDescent="0.25">
      <c r="A154" s="364">
        <f>Données!A155</f>
        <v>5656</v>
      </c>
      <c r="B154" s="368" t="str">
        <f>Données!B155</f>
        <v>Hautemorges</v>
      </c>
      <c r="C154" s="366">
        <f>VPI!Q155</f>
        <v>72.5</v>
      </c>
      <c r="D154" s="371">
        <f>Données!Z155</f>
        <v>4257</v>
      </c>
      <c r="E154" s="176">
        <f>VPI!R155</f>
        <v>168934.99020689653</v>
      </c>
      <c r="F154" s="289">
        <f>+'Péréquation directe'!K161</f>
        <v>-41260.473782968707</v>
      </c>
      <c r="G154" s="299">
        <f>PCS!I161</f>
        <v>2576593.9580944884</v>
      </c>
      <c r="H154" s="315">
        <f>'Facture policière'!L155</f>
        <v>512017.47799820022</v>
      </c>
      <c r="I154" s="411">
        <f t="shared" si="2"/>
        <v>3047350.96230972</v>
      </c>
      <c r="J154" s="178"/>
    </row>
    <row r="155" spans="1:10" s="86" customFormat="1" x14ac:dyDescent="0.25">
      <c r="A155" s="364">
        <f>Données!A156</f>
        <v>5661</v>
      </c>
      <c r="B155" s="368" t="str">
        <f>Données!B156</f>
        <v>Boulens</v>
      </c>
      <c r="C155" s="366">
        <f>VPI!Q156</f>
        <v>71.5</v>
      </c>
      <c r="D155" s="371">
        <f>Données!Z156</f>
        <v>383</v>
      </c>
      <c r="E155" s="176">
        <f>VPI!R156</f>
        <v>11008.776923076925</v>
      </c>
      <c r="F155" s="289">
        <f>+'Péréquation directe'!K162</f>
        <v>-7947.6699750245898</v>
      </c>
      <c r="G155" s="299">
        <f>PCS!I162</f>
        <v>141729.97462479427</v>
      </c>
      <c r="H155" s="315">
        <f>'Facture policière'!L156</f>
        <v>33317.41651550548</v>
      </c>
      <c r="I155" s="411">
        <f t="shared" si="2"/>
        <v>167099.72116527514</v>
      </c>
      <c r="J155" s="178"/>
    </row>
    <row r="156" spans="1:10" s="86" customFormat="1" x14ac:dyDescent="0.25">
      <c r="A156" s="364">
        <f>Données!A157</f>
        <v>5663</v>
      </c>
      <c r="B156" s="368" t="str">
        <f>Données!B157</f>
        <v>Bussy-sur-Moudon</v>
      </c>
      <c r="C156" s="366">
        <f>VPI!Q157</f>
        <v>78.5</v>
      </c>
      <c r="D156" s="371">
        <f>Données!Z157</f>
        <v>246</v>
      </c>
      <c r="E156" s="176">
        <f>VPI!R157</f>
        <v>6460.7661146496821</v>
      </c>
      <c r="F156" s="289">
        <f>+'Péréquation directe'!K163</f>
        <v>-42768.45451069015</v>
      </c>
      <c r="G156" s="299">
        <f>PCS!I163</f>
        <v>95957.798614425905</v>
      </c>
      <c r="H156" s="315">
        <f>'Facture policière'!L157</f>
        <v>19653.766627695641</v>
      </c>
      <c r="I156" s="411">
        <f t="shared" si="2"/>
        <v>72843.110731431399</v>
      </c>
      <c r="J156" s="178"/>
    </row>
    <row r="157" spans="1:10" s="86" customFormat="1" x14ac:dyDescent="0.25">
      <c r="A157" s="364">
        <f>Données!A158</f>
        <v>5665</v>
      </c>
      <c r="B157" s="368" t="str">
        <f>Données!B158</f>
        <v>Chavannes-sur-Moudon</v>
      </c>
      <c r="C157" s="366">
        <f>VPI!Q158</f>
        <v>70</v>
      </c>
      <c r="D157" s="371">
        <f>Données!Z158</f>
        <v>218</v>
      </c>
      <c r="E157" s="176">
        <f>VPI!R158</f>
        <v>5786.5608571428584</v>
      </c>
      <c r="F157" s="289">
        <f>+'Péréquation directe'!K164</f>
        <v>-36286.111845314241</v>
      </c>
      <c r="G157" s="299">
        <f>PCS!I164</f>
        <v>93706.771376136836</v>
      </c>
      <c r="H157" s="315">
        <f>'Facture policière'!L158</f>
        <v>17585.563993264295</v>
      </c>
      <c r="I157" s="411">
        <f t="shared" si="2"/>
        <v>75006.22352408689</v>
      </c>
      <c r="J157" s="178"/>
    </row>
    <row r="158" spans="1:10" s="86" customFormat="1" x14ac:dyDescent="0.25">
      <c r="A158" s="364">
        <f>Données!A159</f>
        <v>5669</v>
      </c>
      <c r="B158" s="368" t="str">
        <f>Données!B159</f>
        <v>Curtilles</v>
      </c>
      <c r="C158" s="366">
        <f>VPI!Q159</f>
        <v>73</v>
      </c>
      <c r="D158" s="371">
        <f>Données!Z159</f>
        <v>294</v>
      </c>
      <c r="E158" s="176">
        <f>VPI!R159</f>
        <v>8428.0279452054765</v>
      </c>
      <c r="F158" s="289">
        <f>+'Péréquation directe'!K165</f>
        <v>-810.42575152494828</v>
      </c>
      <c r="G158" s="299">
        <f>PCS!I165</f>
        <v>103424.81638557377</v>
      </c>
      <c r="H158" s="315">
        <f>'Facture policière'!L159</f>
        <v>25470.785185798228</v>
      </c>
      <c r="I158" s="411">
        <f t="shared" si="2"/>
        <v>128085.17581984705</v>
      </c>
      <c r="J158" s="178"/>
    </row>
    <row r="159" spans="1:10" s="86" customFormat="1" x14ac:dyDescent="0.25">
      <c r="A159" s="364">
        <f>Données!A160</f>
        <v>5671</v>
      </c>
      <c r="B159" s="368" t="str">
        <f>Données!B160</f>
        <v>Dompierre</v>
      </c>
      <c r="C159" s="366">
        <f>VPI!Q160</f>
        <v>78</v>
      </c>
      <c r="D159" s="371">
        <f>Données!Z160</f>
        <v>248</v>
      </c>
      <c r="E159" s="176">
        <f>VPI!R160</f>
        <v>6751.3758974358971</v>
      </c>
      <c r="F159" s="289">
        <f>+'Péréquation directe'!K166</f>
        <v>-41898.898578527936</v>
      </c>
      <c r="G159" s="299">
        <f>PCS!I166</f>
        <v>87958.514074913779</v>
      </c>
      <c r="H159" s="315">
        <f>'Facture policière'!L160</f>
        <v>20513.868854815708</v>
      </c>
      <c r="I159" s="411">
        <f t="shared" si="2"/>
        <v>66573.48435120155</v>
      </c>
      <c r="J159" s="178"/>
    </row>
    <row r="160" spans="1:10" s="86" customFormat="1" x14ac:dyDescent="0.25">
      <c r="A160" s="364">
        <f>Données!A161</f>
        <v>5673</v>
      </c>
      <c r="B160" s="368" t="str">
        <f>Données!B161</f>
        <v>Hermenches</v>
      </c>
      <c r="C160" s="366">
        <f>VPI!Q161</f>
        <v>73.5</v>
      </c>
      <c r="D160" s="371">
        <f>Données!Z161</f>
        <v>374</v>
      </c>
      <c r="E160" s="176">
        <f>VPI!R161</f>
        <v>9675.0074829931946</v>
      </c>
      <c r="F160" s="289">
        <f>+'Péréquation directe'!K167</f>
        <v>-120240.74535411547</v>
      </c>
      <c r="G160" s="299">
        <f>PCS!I167</f>
        <v>145826.73857582427</v>
      </c>
      <c r="H160" s="315">
        <f>'Facture policière'!L161</f>
        <v>29359.370636919266</v>
      </c>
      <c r="I160" s="411">
        <f t="shared" si="2"/>
        <v>54945.363858628072</v>
      </c>
      <c r="J160" s="178"/>
    </row>
    <row r="161" spans="1:10" s="86" customFormat="1" x14ac:dyDescent="0.25">
      <c r="A161" s="364">
        <f>Données!A162</f>
        <v>5674</v>
      </c>
      <c r="B161" s="368" t="str">
        <f>Données!B162</f>
        <v>Lovatens</v>
      </c>
      <c r="C161" s="366">
        <f>VPI!Q162</f>
        <v>75</v>
      </c>
      <c r="D161" s="371">
        <f>Données!Z162</f>
        <v>143</v>
      </c>
      <c r="E161" s="176">
        <f>VPI!R162</f>
        <v>3538.9463999999998</v>
      </c>
      <c r="F161" s="289">
        <f>+'Péréquation directe'!K168</f>
        <v>-46262.050976958708</v>
      </c>
      <c r="G161" s="299">
        <f>PCS!I168</f>
        <v>60230.36601057701</v>
      </c>
      <c r="H161" s="315">
        <f>'Facture policière'!L162</f>
        <v>10688.170654621961</v>
      </c>
      <c r="I161" s="411">
        <f t="shared" si="2"/>
        <v>24656.485688240264</v>
      </c>
      <c r="J161" s="178"/>
    </row>
    <row r="162" spans="1:10" s="86" customFormat="1" x14ac:dyDescent="0.25">
      <c r="A162" s="364">
        <f>Données!A163</f>
        <v>5675</v>
      </c>
      <c r="B162" s="368" t="str">
        <f>Données!B163</f>
        <v>Lucens</v>
      </c>
      <c r="C162" s="366">
        <f>VPI!Q163</f>
        <v>69.5</v>
      </c>
      <c r="D162" s="371">
        <f>Données!Z163</f>
        <v>4420</v>
      </c>
      <c r="E162" s="176">
        <f>VPI!R163</f>
        <v>92803.818404185746</v>
      </c>
      <c r="F162" s="289">
        <f>+'Péréquation directe'!K169</f>
        <v>-2819601.2607334815</v>
      </c>
      <c r="G162" s="299">
        <f>PCS!I169</f>
        <v>1473495.1604347974</v>
      </c>
      <c r="H162" s="315">
        <f>'Facture policière'!L163</f>
        <v>274228.06624445529</v>
      </c>
      <c r="I162" s="411">
        <f t="shared" si="2"/>
        <v>-1071878.0340542288</v>
      </c>
      <c r="J162" s="178"/>
    </row>
    <row r="163" spans="1:10" s="86" customFormat="1" x14ac:dyDescent="0.25">
      <c r="A163" s="364">
        <f>Données!A164</f>
        <v>5678</v>
      </c>
      <c r="B163" s="368" t="str">
        <f>Données!B164</f>
        <v>Moudon</v>
      </c>
      <c r="C163" s="366">
        <f>VPI!Q164</f>
        <v>72.5</v>
      </c>
      <c r="D163" s="371">
        <f>Données!Z164</f>
        <v>6132</v>
      </c>
      <c r="E163" s="176">
        <f>VPI!R164</f>
        <v>130675.7416551724</v>
      </c>
      <c r="F163" s="289">
        <f>+'Péréquation directe'!K170</f>
        <v>-4478931.4139503855</v>
      </c>
      <c r="G163" s="299">
        <f>PCS!I170</f>
        <v>2095217.9306400404</v>
      </c>
      <c r="H163" s="315">
        <f>'Facture policière'!L164</f>
        <v>388697.57649973303</v>
      </c>
      <c r="I163" s="411">
        <f t="shared" si="2"/>
        <v>-1995015.906810612</v>
      </c>
      <c r="J163" s="178"/>
    </row>
    <row r="164" spans="1:10" s="86" customFormat="1" x14ac:dyDescent="0.25">
      <c r="A164" s="364">
        <f>Données!A165</f>
        <v>5680</v>
      </c>
      <c r="B164" s="368" t="str">
        <f>Données!B165</f>
        <v>Ogens</v>
      </c>
      <c r="C164" s="366">
        <f>VPI!Q165</f>
        <v>78</v>
      </c>
      <c r="D164" s="371">
        <f>Données!Z165</f>
        <v>324</v>
      </c>
      <c r="E164" s="176">
        <f>VPI!R165</f>
        <v>10096.830811965814</v>
      </c>
      <c r="F164" s="289">
        <f>+'Péréquation directe'!K171</f>
        <v>-445.0951728647924</v>
      </c>
      <c r="G164" s="299">
        <f>PCS!I171</f>
        <v>192425.72181682385</v>
      </c>
      <c r="H164" s="315">
        <f>'Facture policière'!L165</f>
        <v>30599.977790331606</v>
      </c>
      <c r="I164" s="411">
        <f t="shared" si="2"/>
        <v>222580.60443429067</v>
      </c>
      <c r="J164" s="178"/>
    </row>
    <row r="165" spans="1:10" s="86" customFormat="1" x14ac:dyDescent="0.25">
      <c r="A165" s="364">
        <f>Données!A166</f>
        <v>5683</v>
      </c>
      <c r="B165" s="368" t="str">
        <f>Données!B166</f>
        <v>Prévonloup</v>
      </c>
      <c r="C165" s="366">
        <f>VPI!Q166</f>
        <v>72.5</v>
      </c>
      <c r="D165" s="371">
        <f>Données!Z166</f>
        <v>220</v>
      </c>
      <c r="E165" s="176">
        <f>VPI!R166</f>
        <v>5181.5891034482765</v>
      </c>
      <c r="F165" s="289">
        <f>+'Péréquation directe'!K172</f>
        <v>-194398.14809141535</v>
      </c>
      <c r="G165" s="299">
        <f>PCS!I172</f>
        <v>65962.909165392688</v>
      </c>
      <c r="H165" s="315">
        <f>'Facture policière'!L166</f>
        <v>15544.53766455199</v>
      </c>
      <c r="I165" s="411">
        <f t="shared" si="2"/>
        <v>-112890.70126147068</v>
      </c>
      <c r="J165" s="178"/>
    </row>
    <row r="166" spans="1:10" s="86" customFormat="1" x14ac:dyDescent="0.25">
      <c r="A166" s="364">
        <f>Données!A167</f>
        <v>5684</v>
      </c>
      <c r="B166" s="368" t="str">
        <f>Données!B167</f>
        <v>Rossenges</v>
      </c>
      <c r="C166" s="366">
        <f>VPI!Q167</f>
        <v>75</v>
      </c>
      <c r="D166" s="371">
        <f>Données!Z167</f>
        <v>93</v>
      </c>
      <c r="E166" s="176">
        <f>VPI!R167</f>
        <v>7033.3142000000007</v>
      </c>
      <c r="F166" s="289">
        <f>+'Péréquation directe'!K173</f>
        <v>122467.05702278322</v>
      </c>
      <c r="G166" s="299">
        <f>PCS!I173</f>
        <v>140554.38016171375</v>
      </c>
      <c r="H166" s="315">
        <f>'Facture policière'!L167</f>
        <v>16608.041614059948</v>
      </c>
      <c r="I166" s="411">
        <f t="shared" si="2"/>
        <v>279629.4787985569</v>
      </c>
      <c r="J166" s="178"/>
    </row>
    <row r="167" spans="1:10" s="86" customFormat="1" x14ac:dyDescent="0.25">
      <c r="A167" s="364">
        <f>Données!A168</f>
        <v>5688</v>
      </c>
      <c r="B167" s="368" t="str">
        <f>Données!B168</f>
        <v>Syens</v>
      </c>
      <c r="C167" s="366">
        <f>VPI!Q168</f>
        <v>65</v>
      </c>
      <c r="D167" s="371">
        <f>Données!Z168</f>
        <v>164</v>
      </c>
      <c r="E167" s="176">
        <f>VPI!R168</f>
        <v>5277.0104615384616</v>
      </c>
      <c r="F167" s="289">
        <f>+'Péréquation directe'!K174</f>
        <v>16474.073820840902</v>
      </c>
      <c r="G167" s="299">
        <f>PCS!I174</f>
        <v>74533.144276989478</v>
      </c>
      <c r="H167" s="315">
        <f>'Facture policière'!L168</f>
        <v>16022.318770392998</v>
      </c>
      <c r="I167" s="411">
        <f t="shared" si="2"/>
        <v>107029.53686822338</v>
      </c>
      <c r="J167" s="178"/>
    </row>
    <row r="168" spans="1:10" s="86" customFormat="1" x14ac:dyDescent="0.25">
      <c r="A168" s="364">
        <f>Données!A169</f>
        <v>5690</v>
      </c>
      <c r="B168" s="368" t="str">
        <f>Données!B169</f>
        <v>Villars-le-Comte</v>
      </c>
      <c r="C168" s="366">
        <f>VPI!Q169</f>
        <v>70</v>
      </c>
      <c r="D168" s="371">
        <f>Données!Z169</f>
        <v>138</v>
      </c>
      <c r="E168" s="176">
        <f>VPI!R169</f>
        <v>4331.3836666666666</v>
      </c>
      <c r="F168" s="289">
        <f>+'Péréquation directe'!K175</f>
        <v>18833.284484312404</v>
      </c>
      <c r="G168" s="299">
        <f>PCS!I175</f>
        <v>67673.383675828896</v>
      </c>
      <c r="H168" s="315">
        <f>'Facture policière'!L169</f>
        <v>13131.834109156935</v>
      </c>
      <c r="I168" s="411">
        <f t="shared" si="2"/>
        <v>99638.502269298231</v>
      </c>
      <c r="J168" s="178"/>
    </row>
    <row r="169" spans="1:10" s="86" customFormat="1" x14ac:dyDescent="0.25">
      <c r="A169" s="364">
        <f>Données!A170</f>
        <v>5692</v>
      </c>
      <c r="B169" s="368" t="str">
        <f>Données!B170</f>
        <v>Vucherens</v>
      </c>
      <c r="C169" s="366">
        <f>VPI!Q170</f>
        <v>77</v>
      </c>
      <c r="D169" s="371">
        <f>Données!Z170</f>
        <v>637</v>
      </c>
      <c r="E169" s="176">
        <f>VPI!R170</f>
        <v>18948.300519480523</v>
      </c>
      <c r="F169" s="289">
        <f>+'Péréquation directe'!K176</f>
        <v>-100769.74718299584</v>
      </c>
      <c r="G169" s="299">
        <f>PCS!I176</f>
        <v>312001.33834069839</v>
      </c>
      <c r="H169" s="315">
        <f>'Facture policière'!L170</f>
        <v>57297.107054389198</v>
      </c>
      <c r="I169" s="411">
        <f t="shared" si="2"/>
        <v>268528.69821209175</v>
      </c>
      <c r="J169" s="178"/>
    </row>
    <row r="170" spans="1:10" s="86" customFormat="1" x14ac:dyDescent="0.25">
      <c r="A170" s="364">
        <f>Données!A171</f>
        <v>5693</v>
      </c>
      <c r="B170" s="368" t="str">
        <f>Données!B171</f>
        <v>Montanaire</v>
      </c>
      <c r="C170" s="366">
        <f>VPI!Q171</f>
        <v>70</v>
      </c>
      <c r="D170" s="371">
        <f>Données!Z171</f>
        <v>2820</v>
      </c>
      <c r="E170" s="176">
        <f>VPI!R171</f>
        <v>80078.044999999984</v>
      </c>
      <c r="F170" s="289">
        <f>+'Péréquation directe'!K177</f>
        <v>-1008376.2471887073</v>
      </c>
      <c r="G170" s="299">
        <f>PCS!I177</f>
        <v>1153834.8980014685</v>
      </c>
      <c r="H170" s="315">
        <f>'Facture policière'!L171</f>
        <v>241675.7706899913</v>
      </c>
      <c r="I170" s="411">
        <f t="shared" si="2"/>
        <v>387134.42150275246</v>
      </c>
      <c r="J170" s="178"/>
    </row>
    <row r="171" spans="1:10" s="86" customFormat="1" x14ac:dyDescent="0.25">
      <c r="A171" s="364">
        <f>Données!A172</f>
        <v>5701</v>
      </c>
      <c r="B171" s="368" t="str">
        <f>Données!B172</f>
        <v>Arnex-sur-Nyon</v>
      </c>
      <c r="C171" s="366">
        <f>VPI!Q172</f>
        <v>70</v>
      </c>
      <c r="D171" s="371">
        <f>Données!Z172</f>
        <v>240</v>
      </c>
      <c r="E171" s="176">
        <f>VPI!R172</f>
        <v>12996.826285714285</v>
      </c>
      <c r="F171" s="289">
        <f>+'Péréquation directe'!K178</f>
        <v>217513.81599837003</v>
      </c>
      <c r="G171" s="299">
        <f>PCS!I178</f>
        <v>376776.08880897111</v>
      </c>
      <c r="H171" s="315">
        <f>'Facture policière'!L172</f>
        <v>36776.349255316942</v>
      </c>
      <c r="I171" s="411">
        <f t="shared" si="2"/>
        <v>631066.25406265806</v>
      </c>
      <c r="J171" s="178"/>
    </row>
    <row r="172" spans="1:10" s="86" customFormat="1" x14ac:dyDescent="0.25">
      <c r="A172" s="364">
        <f>Données!A173</f>
        <v>5702</v>
      </c>
      <c r="B172" s="368" t="str">
        <f>Données!B173</f>
        <v>Arzier-Le Muids</v>
      </c>
      <c r="C172" s="366">
        <f>VPI!Q173</f>
        <v>64</v>
      </c>
      <c r="D172" s="371">
        <f>Données!Z173</f>
        <v>2954</v>
      </c>
      <c r="E172" s="176">
        <f>VPI!R173</f>
        <v>187984.45531250001</v>
      </c>
      <c r="F172" s="289">
        <f>+'Péréquation directe'!K179</f>
        <v>2221284.7794198389</v>
      </c>
      <c r="G172" s="299">
        <f>PCS!I179</f>
        <v>3711682.2213705503</v>
      </c>
      <c r="H172" s="315">
        <f>'Facture policière'!L173</f>
        <v>485723.2242891413</v>
      </c>
      <c r="I172" s="411">
        <f t="shared" si="2"/>
        <v>6418690.2250795309</v>
      </c>
      <c r="J172" s="178"/>
    </row>
    <row r="173" spans="1:10" s="86" customFormat="1" x14ac:dyDescent="0.25">
      <c r="A173" s="364">
        <f>Données!A174</f>
        <v>5703</v>
      </c>
      <c r="B173" s="368" t="str">
        <f>Données!B174</f>
        <v>Bassins</v>
      </c>
      <c r="C173" s="366">
        <f>VPI!Q174</f>
        <v>72.5</v>
      </c>
      <c r="D173" s="371">
        <f>Données!Z174</f>
        <v>1478</v>
      </c>
      <c r="E173" s="176">
        <f>VPI!R174</f>
        <v>65441.246975369453</v>
      </c>
      <c r="F173" s="289">
        <f>+'Péréquation directe'!K180</f>
        <v>819209.44734492199</v>
      </c>
      <c r="G173" s="299">
        <f>PCS!I180</f>
        <v>1002239.2184449555</v>
      </c>
      <c r="H173" s="315">
        <f>'Facture policière'!L174</f>
        <v>198619.75866719976</v>
      </c>
      <c r="I173" s="411">
        <f t="shared" si="2"/>
        <v>2020068.4244570774</v>
      </c>
      <c r="J173" s="178"/>
    </row>
    <row r="174" spans="1:10" s="86" customFormat="1" x14ac:dyDescent="0.25">
      <c r="A174" s="364">
        <f>Données!A175</f>
        <v>5704</v>
      </c>
      <c r="B174" s="368" t="str">
        <f>Données!B175</f>
        <v>Begnins</v>
      </c>
      <c r="C174" s="366">
        <f>VPI!Q175</f>
        <v>62.5</v>
      </c>
      <c r="D174" s="371">
        <f>Données!Z175</f>
        <v>1938</v>
      </c>
      <c r="E174" s="176">
        <f>VPI!R175</f>
        <v>129730.03685333332</v>
      </c>
      <c r="F174" s="289">
        <f>+'Péréquation directe'!K181</f>
        <v>2012348.4287586932</v>
      </c>
      <c r="G174" s="299">
        <f>PCS!I181</f>
        <v>3381553.4777956856</v>
      </c>
      <c r="H174" s="315">
        <f>'Facture policière'!L175</f>
        <v>326218.82030718669</v>
      </c>
      <c r="I174" s="411">
        <f t="shared" si="2"/>
        <v>5720120.7268615654</v>
      </c>
      <c r="J174" s="178"/>
    </row>
    <row r="175" spans="1:10" s="86" customFormat="1" x14ac:dyDescent="0.25">
      <c r="A175" s="364">
        <f>Données!A176</f>
        <v>5705</v>
      </c>
      <c r="B175" s="368" t="str">
        <f>Données!B176</f>
        <v>Bogis-Bossey</v>
      </c>
      <c r="C175" s="366">
        <f>VPI!Q176</f>
        <v>74.5</v>
      </c>
      <c r="D175" s="371">
        <f>Données!Z176</f>
        <v>923</v>
      </c>
      <c r="E175" s="176">
        <f>VPI!R176</f>
        <v>51044.070201342278</v>
      </c>
      <c r="F175" s="289">
        <f>+'Péréquation directe'!K182</f>
        <v>856795.93555186584</v>
      </c>
      <c r="G175" s="299">
        <f>PCS!I182</f>
        <v>1035905.6192119578</v>
      </c>
      <c r="H175" s="315">
        <f>'Facture policière'!L176</f>
        <v>142687.40062770672</v>
      </c>
      <c r="I175" s="411">
        <f t="shared" si="2"/>
        <v>2035388.9553915304</v>
      </c>
      <c r="J175" s="178"/>
    </row>
    <row r="176" spans="1:10" s="86" customFormat="1" x14ac:dyDescent="0.25">
      <c r="A176" s="364">
        <f>Données!A177</f>
        <v>5706</v>
      </c>
      <c r="B176" s="368" t="str">
        <f>Données!B177</f>
        <v>Borex</v>
      </c>
      <c r="C176" s="366">
        <f>VPI!Q177</f>
        <v>57</v>
      </c>
      <c r="D176" s="371">
        <f>Données!Z177</f>
        <v>1131</v>
      </c>
      <c r="E176" s="176">
        <f>VPI!R177</f>
        <v>156857.9796491228</v>
      </c>
      <c r="F176" s="289">
        <f>+'Péréquation directe'!K183</f>
        <v>2822536.5171410977</v>
      </c>
      <c r="G176" s="299">
        <f>PCS!I183</f>
        <v>4402683.9450686155</v>
      </c>
      <c r="H176" s="315">
        <f>'Facture policière'!L177</f>
        <v>286162.10232683766</v>
      </c>
      <c r="I176" s="411">
        <f t="shared" si="2"/>
        <v>7511382.5645365501</v>
      </c>
      <c r="J176" s="178"/>
    </row>
    <row r="177" spans="1:10" s="86" customFormat="1" x14ac:dyDescent="0.25">
      <c r="A177" s="364">
        <f>Données!A178</f>
        <v>5707</v>
      </c>
      <c r="B177" s="368" t="str">
        <f>Données!B178</f>
        <v>Chavannes-de-Bogis</v>
      </c>
      <c r="C177" s="366">
        <f>VPI!Q178</f>
        <v>58</v>
      </c>
      <c r="D177" s="371">
        <f>Données!Z178</f>
        <v>1314</v>
      </c>
      <c r="E177" s="176">
        <f>VPI!R178</f>
        <v>86804.197126436775</v>
      </c>
      <c r="F177" s="289">
        <f>+'Péréquation directe'!K184</f>
        <v>1417102.4499517253</v>
      </c>
      <c r="G177" s="299">
        <f>PCS!I184</f>
        <v>1867446.7225178424</v>
      </c>
      <c r="H177" s="315">
        <f>'Facture policière'!L178</f>
        <v>219818.90863040538</v>
      </c>
      <c r="I177" s="411">
        <f t="shared" si="2"/>
        <v>3504368.0810999731</v>
      </c>
      <c r="J177" s="178"/>
    </row>
    <row r="178" spans="1:10" s="86" customFormat="1" x14ac:dyDescent="0.25">
      <c r="A178" s="364">
        <f>Données!A179</f>
        <v>5708</v>
      </c>
      <c r="B178" s="368" t="str">
        <f>Données!B179</f>
        <v>Chavannes-des-Bois</v>
      </c>
      <c r="C178" s="366">
        <f>VPI!Q179</f>
        <v>68</v>
      </c>
      <c r="D178" s="371">
        <f>Données!Z179</f>
        <v>1019</v>
      </c>
      <c r="E178" s="176">
        <f>VPI!R179</f>
        <v>68806.761617647047</v>
      </c>
      <c r="F178" s="289">
        <f>+'Péréquation directe'!K185</f>
        <v>1179592.717205449</v>
      </c>
      <c r="G178" s="299">
        <f>PCS!I185</f>
        <v>1254939.1430438117</v>
      </c>
      <c r="H178" s="315">
        <f>'Facture policière'!L179</f>
        <v>172227.78248564724</v>
      </c>
      <c r="I178" s="411">
        <f t="shared" si="2"/>
        <v>2606759.6427349076</v>
      </c>
      <c r="J178" s="178"/>
    </row>
    <row r="179" spans="1:10" s="86" customFormat="1" x14ac:dyDescent="0.25">
      <c r="A179" s="364">
        <f>Données!A180</f>
        <v>5709</v>
      </c>
      <c r="B179" s="368" t="str">
        <f>Données!B180</f>
        <v>Chéserex</v>
      </c>
      <c r="C179" s="366">
        <f>VPI!Q180</f>
        <v>57</v>
      </c>
      <c r="D179" s="371">
        <f>Données!Z180</f>
        <v>1251</v>
      </c>
      <c r="E179" s="176">
        <f>VPI!R180</f>
        <v>90983.63491228073</v>
      </c>
      <c r="F179" s="289">
        <f>+'Péréquation directe'!K186</f>
        <v>1519766.8220563137</v>
      </c>
      <c r="G179" s="299">
        <f>PCS!I186</f>
        <v>1796564.8456367224</v>
      </c>
      <c r="H179" s="315">
        <f>'Facture policière'!L180</f>
        <v>219125.25978778515</v>
      </c>
      <c r="I179" s="411">
        <f t="shared" si="2"/>
        <v>3535456.9274808215</v>
      </c>
      <c r="J179" s="178"/>
    </row>
    <row r="180" spans="1:10" s="86" customFormat="1" x14ac:dyDescent="0.25">
      <c r="A180" s="364">
        <f>Données!A181</f>
        <v>5710</v>
      </c>
      <c r="B180" s="368" t="str">
        <f>Données!B181</f>
        <v>Coinsins</v>
      </c>
      <c r="C180" s="366">
        <f>VPI!Q181</f>
        <v>51</v>
      </c>
      <c r="D180" s="371">
        <f>Données!Z181</f>
        <v>499</v>
      </c>
      <c r="E180" s="176">
        <f>VPI!R181</f>
        <v>33549.646470588232</v>
      </c>
      <c r="F180" s="289">
        <f>+'Péréquation directe'!K187</f>
        <v>577035.31901926582</v>
      </c>
      <c r="G180" s="299">
        <f>PCS!I187</f>
        <v>617345.2310406632</v>
      </c>
      <c r="H180" s="315">
        <f>'Facture policière'!L181</f>
        <v>84168.381467941537</v>
      </c>
      <c r="I180" s="411">
        <f t="shared" si="2"/>
        <v>1278548.9315278705</v>
      </c>
      <c r="J180" s="178"/>
    </row>
    <row r="181" spans="1:10" s="86" customFormat="1" x14ac:dyDescent="0.25">
      <c r="A181" s="364">
        <f>Données!A182</f>
        <v>5711</v>
      </c>
      <c r="B181" s="368" t="str">
        <f>Données!B182</f>
        <v>Commugny</v>
      </c>
      <c r="C181" s="366">
        <f>VPI!Q182</f>
        <v>57</v>
      </c>
      <c r="D181" s="371">
        <f>Données!Z182</f>
        <v>2983</v>
      </c>
      <c r="E181" s="176">
        <f>VPI!R182</f>
        <v>305461.09360323887</v>
      </c>
      <c r="F181" s="289">
        <f>+'Péréquation directe'!K188</f>
        <v>4994535.1150824595</v>
      </c>
      <c r="G181" s="299">
        <f>PCS!I188</f>
        <v>7935139.3026794111</v>
      </c>
      <c r="H181" s="315">
        <f>'Facture policière'!L182</f>
        <v>626976.63428318966</v>
      </c>
      <c r="I181" s="411">
        <f t="shared" si="2"/>
        <v>13556651.052045058</v>
      </c>
      <c r="J181" s="178"/>
    </row>
    <row r="182" spans="1:10" s="86" customFormat="1" x14ac:dyDescent="0.25">
      <c r="A182" s="364">
        <f>Données!A183</f>
        <v>5712</v>
      </c>
      <c r="B182" s="368" t="str">
        <f>Données!B183</f>
        <v>Coppet</v>
      </c>
      <c r="C182" s="366">
        <f>VPI!Q183</f>
        <v>53</v>
      </c>
      <c r="D182" s="371">
        <f>Données!Z183</f>
        <v>3184</v>
      </c>
      <c r="E182" s="176">
        <f>VPI!R183</f>
        <v>422782.58779874217</v>
      </c>
      <c r="F182" s="289">
        <f>+'Péréquation directe'!K189</f>
        <v>7136440.8630260983</v>
      </c>
      <c r="G182" s="299">
        <f>PCS!I189</f>
        <v>12173500.540017433</v>
      </c>
      <c r="H182" s="315">
        <f>'Facture policière'!L183</f>
        <v>783409.08270685538</v>
      </c>
      <c r="I182" s="411">
        <f t="shared" si="2"/>
        <v>20093350.485750385</v>
      </c>
      <c r="J182" s="178"/>
    </row>
    <row r="183" spans="1:10" s="86" customFormat="1" x14ac:dyDescent="0.25">
      <c r="A183" s="364">
        <f>Données!A184</f>
        <v>5713</v>
      </c>
      <c r="B183" s="368" t="str">
        <f>Données!B184</f>
        <v>Crans</v>
      </c>
      <c r="C183" s="366">
        <f>VPI!Q184</f>
        <v>59</v>
      </c>
      <c r="D183" s="371">
        <f>Données!Z184</f>
        <v>2357</v>
      </c>
      <c r="E183" s="176">
        <f>VPI!R184</f>
        <v>284269.17355932208</v>
      </c>
      <c r="F183" s="289">
        <f>+'Péréquation directe'!K190</f>
        <v>4815531.2594652222</v>
      </c>
      <c r="G183" s="299">
        <f>PCS!I190</f>
        <v>8029883.56855499</v>
      </c>
      <c r="H183" s="315">
        <f>'Facture policière'!L184</f>
        <v>335536.46071685059</v>
      </c>
      <c r="I183" s="411">
        <f t="shared" si="2"/>
        <v>13180951.288737062</v>
      </c>
      <c r="J183" s="178"/>
    </row>
    <row r="184" spans="1:10" s="86" customFormat="1" x14ac:dyDescent="0.25">
      <c r="A184" s="364">
        <f>Données!A185</f>
        <v>5714</v>
      </c>
      <c r="B184" s="368" t="str">
        <f>Données!B185</f>
        <v>Crassier</v>
      </c>
      <c r="C184" s="366">
        <f>VPI!Q185</f>
        <v>66.5</v>
      </c>
      <c r="D184" s="371">
        <f>Données!Z185</f>
        <v>1233</v>
      </c>
      <c r="E184" s="176">
        <f>VPI!R185</f>
        <v>62524.655789473691</v>
      </c>
      <c r="F184" s="289">
        <f>+'Péréquation directe'!K191</f>
        <v>982177.11207417818</v>
      </c>
      <c r="G184" s="299">
        <f>PCS!I191</f>
        <v>1036962.4154366794</v>
      </c>
      <c r="H184" s="315">
        <f>'Facture policière'!L185</f>
        <v>183926.1015253464</v>
      </c>
      <c r="I184" s="411">
        <f t="shared" si="2"/>
        <v>2203065.629036204</v>
      </c>
      <c r="J184" s="178"/>
    </row>
    <row r="185" spans="1:10" s="86" customFormat="1" x14ac:dyDescent="0.25">
      <c r="A185" s="364">
        <f>Données!A186</f>
        <v>5715</v>
      </c>
      <c r="B185" s="368" t="str">
        <f>Données!B186</f>
        <v>Duillier</v>
      </c>
      <c r="C185" s="366">
        <f>VPI!Q186</f>
        <v>66</v>
      </c>
      <c r="D185" s="371">
        <f>Données!Z186</f>
        <v>1116</v>
      </c>
      <c r="E185" s="176">
        <f>VPI!R186</f>
        <v>60550.113787878792</v>
      </c>
      <c r="F185" s="289">
        <f>+'Péréquation directe'!K192</f>
        <v>986695.17297150404</v>
      </c>
      <c r="G185" s="299">
        <f>PCS!I192</f>
        <v>1010903.329833156</v>
      </c>
      <c r="H185" s="315">
        <f>'Facture policière'!L186</f>
        <v>171145.6124162394</v>
      </c>
      <c r="I185" s="411">
        <f t="shared" si="2"/>
        <v>2168744.1152208992</v>
      </c>
      <c r="J185" s="178"/>
    </row>
    <row r="186" spans="1:10" s="86" customFormat="1" x14ac:dyDescent="0.25">
      <c r="A186" s="364">
        <f>Données!A187</f>
        <v>5716</v>
      </c>
      <c r="B186" s="368" t="str">
        <f>Données!B187</f>
        <v>Eysins</v>
      </c>
      <c r="C186" s="366">
        <f>VPI!Q187</f>
        <v>59.5</v>
      </c>
      <c r="D186" s="371">
        <f>Données!Z187</f>
        <v>1768</v>
      </c>
      <c r="E186" s="176">
        <f>VPI!R187</f>
        <v>232557.04084033609</v>
      </c>
      <c r="F186" s="289">
        <f>+'Péréquation directe'!K193</f>
        <v>4039660.3156006578</v>
      </c>
      <c r="G186" s="299">
        <f>PCS!I193</f>
        <v>6647195.6828143299</v>
      </c>
      <c r="H186" s="315">
        <f>'Facture policière'!L187</f>
        <v>432406.90373472532</v>
      </c>
      <c r="I186" s="411">
        <f t="shared" si="2"/>
        <v>11119262.902149713</v>
      </c>
      <c r="J186" s="178"/>
    </row>
    <row r="187" spans="1:10" s="86" customFormat="1" x14ac:dyDescent="0.25">
      <c r="A187" s="364">
        <f>Données!A188</f>
        <v>5717</v>
      </c>
      <c r="B187" s="368" t="str">
        <f>Données!B188</f>
        <v>Founex</v>
      </c>
      <c r="C187" s="366">
        <f>VPI!Q188</f>
        <v>57</v>
      </c>
      <c r="D187" s="371">
        <f>Données!Z188</f>
        <v>3763</v>
      </c>
      <c r="E187" s="176">
        <f>VPI!R188</f>
        <v>361582.97087719297</v>
      </c>
      <c r="F187" s="289">
        <f>+'Péréquation directe'!K194</f>
        <v>5667577.0683769686</v>
      </c>
      <c r="G187" s="299">
        <f>PCS!I194</f>
        <v>9445056.4434970096</v>
      </c>
      <c r="H187" s="315">
        <f>'Facture policière'!L188</f>
        <v>762885.5823601007</v>
      </c>
      <c r="I187" s="411">
        <f t="shared" si="2"/>
        <v>15875519.094234079</v>
      </c>
      <c r="J187" s="178"/>
    </row>
    <row r="188" spans="1:10" s="86" customFormat="1" x14ac:dyDescent="0.25">
      <c r="A188" s="364">
        <f>Données!A189</f>
        <v>5718</v>
      </c>
      <c r="B188" s="368" t="str">
        <f>Données!B189</f>
        <v>Genolier</v>
      </c>
      <c r="C188" s="366">
        <f>VPI!Q189</f>
        <v>55</v>
      </c>
      <c r="D188" s="371">
        <f>Données!Z189</f>
        <v>2026</v>
      </c>
      <c r="E188" s="176">
        <f>VPI!R189</f>
        <v>212699.2265454545</v>
      </c>
      <c r="F188" s="289">
        <f>+'Péréquation directe'!K195</f>
        <v>3566801.9755453975</v>
      </c>
      <c r="G188" s="299">
        <f>PCS!I195</f>
        <v>5351420.1497688936</v>
      </c>
      <c r="H188" s="315">
        <f>'Facture policière'!L189</f>
        <v>432011.0222220571</v>
      </c>
      <c r="I188" s="411">
        <f t="shared" si="2"/>
        <v>9350233.1475363486</v>
      </c>
      <c r="J188" s="178"/>
    </row>
    <row r="189" spans="1:10" s="86" customFormat="1" x14ac:dyDescent="0.25">
      <c r="A189" s="364">
        <f>Données!A190</f>
        <v>5719</v>
      </c>
      <c r="B189" s="368" t="str">
        <f>Données!B190</f>
        <v>Gingins</v>
      </c>
      <c r="C189" s="366">
        <f>VPI!Q190</f>
        <v>60</v>
      </c>
      <c r="D189" s="371">
        <f>Données!Z190</f>
        <v>1270</v>
      </c>
      <c r="E189" s="176">
        <f>VPI!R190</f>
        <v>119943.29911111109</v>
      </c>
      <c r="F189" s="289">
        <f>+'Péréquation directe'!K196</f>
        <v>2066567.6038695485</v>
      </c>
      <c r="G189" s="299">
        <f>PCS!I196</f>
        <v>3131249.4123099246</v>
      </c>
      <c r="H189" s="315">
        <f>'Facture policière'!L190</f>
        <v>255004.7154179436</v>
      </c>
      <c r="I189" s="411">
        <f t="shared" si="2"/>
        <v>5452821.731597417</v>
      </c>
      <c r="J189" s="178"/>
    </row>
    <row r="190" spans="1:10" s="86" customFormat="1" x14ac:dyDescent="0.25">
      <c r="A190" s="364">
        <f>Données!A191</f>
        <v>5720</v>
      </c>
      <c r="B190" s="368" t="str">
        <f>Données!B191</f>
        <v>Givrins</v>
      </c>
      <c r="C190" s="366">
        <f>VPI!Q191</f>
        <v>67</v>
      </c>
      <c r="D190" s="371">
        <f>Données!Z191</f>
        <v>1024</v>
      </c>
      <c r="E190" s="176">
        <f>VPI!R191</f>
        <v>84868.432139303477</v>
      </c>
      <c r="F190" s="289">
        <f>+'Péréquation directe'!K197</f>
        <v>1465659.238444923</v>
      </c>
      <c r="G190" s="299">
        <f>PCS!I197</f>
        <v>1921014.3607888138</v>
      </c>
      <c r="H190" s="315">
        <f>'Facture policière'!L191</f>
        <v>191632.71257967275</v>
      </c>
      <c r="I190" s="411">
        <f t="shared" si="2"/>
        <v>3578306.3118134094</v>
      </c>
      <c r="J190" s="178"/>
    </row>
    <row r="191" spans="1:10" s="86" customFormat="1" x14ac:dyDescent="0.25">
      <c r="A191" s="364">
        <f>Données!A192</f>
        <v>5721</v>
      </c>
      <c r="B191" s="368" t="str">
        <f>Données!B192</f>
        <v>Gland</v>
      </c>
      <c r="C191" s="366">
        <f>VPI!Q192</f>
        <v>61</v>
      </c>
      <c r="D191" s="371">
        <f>Données!Z192</f>
        <v>13686</v>
      </c>
      <c r="E191" s="176">
        <f>VPI!R192</f>
        <v>688985.30491803284</v>
      </c>
      <c r="F191" s="289">
        <f>+'Péréquation directe'!K198</f>
        <v>4438967.9651054423</v>
      </c>
      <c r="G191" s="299">
        <f>PCS!I198</f>
        <v>10883016.431647103</v>
      </c>
      <c r="H191" s="315">
        <f>'Facture policière'!L192</f>
        <v>2035605.8989713411</v>
      </c>
      <c r="I191" s="411">
        <f t="shared" si="2"/>
        <v>17357590.295723885</v>
      </c>
      <c r="J191" s="178"/>
    </row>
    <row r="192" spans="1:10" s="86" customFormat="1" x14ac:dyDescent="0.25">
      <c r="A192" s="364">
        <f>Données!A193</f>
        <v>5722</v>
      </c>
      <c r="B192" s="368" t="str">
        <f>Données!B193</f>
        <v>Grens</v>
      </c>
      <c r="C192" s="366">
        <f>VPI!Q193</f>
        <v>62</v>
      </c>
      <c r="D192" s="371">
        <f>Données!Z193</f>
        <v>400</v>
      </c>
      <c r="E192" s="176">
        <f>VPI!R193</f>
        <v>20912.723225806454</v>
      </c>
      <c r="F192" s="289">
        <f>+'Péréquation directe'!K199</f>
        <v>348209.89899582049</v>
      </c>
      <c r="G192" s="299">
        <f>PCS!I199</f>
        <v>376607.13444235985</v>
      </c>
      <c r="H192" s="315">
        <f>'Facture policière'!L193</f>
        <v>60410.243508226333</v>
      </c>
      <c r="I192" s="411">
        <f t="shared" si="2"/>
        <v>785227.2769464067</v>
      </c>
      <c r="J192" s="178"/>
    </row>
    <row r="193" spans="1:10" s="86" customFormat="1" x14ac:dyDescent="0.25">
      <c r="A193" s="364">
        <f>Données!A194</f>
        <v>5723</v>
      </c>
      <c r="B193" s="368" t="str">
        <f>Données!B194</f>
        <v>Mies</v>
      </c>
      <c r="C193" s="366">
        <f>VPI!Q194</f>
        <v>52</v>
      </c>
      <c r="D193" s="371">
        <f>Données!Z194</f>
        <v>2226</v>
      </c>
      <c r="E193" s="176">
        <f>VPI!R194</f>
        <v>253771.19326923077</v>
      </c>
      <c r="F193" s="289">
        <f>+'Péréquation directe'!K200</f>
        <v>4279782.1784529407</v>
      </c>
      <c r="G193" s="299">
        <f>PCS!I200</f>
        <v>6852338.5667457171</v>
      </c>
      <c r="H193" s="315">
        <f>'Facture policière'!L194</f>
        <v>498353.20257096493</v>
      </c>
      <c r="I193" s="411">
        <f t="shared" si="2"/>
        <v>11630473.947769623</v>
      </c>
      <c r="J193" s="178"/>
    </row>
    <row r="194" spans="1:10" s="86" customFormat="1" x14ac:dyDescent="0.25">
      <c r="A194" s="364">
        <f>Données!A195</f>
        <v>5724</v>
      </c>
      <c r="B194" s="368" t="str">
        <f>Données!B195</f>
        <v>Nyon</v>
      </c>
      <c r="C194" s="366">
        <f>VPI!Q195</f>
        <v>61</v>
      </c>
      <c r="D194" s="371">
        <f>Données!Z195</f>
        <v>22461</v>
      </c>
      <c r="E194" s="176">
        <f>VPI!R195</f>
        <v>1520148.6004918031</v>
      </c>
      <c r="F194" s="289">
        <f>+'Péréquation directe'!K201</f>
        <v>9408480.3121871538</v>
      </c>
      <c r="G194" s="299">
        <f>PCS!I201</f>
        <v>30080761.047865339</v>
      </c>
      <c r="H194" s="315">
        <f>'Facture policière'!L195</f>
        <v>1794303.8803194449</v>
      </c>
      <c r="I194" s="411">
        <f t="shared" si="2"/>
        <v>41283545.240371943</v>
      </c>
      <c r="J194" s="178"/>
    </row>
    <row r="195" spans="1:10" s="86" customFormat="1" x14ac:dyDescent="0.25">
      <c r="A195" s="364">
        <f>Données!A196</f>
        <v>5725</v>
      </c>
      <c r="B195" s="368" t="str">
        <f>Données!B196</f>
        <v>Prangins</v>
      </c>
      <c r="C195" s="366">
        <f>VPI!Q196</f>
        <v>55</v>
      </c>
      <c r="D195" s="371">
        <f>Données!Z196</f>
        <v>4277</v>
      </c>
      <c r="E195" s="176">
        <f>VPI!R196</f>
        <v>388958.996077922</v>
      </c>
      <c r="F195" s="289">
        <f>+'Péréquation directe'!K202</f>
        <v>5925691.5165629815</v>
      </c>
      <c r="G195" s="299">
        <f>PCS!I202</f>
        <v>8849437.9208041336</v>
      </c>
      <c r="H195" s="315">
        <f>'Facture policière'!L196</f>
        <v>459106.85029212339</v>
      </c>
      <c r="I195" s="411">
        <f t="shared" si="2"/>
        <v>15234236.287659239</v>
      </c>
      <c r="J195" s="178"/>
    </row>
    <row r="196" spans="1:10" s="86" customFormat="1" x14ac:dyDescent="0.25">
      <c r="A196" s="364">
        <f>Données!A197</f>
        <v>5726</v>
      </c>
      <c r="B196" s="368" t="str">
        <f>Données!B197</f>
        <v>La Rippe</v>
      </c>
      <c r="C196" s="366">
        <f>VPI!Q197</f>
        <v>64</v>
      </c>
      <c r="D196" s="371">
        <f>Données!Z197</f>
        <v>1197</v>
      </c>
      <c r="E196" s="176">
        <f>VPI!R197</f>
        <v>69785.913125000021</v>
      </c>
      <c r="F196" s="289">
        <f>+'Péréquation directe'!K203</f>
        <v>1134006.9754809313</v>
      </c>
      <c r="G196" s="299">
        <f>PCS!I203</f>
        <v>1176885.6564336033</v>
      </c>
      <c r="H196" s="315">
        <f>'Facture policière'!L197</f>
        <v>189281.57348920123</v>
      </c>
      <c r="I196" s="411">
        <f t="shared" si="2"/>
        <v>2500174.2054037359</v>
      </c>
      <c r="J196" s="178"/>
    </row>
    <row r="197" spans="1:10" s="86" customFormat="1" x14ac:dyDescent="0.25">
      <c r="A197" s="364">
        <f>Données!A198</f>
        <v>5727</v>
      </c>
      <c r="B197" s="368" t="str">
        <f>Données!B198</f>
        <v>Saint-Cergue</v>
      </c>
      <c r="C197" s="366">
        <f>VPI!Q198</f>
        <v>66</v>
      </c>
      <c r="D197" s="371">
        <f>Données!Z198</f>
        <v>2786</v>
      </c>
      <c r="E197" s="176">
        <f>VPI!R198</f>
        <v>107048.1634848485</v>
      </c>
      <c r="F197" s="289">
        <f>+'Péréquation directe'!K204</f>
        <v>433973.95850624586</v>
      </c>
      <c r="G197" s="299">
        <f>PCS!I204</f>
        <v>2009254.2772073124</v>
      </c>
      <c r="H197" s="315">
        <f>'Facture policière'!L198</f>
        <v>322999.75763105229</v>
      </c>
      <c r="I197" s="411">
        <f t="shared" si="2"/>
        <v>2766227.9933446106</v>
      </c>
      <c r="J197" s="178"/>
    </row>
    <row r="198" spans="1:10" s="86" customFormat="1" x14ac:dyDescent="0.25">
      <c r="A198" s="364">
        <f>Données!A199</f>
        <v>5728</v>
      </c>
      <c r="B198" s="368" t="str">
        <f>Données!B199</f>
        <v>Signy-Avenex</v>
      </c>
      <c r="C198" s="366">
        <f>VPI!Q199</f>
        <v>58</v>
      </c>
      <c r="D198" s="371">
        <f>Données!Z199</f>
        <v>583</v>
      </c>
      <c r="E198" s="176">
        <f>VPI!R199</f>
        <v>66000.760172413793</v>
      </c>
      <c r="F198" s="289">
        <f>+'Péréquation directe'!K205</f>
        <v>1186613.3773872987</v>
      </c>
      <c r="G198" s="299">
        <f>PCS!I205</f>
        <v>1750849.8663462726</v>
      </c>
      <c r="H198" s="315">
        <f>'Facture policière'!L199</f>
        <v>129974.42978369573</v>
      </c>
      <c r="I198" s="411">
        <f t="shared" ref="I198:I261" si="3">SUM(F198:H198)</f>
        <v>3067437.6735172672</v>
      </c>
      <c r="J198" s="178"/>
    </row>
    <row r="199" spans="1:10" s="86" customFormat="1" x14ac:dyDescent="0.25">
      <c r="A199" s="364">
        <f>Données!A200</f>
        <v>5729</v>
      </c>
      <c r="B199" s="368" t="str">
        <f>Données!B200</f>
        <v>Tannay</v>
      </c>
      <c r="C199" s="366">
        <f>VPI!Q200</f>
        <v>60.5</v>
      </c>
      <c r="D199" s="371">
        <f>Données!Z200</f>
        <v>1720</v>
      </c>
      <c r="E199" s="176">
        <f>VPI!R200</f>
        <v>189085.86771349865</v>
      </c>
      <c r="F199" s="289">
        <f>+'Péréquation directe'!K206</f>
        <v>3225898.2482613372</v>
      </c>
      <c r="G199" s="299">
        <f>PCS!I206</f>
        <v>5454408.6804066533</v>
      </c>
      <c r="H199" s="315">
        <f>'Facture policière'!L200</f>
        <v>376808.69011320564</v>
      </c>
      <c r="I199" s="411">
        <f t="shared" si="3"/>
        <v>9057115.618781196</v>
      </c>
      <c r="J199" s="178"/>
    </row>
    <row r="200" spans="1:10" s="86" customFormat="1" x14ac:dyDescent="0.25">
      <c r="A200" s="364">
        <f>Données!A201</f>
        <v>5730</v>
      </c>
      <c r="B200" s="368" t="str">
        <f>Données!B201</f>
        <v>Trélex</v>
      </c>
      <c r="C200" s="366">
        <f>VPI!Q201</f>
        <v>55.5</v>
      </c>
      <c r="D200" s="371">
        <f>Données!Z201</f>
        <v>1427</v>
      </c>
      <c r="E200" s="176">
        <f>VPI!R201</f>
        <v>121414.34176176177</v>
      </c>
      <c r="F200" s="289">
        <f>+'Péréquation directe'!K207</f>
        <v>2037972.6946410926</v>
      </c>
      <c r="G200" s="299">
        <f>PCS!I207</f>
        <v>2859276.6767647909</v>
      </c>
      <c r="H200" s="315">
        <f>'Facture policière'!L201</f>
        <v>270763.49614184839</v>
      </c>
      <c r="I200" s="411">
        <f t="shared" si="3"/>
        <v>5168012.8675477318</v>
      </c>
      <c r="J200" s="178"/>
    </row>
    <row r="201" spans="1:10" s="86" customFormat="1" x14ac:dyDescent="0.25">
      <c r="A201" s="364">
        <f>Données!A202</f>
        <v>5731</v>
      </c>
      <c r="B201" s="368" t="str">
        <f>Données!B202</f>
        <v>Le Vaud</v>
      </c>
      <c r="C201" s="366">
        <f>VPI!Q202</f>
        <v>74</v>
      </c>
      <c r="D201" s="371">
        <f>Données!Z202</f>
        <v>1411</v>
      </c>
      <c r="E201" s="176">
        <f>VPI!R202</f>
        <v>69610.558648648643</v>
      </c>
      <c r="F201" s="289">
        <f>+'Péréquation directe'!K208</f>
        <v>1028199.7980791682</v>
      </c>
      <c r="G201" s="299">
        <f>PCS!I208</f>
        <v>954130.7982954866</v>
      </c>
      <c r="H201" s="315">
        <f>'Facture policière'!L202</f>
        <v>208187.98234536656</v>
      </c>
      <c r="I201" s="411">
        <f t="shared" si="3"/>
        <v>2190518.5787200211</v>
      </c>
      <c r="J201" s="178"/>
    </row>
    <row r="202" spans="1:10" s="86" customFormat="1" x14ac:dyDescent="0.25">
      <c r="A202" s="364">
        <f>Données!A203</f>
        <v>5732</v>
      </c>
      <c r="B202" s="368" t="str">
        <f>Données!B203</f>
        <v>Vich</v>
      </c>
      <c r="C202" s="366">
        <f>VPI!Q203</f>
        <v>63</v>
      </c>
      <c r="D202" s="371">
        <f>Données!Z203</f>
        <v>1160</v>
      </c>
      <c r="E202" s="176">
        <f>VPI!R203</f>
        <v>79861.73920634923</v>
      </c>
      <c r="F202" s="289">
        <f>+'Péréquation directe'!K209</f>
        <v>1340008.3930251694</v>
      </c>
      <c r="G202" s="299">
        <f>PCS!I209</f>
        <v>1490770.191624132</v>
      </c>
      <c r="H202" s="315">
        <f>'Facture policière'!L203</f>
        <v>197869.90025668195</v>
      </c>
      <c r="I202" s="411">
        <f t="shared" si="3"/>
        <v>3028648.4849059833</v>
      </c>
      <c r="J202" s="178"/>
    </row>
    <row r="203" spans="1:10" s="86" customFormat="1" x14ac:dyDescent="0.25">
      <c r="A203" s="364">
        <f>Données!A204</f>
        <v>5741</v>
      </c>
      <c r="B203" s="368" t="str">
        <f>Données!B204</f>
        <v>L'Abergement</v>
      </c>
      <c r="C203" s="366">
        <f>VPI!Q204</f>
        <v>80</v>
      </c>
      <c r="D203" s="371">
        <f>Données!Z204</f>
        <v>260</v>
      </c>
      <c r="E203" s="176">
        <f>VPI!R204</f>
        <v>10833.904395833331</v>
      </c>
      <c r="F203" s="289">
        <f>+'Péréquation directe'!K210</f>
        <v>14587.42159951129</v>
      </c>
      <c r="G203" s="299">
        <f>PCS!I210</f>
        <v>143325.86698451426</v>
      </c>
      <c r="H203" s="315">
        <f>'Facture policière'!L204</f>
        <v>33363.487965100896</v>
      </c>
      <c r="I203" s="411">
        <f t="shared" si="3"/>
        <v>191276.77654912643</v>
      </c>
      <c r="J203" s="178"/>
    </row>
    <row r="204" spans="1:10" s="86" customFormat="1" x14ac:dyDescent="0.25">
      <c r="A204" s="364">
        <f>Données!A205</f>
        <v>5742</v>
      </c>
      <c r="B204" s="368" t="str">
        <f>Données!B205</f>
        <v>Agiez</v>
      </c>
      <c r="C204" s="366">
        <f>VPI!Q205</f>
        <v>76</v>
      </c>
      <c r="D204" s="371">
        <f>Données!Z205</f>
        <v>381</v>
      </c>
      <c r="E204" s="176">
        <f>VPI!R205</f>
        <v>9049.0364473684222</v>
      </c>
      <c r="F204" s="289">
        <f>+'Péréquation directe'!K211</f>
        <v>-135106.39526926537</v>
      </c>
      <c r="G204" s="299">
        <f>PCS!I211</f>
        <v>106395.68209741016</v>
      </c>
      <c r="H204" s="315">
        <f>'Facture policière'!L205</f>
        <v>27129.140004896632</v>
      </c>
      <c r="I204" s="411">
        <f t="shared" si="3"/>
        <v>-1581.5731669585803</v>
      </c>
      <c r="J204" s="178"/>
    </row>
    <row r="205" spans="1:10" s="86" customFormat="1" x14ac:dyDescent="0.25">
      <c r="A205" s="364">
        <f>Données!A206</f>
        <v>5743</v>
      </c>
      <c r="B205" s="368" t="str">
        <f>Données!B206</f>
        <v>Arnex-sur-Orbe</v>
      </c>
      <c r="C205" s="366">
        <f>VPI!Q206</f>
        <v>71</v>
      </c>
      <c r="D205" s="371">
        <f>Données!Z206</f>
        <v>692</v>
      </c>
      <c r="E205" s="176">
        <f>VPI!R206</f>
        <v>19423.544507042254</v>
      </c>
      <c r="F205" s="289">
        <f>+'Péréquation directe'!K212</f>
        <v>-94117.14615547884</v>
      </c>
      <c r="G205" s="299">
        <f>PCS!I212</f>
        <v>315421.15826170938</v>
      </c>
      <c r="H205" s="315">
        <f>'Facture policière'!L206</f>
        <v>59189.117750812075</v>
      </c>
      <c r="I205" s="411">
        <f t="shared" si="3"/>
        <v>280493.12985704263</v>
      </c>
      <c r="J205" s="178"/>
    </row>
    <row r="206" spans="1:10" s="86" customFormat="1" x14ac:dyDescent="0.25">
      <c r="A206" s="364">
        <f>Données!A207</f>
        <v>5744</v>
      </c>
      <c r="B206" s="368" t="str">
        <f>Données!B207</f>
        <v>Ballaigues</v>
      </c>
      <c r="C206" s="366">
        <f>VPI!Q207</f>
        <v>65</v>
      </c>
      <c r="D206" s="371">
        <f>Données!Z207</f>
        <v>1152</v>
      </c>
      <c r="E206" s="176">
        <f>VPI!R207</f>
        <v>54105.101538461538</v>
      </c>
      <c r="F206" s="289">
        <f>+'Péréquation directe'!K213</f>
        <v>502949.66139047744</v>
      </c>
      <c r="G206" s="299">
        <f>PCS!I213</f>
        <v>1207948.4032099578</v>
      </c>
      <c r="H206" s="315">
        <f>'Facture policière'!L207</f>
        <v>166103.80361519157</v>
      </c>
      <c r="I206" s="411">
        <f t="shared" si="3"/>
        <v>1877001.8682156266</v>
      </c>
      <c r="J206" s="178"/>
    </row>
    <row r="207" spans="1:10" s="86" customFormat="1" x14ac:dyDescent="0.25">
      <c r="A207" s="364">
        <f>Données!A208</f>
        <v>5745</v>
      </c>
      <c r="B207" s="368" t="str">
        <f>Données!B208</f>
        <v>Baulmes</v>
      </c>
      <c r="C207" s="366">
        <f>VPI!Q208</f>
        <v>76.5</v>
      </c>
      <c r="D207" s="371">
        <f>Données!Z208</f>
        <v>1132</v>
      </c>
      <c r="E207" s="176">
        <f>VPI!R208</f>
        <v>27705.104967320265</v>
      </c>
      <c r="F207" s="289">
        <f>+'Péréquation directe'!K214</f>
        <v>-653066.34943599242</v>
      </c>
      <c r="G207" s="299">
        <f>PCS!I214</f>
        <v>459661.80397524079</v>
      </c>
      <c r="H207" s="315">
        <f>'Facture policière'!L208</f>
        <v>83993.786686396226</v>
      </c>
      <c r="I207" s="411">
        <f t="shared" si="3"/>
        <v>-109410.7587743554</v>
      </c>
      <c r="J207" s="178"/>
    </row>
    <row r="208" spans="1:10" s="86" customFormat="1" x14ac:dyDescent="0.25">
      <c r="A208" s="364">
        <f>Données!A209</f>
        <v>5746</v>
      </c>
      <c r="B208" s="368" t="str">
        <f>Données!B209</f>
        <v>Bavois</v>
      </c>
      <c r="C208" s="366">
        <f>VPI!Q209</f>
        <v>72</v>
      </c>
      <c r="D208" s="371">
        <f>Données!Z209</f>
        <v>1009</v>
      </c>
      <c r="E208" s="176">
        <f>VPI!R209</f>
        <v>29513.59275462963</v>
      </c>
      <c r="F208" s="289">
        <f>+'Péréquation directe'!K215</f>
        <v>-232881.01048803574</v>
      </c>
      <c r="G208" s="299">
        <f>PCS!I215</f>
        <v>471207.69728953519</v>
      </c>
      <c r="H208" s="315">
        <f>'Facture policière'!L209</f>
        <v>87933.883362078341</v>
      </c>
      <c r="I208" s="411">
        <f t="shared" si="3"/>
        <v>326260.5701635778</v>
      </c>
      <c r="J208" s="178"/>
    </row>
    <row r="209" spans="1:10" s="86" customFormat="1" x14ac:dyDescent="0.25">
      <c r="A209" s="364">
        <f>Données!A210</f>
        <v>5747</v>
      </c>
      <c r="B209" s="368" t="str">
        <f>Données!B210</f>
        <v>Bofflens</v>
      </c>
      <c r="C209" s="366">
        <f>VPI!Q210</f>
        <v>69</v>
      </c>
      <c r="D209" s="371">
        <f>Données!Z210</f>
        <v>204</v>
      </c>
      <c r="E209" s="176">
        <f>VPI!R210</f>
        <v>5778.0378260869547</v>
      </c>
      <c r="F209" s="289">
        <f>+'Péréquation directe'!K216</f>
        <v>-14692.018931504586</v>
      </c>
      <c r="G209" s="299">
        <f>PCS!I216</f>
        <v>107006.26408536141</v>
      </c>
      <c r="H209" s="315">
        <f>'Facture policière'!L210</f>
        <v>17381.992408160011</v>
      </c>
      <c r="I209" s="411">
        <f t="shared" si="3"/>
        <v>109696.23756201685</v>
      </c>
      <c r="J209" s="178"/>
    </row>
    <row r="210" spans="1:10" s="86" customFormat="1" x14ac:dyDescent="0.25">
      <c r="A210" s="364">
        <f>Données!A211</f>
        <v>5748</v>
      </c>
      <c r="B210" s="368" t="str">
        <f>Données!B211</f>
        <v>Bretonnières</v>
      </c>
      <c r="C210" s="366">
        <f>VPI!Q211</f>
        <v>70.5</v>
      </c>
      <c r="D210" s="371">
        <f>Données!Z211</f>
        <v>264</v>
      </c>
      <c r="E210" s="176">
        <f>VPI!R211</f>
        <v>6762.4759338061467</v>
      </c>
      <c r="F210" s="289">
        <f>+'Péréquation directe'!K217</f>
        <v>-106863.27008892955</v>
      </c>
      <c r="G210" s="299">
        <f>PCS!I217</f>
        <v>98833.747822146179</v>
      </c>
      <c r="H210" s="315">
        <f>'Facture policière'!L211</f>
        <v>20356.008127471505</v>
      </c>
      <c r="I210" s="411">
        <f t="shared" si="3"/>
        <v>12326.485860688132</v>
      </c>
      <c r="J210" s="178"/>
    </row>
    <row r="211" spans="1:10" s="86" customFormat="1" x14ac:dyDescent="0.25">
      <c r="A211" s="364">
        <f>Données!A212</f>
        <v>5749</v>
      </c>
      <c r="B211" s="368" t="str">
        <f>Données!B212</f>
        <v>Chavornay</v>
      </c>
      <c r="C211" s="366">
        <f>VPI!Q212</f>
        <v>70.5</v>
      </c>
      <c r="D211" s="371">
        <f>Données!Z212</f>
        <v>5405</v>
      </c>
      <c r="E211" s="176">
        <f>VPI!R212</f>
        <v>144692.07858156026</v>
      </c>
      <c r="F211" s="289">
        <f>+'Péréquation directe'!K218</f>
        <v>-2502623.4582627444</v>
      </c>
      <c r="G211" s="299">
        <f>PCS!I218</f>
        <v>2117475.7608495299</v>
      </c>
      <c r="H211" s="315">
        <f>'Facture policière'!L212</f>
        <v>433421.8759126761</v>
      </c>
      <c r="I211" s="411">
        <f t="shared" si="3"/>
        <v>48274.178499461617</v>
      </c>
      <c r="J211" s="178"/>
    </row>
    <row r="212" spans="1:10" s="86" customFormat="1" x14ac:dyDescent="0.25">
      <c r="A212" s="364">
        <f>Données!A213</f>
        <v>5750</v>
      </c>
      <c r="B212" s="368" t="str">
        <f>Données!B213</f>
        <v>Les Clées</v>
      </c>
      <c r="C212" s="366">
        <f>VPI!Q213</f>
        <v>80</v>
      </c>
      <c r="D212" s="371">
        <f>Données!Z213</f>
        <v>186</v>
      </c>
      <c r="E212" s="176">
        <f>VPI!R213</f>
        <v>5460.4465833333343</v>
      </c>
      <c r="F212" s="289">
        <f>+'Péréquation directe'!K219</f>
        <v>-64551.66161050355</v>
      </c>
      <c r="G212" s="299">
        <f>PCS!I219</f>
        <v>94547.232077259949</v>
      </c>
      <c r="H212" s="315">
        <f>'Facture policière'!L213</f>
        <v>16767.203229655264</v>
      </c>
      <c r="I212" s="411">
        <f t="shared" si="3"/>
        <v>46762.773696411663</v>
      </c>
      <c r="J212" s="178"/>
    </row>
    <row r="213" spans="1:10" s="86" customFormat="1" x14ac:dyDescent="0.25">
      <c r="A213" s="364">
        <f>Données!A214</f>
        <v>5752</v>
      </c>
      <c r="B213" s="368" t="str">
        <f>Données!B214</f>
        <v>Croy</v>
      </c>
      <c r="C213" s="366">
        <f>VPI!Q214</f>
        <v>74</v>
      </c>
      <c r="D213" s="371">
        <f>Données!Z214</f>
        <v>386</v>
      </c>
      <c r="E213" s="176">
        <f>VPI!R214</f>
        <v>10204.254034749034</v>
      </c>
      <c r="F213" s="289">
        <f>+'Péréquation directe'!K220</f>
        <v>-299515.17529734771</v>
      </c>
      <c r="G213" s="299">
        <f>PCS!I220</f>
        <v>144576.87374527683</v>
      </c>
      <c r="H213" s="315">
        <f>'Facture policière'!L214</f>
        <v>30748.837078961911</v>
      </c>
      <c r="I213" s="411">
        <f t="shared" si="3"/>
        <v>-124189.46447310898</v>
      </c>
      <c r="J213" s="178"/>
    </row>
    <row r="214" spans="1:10" s="86" customFormat="1" x14ac:dyDescent="0.25">
      <c r="A214" s="364">
        <f>Données!A215</f>
        <v>5754</v>
      </c>
      <c r="B214" s="368" t="str">
        <f>Données!B215</f>
        <v>Juriens</v>
      </c>
      <c r="C214" s="366">
        <f>VPI!Q215</f>
        <v>79</v>
      </c>
      <c r="D214" s="371">
        <f>Données!Z215</f>
        <v>346</v>
      </c>
      <c r="E214" s="176">
        <f>VPI!R215</f>
        <v>8633.2483544303759</v>
      </c>
      <c r="F214" s="289">
        <f>+'Péréquation directe'!K221</f>
        <v>-114883.56695321898</v>
      </c>
      <c r="G214" s="299">
        <f>PCS!I221</f>
        <v>263198.34966030857</v>
      </c>
      <c r="H214" s="315">
        <f>'Facture policière'!L215</f>
        <v>26191.045335692612</v>
      </c>
      <c r="I214" s="411">
        <f t="shared" si="3"/>
        <v>174505.8280427822</v>
      </c>
      <c r="J214" s="178"/>
    </row>
    <row r="215" spans="1:10" s="86" customFormat="1" x14ac:dyDescent="0.25">
      <c r="A215" s="364">
        <f>Données!A216</f>
        <v>5755</v>
      </c>
      <c r="B215" s="368" t="str">
        <f>Données!B216</f>
        <v>Lignerolle</v>
      </c>
      <c r="C215" s="366">
        <f>VPI!Q216</f>
        <v>78.5</v>
      </c>
      <c r="D215" s="371">
        <f>Données!Z216</f>
        <v>447</v>
      </c>
      <c r="E215" s="176">
        <f>VPI!R216</f>
        <v>10920.942602365787</v>
      </c>
      <c r="F215" s="289">
        <f>+'Péréquation directe'!K222</f>
        <v>-236177.60592782375</v>
      </c>
      <c r="G215" s="299">
        <f>PCS!I222</f>
        <v>179105.50045150859</v>
      </c>
      <c r="H215" s="315">
        <f>'Facture policière'!L216</f>
        <v>33021.59669915853</v>
      </c>
      <c r="I215" s="411">
        <f t="shared" si="3"/>
        <v>-24050.508777156632</v>
      </c>
      <c r="J215" s="178"/>
    </row>
    <row r="216" spans="1:10" s="86" customFormat="1" x14ac:dyDescent="0.25">
      <c r="A216" s="364">
        <f>Données!A217</f>
        <v>5756</v>
      </c>
      <c r="B216" s="368" t="str">
        <f>Données!B217</f>
        <v>Montcherand</v>
      </c>
      <c r="C216" s="366">
        <f>VPI!Q217</f>
        <v>72</v>
      </c>
      <c r="D216" s="371">
        <f>Données!Z217</f>
        <v>496</v>
      </c>
      <c r="E216" s="176">
        <f>VPI!R217</f>
        <v>17503.400416666664</v>
      </c>
      <c r="F216" s="289">
        <f>+'Péréquation directe'!K223</f>
        <v>79632.845365757472</v>
      </c>
      <c r="G216" s="299">
        <f>PCS!I223</f>
        <v>217256.12085762984</v>
      </c>
      <c r="H216" s="315">
        <f>'Facture policière'!L217</f>
        <v>20660.098148463432</v>
      </c>
      <c r="I216" s="411">
        <f t="shared" si="3"/>
        <v>317549.06437185069</v>
      </c>
      <c r="J216" s="178"/>
    </row>
    <row r="217" spans="1:10" s="86" customFormat="1" x14ac:dyDescent="0.25">
      <c r="A217" s="364">
        <f>Données!A218</f>
        <v>5757</v>
      </c>
      <c r="B217" s="368" t="str">
        <f>Données!B218</f>
        <v>Orbe</v>
      </c>
      <c r="C217" s="366">
        <f>VPI!Q218</f>
        <v>75.5</v>
      </c>
      <c r="D217" s="371">
        <f>Données!Z218</f>
        <v>7617</v>
      </c>
      <c r="E217" s="176">
        <f>VPI!R218</f>
        <v>217762.06927152316</v>
      </c>
      <c r="F217" s="289">
        <f>+'Péréquation directe'!K224</f>
        <v>-4838664.7887828313</v>
      </c>
      <c r="G217" s="299">
        <f>PCS!I224</f>
        <v>4302073.9594874326</v>
      </c>
      <c r="H217" s="315">
        <f>'Facture policière'!L218</f>
        <v>257034.95418400224</v>
      </c>
      <c r="I217" s="411">
        <f t="shared" si="3"/>
        <v>-279555.87511139642</v>
      </c>
      <c r="J217" s="178"/>
    </row>
    <row r="218" spans="1:10" s="86" customFormat="1" x14ac:dyDescent="0.25">
      <c r="A218" s="364">
        <f>Données!A219</f>
        <v>5758</v>
      </c>
      <c r="B218" s="368" t="str">
        <f>Données!B219</f>
        <v>La Praz</v>
      </c>
      <c r="C218" s="366">
        <f>VPI!Q219</f>
        <v>83</v>
      </c>
      <c r="D218" s="371">
        <f>Données!Z219</f>
        <v>183</v>
      </c>
      <c r="E218" s="176">
        <f>VPI!R219</f>
        <v>4500.7334939759048</v>
      </c>
      <c r="F218" s="289">
        <f>+'Péréquation directe'!K225</f>
        <v>-124005.3920039665</v>
      </c>
      <c r="G218" s="299">
        <f>PCS!I225</f>
        <v>53661.595405181324</v>
      </c>
      <c r="H218" s="315">
        <f>'Facture policière'!L219</f>
        <v>13558.398549850644</v>
      </c>
      <c r="I218" s="411">
        <f t="shared" si="3"/>
        <v>-56785.398048934534</v>
      </c>
      <c r="J218" s="178"/>
    </row>
    <row r="219" spans="1:10" s="86" customFormat="1" x14ac:dyDescent="0.25">
      <c r="A219" s="364">
        <f>Données!A220</f>
        <v>5759</v>
      </c>
      <c r="B219" s="368" t="str">
        <f>Données!B220</f>
        <v>Premier</v>
      </c>
      <c r="C219" s="366">
        <f>VPI!Q220</f>
        <v>79.5</v>
      </c>
      <c r="D219" s="371">
        <f>Données!Z220</f>
        <v>236</v>
      </c>
      <c r="E219" s="176">
        <f>VPI!R220</f>
        <v>5667.0675471698114</v>
      </c>
      <c r="F219" s="289">
        <f>+'Péréquation directe'!K226</f>
        <v>-103475.91624922385</v>
      </c>
      <c r="G219" s="299">
        <f>PCS!I226</f>
        <v>88010.877326621106</v>
      </c>
      <c r="H219" s="315">
        <f>'Facture policière'!L220</f>
        <v>17207.983514958425</v>
      </c>
      <c r="I219" s="411">
        <f t="shared" si="3"/>
        <v>1742.9445923556777</v>
      </c>
      <c r="J219" s="178"/>
    </row>
    <row r="220" spans="1:10" s="86" customFormat="1" x14ac:dyDescent="0.25">
      <c r="A220" s="364">
        <f>Données!A221</f>
        <v>5760</v>
      </c>
      <c r="B220" s="368" t="str">
        <f>Données!B221</f>
        <v>Rances</v>
      </c>
      <c r="C220" s="366">
        <f>VPI!Q221</f>
        <v>76.5</v>
      </c>
      <c r="D220" s="371">
        <f>Données!Z221</f>
        <v>521</v>
      </c>
      <c r="E220" s="176">
        <f>VPI!R221</f>
        <v>16308.735686274507</v>
      </c>
      <c r="F220" s="289">
        <f>+'Péréquation directe'!K227</f>
        <v>-118243.40540151688</v>
      </c>
      <c r="G220" s="299">
        <f>PCS!I227</f>
        <v>261068.46887980477</v>
      </c>
      <c r="H220" s="315">
        <f>'Facture policière'!L221</f>
        <v>49640.730818780285</v>
      </c>
      <c r="I220" s="411">
        <f t="shared" si="3"/>
        <v>192465.79429706818</v>
      </c>
      <c r="J220" s="178"/>
    </row>
    <row r="221" spans="1:10" s="86" customFormat="1" x14ac:dyDescent="0.25">
      <c r="A221" s="364">
        <f>Données!A222</f>
        <v>5761</v>
      </c>
      <c r="B221" s="368" t="str">
        <f>Données!B222</f>
        <v>Romainmôtier-Envy</v>
      </c>
      <c r="C221" s="366">
        <f>VPI!Q222</f>
        <v>81</v>
      </c>
      <c r="D221" s="371">
        <f>Données!Z222</f>
        <v>559</v>
      </c>
      <c r="E221" s="176">
        <f>VPI!R222</f>
        <v>14407.779147025813</v>
      </c>
      <c r="F221" s="289">
        <f>+'Péréquation directe'!K228</f>
        <v>-320601.60301232099</v>
      </c>
      <c r="G221" s="299">
        <f>PCS!I228</f>
        <v>215946.49547960062</v>
      </c>
      <c r="H221" s="315">
        <f>'Facture policière'!L222</f>
        <v>43567.206529278978</v>
      </c>
      <c r="I221" s="411">
        <f t="shared" si="3"/>
        <v>-61087.901003441395</v>
      </c>
      <c r="J221" s="178"/>
    </row>
    <row r="222" spans="1:10" s="86" customFormat="1" x14ac:dyDescent="0.25">
      <c r="A222" s="364">
        <f>Données!A223</f>
        <v>5762</v>
      </c>
      <c r="B222" s="368" t="str">
        <f>Données!B223</f>
        <v>Sergey</v>
      </c>
      <c r="C222" s="366">
        <f>VPI!Q223</f>
        <v>78</v>
      </c>
      <c r="D222" s="371">
        <f>Données!Z223</f>
        <v>140</v>
      </c>
      <c r="E222" s="176">
        <f>VPI!R223</f>
        <v>3741.4505128205124</v>
      </c>
      <c r="F222" s="289">
        <f>+'Péréquation directe'!K229</f>
        <v>-62403.624724371883</v>
      </c>
      <c r="G222" s="299">
        <f>PCS!I229</f>
        <v>50289.379042053537</v>
      </c>
      <c r="H222" s="315">
        <f>'Facture policière'!L223</f>
        <v>11362.650653704031</v>
      </c>
      <c r="I222" s="411">
        <f t="shared" si="3"/>
        <v>-751.59502861431429</v>
      </c>
      <c r="J222" s="178"/>
    </row>
    <row r="223" spans="1:10" s="86" customFormat="1" x14ac:dyDescent="0.25">
      <c r="A223" s="364">
        <f>Données!A224</f>
        <v>5763</v>
      </c>
      <c r="B223" s="368" t="str">
        <f>Données!B224</f>
        <v>Valeyres-sous-Rances</v>
      </c>
      <c r="C223" s="366">
        <f>VPI!Q224</f>
        <v>71</v>
      </c>
      <c r="D223" s="371">
        <f>Données!Z224</f>
        <v>606</v>
      </c>
      <c r="E223" s="176">
        <f>VPI!R224</f>
        <v>22297.189859154929</v>
      </c>
      <c r="F223" s="289">
        <f>+'Péréquation directe'!K230</f>
        <v>135144.02918035781</v>
      </c>
      <c r="G223" s="299">
        <f>PCS!I230</f>
        <v>279943.25791639317</v>
      </c>
      <c r="H223" s="315">
        <f>'Facture policière'!L224</f>
        <v>68105.840077699599</v>
      </c>
      <c r="I223" s="411">
        <f t="shared" si="3"/>
        <v>483193.12717445055</v>
      </c>
      <c r="J223" s="178"/>
    </row>
    <row r="224" spans="1:10" s="86" customFormat="1" x14ac:dyDescent="0.25">
      <c r="A224" s="364">
        <f>Données!A225</f>
        <v>5764</v>
      </c>
      <c r="B224" s="368" t="str">
        <f>Données!B225</f>
        <v>Vallorbe</v>
      </c>
      <c r="C224" s="366">
        <f>VPI!Q225</f>
        <v>71.5</v>
      </c>
      <c r="D224" s="371">
        <f>Données!Z225</f>
        <v>3987</v>
      </c>
      <c r="E224" s="176">
        <f>VPI!R225</f>
        <v>83717.114965034954</v>
      </c>
      <c r="F224" s="289">
        <f>+'Péréquation directe'!K231</f>
        <v>-4188705.4633259573</v>
      </c>
      <c r="G224" s="299">
        <f>PCS!I231</f>
        <v>2033526.4651321298</v>
      </c>
      <c r="H224" s="315">
        <f>'Facture policière'!L225</f>
        <v>250781.71592864275</v>
      </c>
      <c r="I224" s="411">
        <f t="shared" si="3"/>
        <v>-1904397.2822651847</v>
      </c>
      <c r="J224" s="178"/>
    </row>
    <row r="225" spans="1:10" s="86" customFormat="1" x14ac:dyDescent="0.25">
      <c r="A225" s="364">
        <f>Données!A226</f>
        <v>5765</v>
      </c>
      <c r="B225" s="368" t="str">
        <f>Données!B226</f>
        <v>Vaulion</v>
      </c>
      <c r="C225" s="366">
        <f>VPI!Q226</f>
        <v>81</v>
      </c>
      <c r="D225" s="371">
        <f>Données!Z226</f>
        <v>483</v>
      </c>
      <c r="E225" s="176">
        <f>VPI!R226</f>
        <v>9628.0504938271606</v>
      </c>
      <c r="F225" s="289">
        <f>+'Péréquation directe'!K232</f>
        <v>-377805.71028204839</v>
      </c>
      <c r="G225" s="299">
        <f>PCS!I232</f>
        <v>127728.89716476441</v>
      </c>
      <c r="H225" s="315">
        <f>'Facture policière'!L226</f>
        <v>28965.046857400135</v>
      </c>
      <c r="I225" s="411">
        <f t="shared" si="3"/>
        <v>-221111.76625988385</v>
      </c>
      <c r="J225" s="178"/>
    </row>
    <row r="226" spans="1:10" s="86" customFormat="1" x14ac:dyDescent="0.25">
      <c r="A226" s="364">
        <f>Données!A227</f>
        <v>5766</v>
      </c>
      <c r="B226" s="368" t="str">
        <f>Données!B227</f>
        <v>Vuiteboeuf</v>
      </c>
      <c r="C226" s="366">
        <f>VPI!Q227</f>
        <v>75</v>
      </c>
      <c r="D226" s="371">
        <f>Données!Z227</f>
        <v>592</v>
      </c>
      <c r="E226" s="176">
        <f>VPI!R227</f>
        <v>15422.760361904762</v>
      </c>
      <c r="F226" s="289">
        <f>+'Péréquation directe'!K233</f>
        <v>-137157.5090143336</v>
      </c>
      <c r="G226" s="299">
        <f>PCS!I233</f>
        <v>275060.49568964622</v>
      </c>
      <c r="H226" s="315">
        <f>'Facture policière'!L227</f>
        <v>46754.909344716216</v>
      </c>
      <c r="I226" s="411">
        <f t="shared" si="3"/>
        <v>184657.89602002886</v>
      </c>
      <c r="J226" s="178"/>
    </row>
    <row r="227" spans="1:10" s="86" customFormat="1" x14ac:dyDescent="0.25">
      <c r="A227" s="364">
        <f>Données!A228</f>
        <v>5785</v>
      </c>
      <c r="B227" s="368" t="str">
        <f>Données!B228</f>
        <v>Corcelles-le-Jorat</v>
      </c>
      <c r="C227" s="366">
        <f>VPI!Q228</f>
        <v>75</v>
      </c>
      <c r="D227" s="371">
        <f>Données!Z228</f>
        <v>485</v>
      </c>
      <c r="E227" s="176">
        <f>VPI!R228</f>
        <v>15461.968933333332</v>
      </c>
      <c r="F227" s="289">
        <f>+'Péréquation directe'!K234</f>
        <v>-27694.101280120783</v>
      </c>
      <c r="G227" s="299">
        <f>PCS!I234</f>
        <v>198394.12986980181</v>
      </c>
      <c r="H227" s="315">
        <f>'Facture policière'!L228</f>
        <v>47034.614424538348</v>
      </c>
      <c r="I227" s="411">
        <f t="shared" si="3"/>
        <v>217734.64301421936</v>
      </c>
      <c r="J227" s="178"/>
    </row>
    <row r="228" spans="1:10" s="86" customFormat="1" x14ac:dyDescent="0.25">
      <c r="A228" s="364">
        <f>Données!A229</f>
        <v>5790</v>
      </c>
      <c r="B228" s="368" t="str">
        <f>Données!B229</f>
        <v>Maracon</v>
      </c>
      <c r="C228" s="366">
        <f>VPI!Q229</f>
        <v>74.5</v>
      </c>
      <c r="D228" s="371">
        <f>Données!Z229</f>
        <v>544</v>
      </c>
      <c r="E228" s="176">
        <f>VPI!R229</f>
        <v>16326.697583892621</v>
      </c>
      <c r="F228" s="289">
        <f>+'Péréquation directe'!K235</f>
        <v>-36243.796569373691</v>
      </c>
      <c r="G228" s="299">
        <f>PCS!I235</f>
        <v>203520.89481981378</v>
      </c>
      <c r="H228" s="315">
        <f>'Facture policière'!L229</f>
        <v>49259.922503530019</v>
      </c>
      <c r="I228" s="411">
        <f t="shared" si="3"/>
        <v>216537.02075397011</v>
      </c>
      <c r="J228" s="178"/>
    </row>
    <row r="229" spans="1:10" s="86" customFormat="1" x14ac:dyDescent="0.25">
      <c r="A229" s="364">
        <f>Données!A230</f>
        <v>5792</v>
      </c>
      <c r="B229" s="368" t="str">
        <f>Données!B230</f>
        <v>Montpreveyres</v>
      </c>
      <c r="C229" s="366">
        <f>VPI!Q230</f>
        <v>75.5</v>
      </c>
      <c r="D229" s="371">
        <f>Données!Z230</f>
        <v>661</v>
      </c>
      <c r="E229" s="176">
        <f>VPI!R230</f>
        <v>19363.161854304632</v>
      </c>
      <c r="F229" s="289">
        <f>+'Péréquation directe'!K236</f>
        <v>-164656.97196913464</v>
      </c>
      <c r="G229" s="299">
        <f>PCS!I236</f>
        <v>245248.88708897133</v>
      </c>
      <c r="H229" s="315">
        <f>'Facture policière'!L230</f>
        <v>58211.271731474029</v>
      </c>
      <c r="I229" s="411">
        <f t="shared" si="3"/>
        <v>138803.18685131072</v>
      </c>
      <c r="J229" s="178"/>
    </row>
    <row r="230" spans="1:10" s="86" customFormat="1" x14ac:dyDescent="0.25">
      <c r="A230" s="364">
        <f>Données!A231</f>
        <v>5798</v>
      </c>
      <c r="B230" s="368" t="str">
        <f>Données!B231</f>
        <v>Ropraz</v>
      </c>
      <c r="C230" s="366">
        <f>VPI!Q231</f>
        <v>77.5</v>
      </c>
      <c r="D230" s="371">
        <f>Données!Z231</f>
        <v>529</v>
      </c>
      <c r="E230" s="176">
        <f>VPI!R231</f>
        <v>16208.351096774193</v>
      </c>
      <c r="F230" s="289">
        <f>+'Péréquation directe'!K237</f>
        <v>-71655.22361858224</v>
      </c>
      <c r="G230" s="299">
        <f>PCS!I237</f>
        <v>227199.90486529336</v>
      </c>
      <c r="H230" s="315">
        <f>'Facture policière'!L231</f>
        <v>48819.777682727683</v>
      </c>
      <c r="I230" s="411">
        <f t="shared" si="3"/>
        <v>204364.45892943878</v>
      </c>
      <c r="J230" s="178"/>
    </row>
    <row r="231" spans="1:10" s="86" customFormat="1" x14ac:dyDescent="0.25">
      <c r="A231" s="364">
        <f>Données!A232</f>
        <v>5799</v>
      </c>
      <c r="B231" s="368" t="str">
        <f>Données!B232</f>
        <v>Servion</v>
      </c>
      <c r="C231" s="366">
        <f>VPI!Q232</f>
        <v>69</v>
      </c>
      <c r="D231" s="371">
        <f>Données!Z232</f>
        <v>2136</v>
      </c>
      <c r="E231" s="176">
        <f>VPI!R232</f>
        <v>73170.718115942043</v>
      </c>
      <c r="F231" s="289">
        <f>+'Péréquation directe'!K238</f>
        <v>-88887.306611153996</v>
      </c>
      <c r="G231" s="299">
        <f>PCS!I238</f>
        <v>1275224.2392709288</v>
      </c>
      <c r="H231" s="315">
        <f>'Facture policière'!L232</f>
        <v>219645.67319093703</v>
      </c>
      <c r="I231" s="411">
        <f t="shared" si="3"/>
        <v>1405982.6058507119</v>
      </c>
      <c r="J231" s="178"/>
    </row>
    <row r="232" spans="1:10" s="86" customFormat="1" x14ac:dyDescent="0.25">
      <c r="A232" s="364">
        <f>Données!A233</f>
        <v>5803</v>
      </c>
      <c r="B232" s="368" t="str">
        <f>Données!B233</f>
        <v>Vulliens</v>
      </c>
      <c r="C232" s="366">
        <f>VPI!Q233</f>
        <v>74</v>
      </c>
      <c r="D232" s="371">
        <f>Données!Z233</f>
        <v>632</v>
      </c>
      <c r="E232" s="176">
        <f>VPI!R233</f>
        <v>16577.57405405405</v>
      </c>
      <c r="F232" s="289">
        <f>+'Péréquation directe'!K239</f>
        <v>-173920.91611214587</v>
      </c>
      <c r="G232" s="299">
        <f>PCS!I239</f>
        <v>261351.0589261885</v>
      </c>
      <c r="H232" s="315">
        <f>'Facture policière'!L233</f>
        <v>49721.139793976719</v>
      </c>
      <c r="I232" s="411">
        <f t="shared" si="3"/>
        <v>137151.28260801936</v>
      </c>
      <c r="J232" s="178"/>
    </row>
    <row r="233" spans="1:10" s="86" customFormat="1" x14ac:dyDescent="0.25">
      <c r="A233" s="364">
        <f>Données!A234</f>
        <v>5804</v>
      </c>
      <c r="B233" s="368" t="str">
        <f>Données!B234</f>
        <v>Jorat-Menthue</v>
      </c>
      <c r="C233" s="366">
        <f>VPI!Q234</f>
        <v>70.5</v>
      </c>
      <c r="D233" s="371">
        <f>Données!Z234</f>
        <v>1565</v>
      </c>
      <c r="E233" s="176">
        <f>VPI!R234</f>
        <v>45125.345957446807</v>
      </c>
      <c r="F233" s="289">
        <f>+'Péréquation directe'!K240</f>
        <v>-503815.14837434608</v>
      </c>
      <c r="G233" s="299">
        <f>PCS!I240</f>
        <v>630243.133269232</v>
      </c>
      <c r="H233" s="315">
        <f>'Facture policière'!L234</f>
        <v>135401.73207032544</v>
      </c>
      <c r="I233" s="411">
        <f t="shared" si="3"/>
        <v>261829.71696521135</v>
      </c>
      <c r="J233" s="178"/>
    </row>
    <row r="234" spans="1:10" s="86" customFormat="1" x14ac:dyDescent="0.25">
      <c r="A234" s="364">
        <f>Données!A235</f>
        <v>5805</v>
      </c>
      <c r="B234" s="368" t="str">
        <f>Données!B235</f>
        <v>Oron</v>
      </c>
      <c r="C234" s="366">
        <f>VPI!Q235</f>
        <v>69</v>
      </c>
      <c r="D234" s="371">
        <f>Données!Z235</f>
        <v>6119</v>
      </c>
      <c r="E234" s="176">
        <f>VPI!R235</f>
        <v>174509.83123847167</v>
      </c>
      <c r="F234" s="289">
        <f>+'Péréquation directe'!K241</f>
        <v>-2782151.1133948267</v>
      </c>
      <c r="G234" s="299">
        <f>PCS!I241</f>
        <v>2531430.4542069864</v>
      </c>
      <c r="H234" s="315">
        <f>'Facture policière'!L235</f>
        <v>522185.26677689131</v>
      </c>
      <c r="I234" s="411">
        <f t="shared" si="3"/>
        <v>271464.60758905101</v>
      </c>
      <c r="J234" s="178"/>
    </row>
    <row r="235" spans="1:10" s="86" customFormat="1" x14ac:dyDescent="0.25">
      <c r="A235" s="364">
        <f>Données!A236</f>
        <v>5806</v>
      </c>
      <c r="B235" s="368" t="str">
        <f>Données!B236</f>
        <v>Jorat-Mézières</v>
      </c>
      <c r="C235" s="366">
        <f>VPI!Q236</f>
        <v>73</v>
      </c>
      <c r="D235" s="371">
        <f>Données!Z236</f>
        <v>3110</v>
      </c>
      <c r="E235" s="176">
        <f>VPI!R236</f>
        <v>102977.86342465752</v>
      </c>
      <c r="F235" s="289">
        <f>+'Péréquation directe'!K242</f>
        <v>-464871.63955464889</v>
      </c>
      <c r="G235" s="299">
        <f>PCS!I242</f>
        <v>1572424.5673967961</v>
      </c>
      <c r="H235" s="315">
        <f>'Facture policière'!L236</f>
        <v>310950.48618483625</v>
      </c>
      <c r="I235" s="411">
        <f t="shared" si="3"/>
        <v>1418503.4140269835</v>
      </c>
      <c r="J235" s="178"/>
    </row>
    <row r="236" spans="1:10" s="86" customFormat="1" x14ac:dyDescent="0.25">
      <c r="A236" s="364">
        <f>Données!A237</f>
        <v>5812</v>
      </c>
      <c r="B236" s="368" t="str">
        <f>Données!B237</f>
        <v>Champtauroz</v>
      </c>
      <c r="C236" s="366">
        <f>VPI!Q237</f>
        <v>77</v>
      </c>
      <c r="D236" s="371">
        <f>Données!Z237</f>
        <v>169</v>
      </c>
      <c r="E236" s="176">
        <f>VPI!R237</f>
        <v>3659.293116883116</v>
      </c>
      <c r="F236" s="289">
        <f>+'Péréquation directe'!K243</f>
        <v>-98635.422052207097</v>
      </c>
      <c r="G236" s="299">
        <f>PCS!I243</f>
        <v>65779.083656778283</v>
      </c>
      <c r="H236" s="315">
        <f>'Facture policière'!L237</f>
        <v>11025.499714977963</v>
      </c>
      <c r="I236" s="411">
        <f t="shared" si="3"/>
        <v>-21830.838680450852</v>
      </c>
      <c r="J236" s="178"/>
    </row>
    <row r="237" spans="1:10" s="86" customFormat="1" x14ac:dyDescent="0.25">
      <c r="A237" s="364">
        <f>Données!A238</f>
        <v>5813</v>
      </c>
      <c r="B237" s="368" t="str">
        <f>Données!B238</f>
        <v>Chevroux</v>
      </c>
      <c r="C237" s="366">
        <f>VPI!Q238</f>
        <v>68.5</v>
      </c>
      <c r="D237" s="371">
        <f>Données!Z238</f>
        <v>522</v>
      </c>
      <c r="E237" s="176">
        <f>VPI!R238</f>
        <v>17498.80282238443</v>
      </c>
      <c r="F237" s="289">
        <f>+'Péréquation directe'!K244</f>
        <v>-48991.179600544623</v>
      </c>
      <c r="G237" s="299">
        <f>PCS!I244</f>
        <v>285775.78437194636</v>
      </c>
      <c r="H237" s="315">
        <f>'Facture policière'!L238</f>
        <v>52745.946133224788</v>
      </c>
      <c r="I237" s="411">
        <f t="shared" si="3"/>
        <v>289530.55090462649</v>
      </c>
      <c r="J237" s="178"/>
    </row>
    <row r="238" spans="1:10" s="86" customFormat="1" x14ac:dyDescent="0.25">
      <c r="A238" s="364">
        <f>Données!A239</f>
        <v>5816</v>
      </c>
      <c r="B238" s="368" t="str">
        <f>Données!B239</f>
        <v>Corcelles-près-Payerne</v>
      </c>
      <c r="C238" s="366">
        <f>VPI!Q239</f>
        <v>68.5</v>
      </c>
      <c r="D238" s="371">
        <f>Données!Z239</f>
        <v>2856</v>
      </c>
      <c r="E238" s="176">
        <f>VPI!R239</f>
        <v>65701.749572471308</v>
      </c>
      <c r="F238" s="289">
        <f>+'Péréquation directe'!K245</f>
        <v>-1245046.8786265461</v>
      </c>
      <c r="G238" s="299">
        <f>PCS!I245</f>
        <v>981816.27918965858</v>
      </c>
      <c r="H238" s="315">
        <f>'Facture policière'!L239</f>
        <v>195814.89803259738</v>
      </c>
      <c r="I238" s="411">
        <f t="shared" si="3"/>
        <v>-67415.701404290157</v>
      </c>
      <c r="J238" s="178"/>
    </row>
    <row r="239" spans="1:10" s="86" customFormat="1" x14ac:dyDescent="0.25">
      <c r="A239" s="364">
        <f>Données!A240</f>
        <v>5817</v>
      </c>
      <c r="B239" s="368" t="str">
        <f>Données!B240</f>
        <v>Grandcour</v>
      </c>
      <c r="C239" s="366">
        <f>VPI!Q240</f>
        <v>73.5</v>
      </c>
      <c r="D239" s="371">
        <f>Données!Z240</f>
        <v>1001</v>
      </c>
      <c r="E239" s="176">
        <f>VPI!R240</f>
        <v>25916.897414965984</v>
      </c>
      <c r="F239" s="289">
        <f>+'Péréquation directe'!K246</f>
        <v>-241905.68227857945</v>
      </c>
      <c r="G239" s="299">
        <f>PCS!I246</f>
        <v>401396.81763375923</v>
      </c>
      <c r="H239" s="315">
        <f>'Facture policière'!L240</f>
        <v>78449.891615630157</v>
      </c>
      <c r="I239" s="411">
        <f t="shared" si="3"/>
        <v>237941.02697080994</v>
      </c>
      <c r="J239" s="178"/>
    </row>
    <row r="240" spans="1:10" s="86" customFormat="1" x14ac:dyDescent="0.25">
      <c r="A240" s="364">
        <f>Données!A241</f>
        <v>5819</v>
      </c>
      <c r="B240" s="368" t="str">
        <f>Données!B241</f>
        <v>Henniez</v>
      </c>
      <c r="C240" s="366">
        <f>VPI!Q241</f>
        <v>69</v>
      </c>
      <c r="D240" s="371">
        <f>Données!Z241</f>
        <v>414</v>
      </c>
      <c r="E240" s="176">
        <f>VPI!R241</f>
        <v>10275.75579710145</v>
      </c>
      <c r="F240" s="289">
        <f>+'Péréquation directe'!K247</f>
        <v>-146245.0713705119</v>
      </c>
      <c r="G240" s="299">
        <f>PCS!I247</f>
        <v>210738.21101172146</v>
      </c>
      <c r="H240" s="315">
        <f>'Facture policière'!L241</f>
        <v>29956.623979405391</v>
      </c>
      <c r="I240" s="411">
        <f t="shared" si="3"/>
        <v>94449.763620614947</v>
      </c>
      <c r="J240" s="178"/>
    </row>
    <row r="241" spans="1:10" s="86" customFormat="1" x14ac:dyDescent="0.25">
      <c r="A241" s="364">
        <f>Données!A242</f>
        <v>5821</v>
      </c>
      <c r="B241" s="368" t="str">
        <f>Données!B242</f>
        <v>Missy</v>
      </c>
      <c r="C241" s="366">
        <f>VPI!Q242</f>
        <v>72</v>
      </c>
      <c r="D241" s="371">
        <f>Données!Z242</f>
        <v>387</v>
      </c>
      <c r="E241" s="176">
        <f>VPI!R242</f>
        <v>8375.965000000002</v>
      </c>
      <c r="F241" s="289">
        <f>+'Péréquation directe'!K248</f>
        <v>-151084.24836876526</v>
      </c>
      <c r="G241" s="299">
        <f>PCS!I248</f>
        <v>137915.69225829124</v>
      </c>
      <c r="H241" s="315">
        <f>'Facture policière'!L242</f>
        <v>25049.308668958831</v>
      </c>
      <c r="I241" s="411">
        <f t="shared" si="3"/>
        <v>11880.752558484812</v>
      </c>
      <c r="J241" s="178"/>
    </row>
    <row r="242" spans="1:10" s="86" customFormat="1" x14ac:dyDescent="0.25">
      <c r="A242" s="364">
        <f>Données!A243</f>
        <v>5822</v>
      </c>
      <c r="B242" s="368" t="str">
        <f>Données!B243</f>
        <v>Payerne</v>
      </c>
      <c r="C242" s="366">
        <f>VPI!Q243</f>
        <v>73</v>
      </c>
      <c r="D242" s="371">
        <f>Données!Z243</f>
        <v>10372</v>
      </c>
      <c r="E242" s="176">
        <f>VPI!R243</f>
        <v>226844.26479452057</v>
      </c>
      <c r="F242" s="289">
        <f>+'Péréquation directe'!K249</f>
        <v>-7174722.4033168387</v>
      </c>
      <c r="G242" s="299">
        <f>PCS!I249</f>
        <v>3667166.6237277961</v>
      </c>
      <c r="H242" s="315">
        <f>'Facture policière'!L243</f>
        <v>673493.01030878886</v>
      </c>
      <c r="I242" s="411">
        <f t="shared" si="3"/>
        <v>-2834062.7692802539</v>
      </c>
      <c r="J242" s="178"/>
    </row>
    <row r="243" spans="1:10" s="86" customFormat="1" x14ac:dyDescent="0.25">
      <c r="A243" s="364">
        <f>Données!A244</f>
        <v>5827</v>
      </c>
      <c r="B243" s="368" t="str">
        <f>Données!B244</f>
        <v>Trey</v>
      </c>
      <c r="C243" s="366">
        <f>VPI!Q244</f>
        <v>78</v>
      </c>
      <c r="D243" s="371">
        <f>Données!Z244</f>
        <v>302</v>
      </c>
      <c r="E243" s="176">
        <f>VPI!R244</f>
        <v>7715.2558974358981</v>
      </c>
      <c r="F243" s="289">
        <f>+'Péréquation directe'!K250</f>
        <v>-91018.503613513574</v>
      </c>
      <c r="G243" s="299">
        <f>PCS!I250</f>
        <v>114577.32153530454</v>
      </c>
      <c r="H243" s="315">
        <f>'Facture policière'!L244</f>
        <v>23260.616739693243</v>
      </c>
      <c r="I243" s="411">
        <f t="shared" si="3"/>
        <v>46819.434661484207</v>
      </c>
      <c r="J243" s="178"/>
    </row>
    <row r="244" spans="1:10" s="86" customFormat="1" x14ac:dyDescent="0.25">
      <c r="A244" s="364">
        <f>Données!A245</f>
        <v>5828</v>
      </c>
      <c r="B244" s="368" t="str">
        <f>Données!B245</f>
        <v>Treytorrens (Payerne)</v>
      </c>
      <c r="C244" s="366">
        <f>VPI!Q245</f>
        <v>81.5</v>
      </c>
      <c r="D244" s="371">
        <f>Données!Z245</f>
        <v>105</v>
      </c>
      <c r="E244" s="176">
        <f>VPI!R245</f>
        <v>2864.8065848670758</v>
      </c>
      <c r="F244" s="289">
        <f>+'Péréquation directe'!K251</f>
        <v>-57903.096633689427</v>
      </c>
      <c r="G244" s="299">
        <f>PCS!I251</f>
        <v>44343.951667193513</v>
      </c>
      <c r="H244" s="315">
        <f>'Facture policière'!L245</f>
        <v>8673.8867140021503</v>
      </c>
      <c r="I244" s="411">
        <f t="shared" si="3"/>
        <v>-4885.2582524937643</v>
      </c>
      <c r="J244" s="178"/>
    </row>
    <row r="245" spans="1:10" s="86" customFormat="1" x14ac:dyDescent="0.25">
      <c r="A245" s="364">
        <f>Données!A246</f>
        <v>5830</v>
      </c>
      <c r="B245" s="368" t="str">
        <f>Données!B246</f>
        <v>Villarzel</v>
      </c>
      <c r="C245" s="366">
        <f>VPI!Q246</f>
        <v>75</v>
      </c>
      <c r="D245" s="371">
        <f>Données!Z246</f>
        <v>486</v>
      </c>
      <c r="E245" s="176">
        <f>VPI!R246</f>
        <v>12474.180666666667</v>
      </c>
      <c r="F245" s="289">
        <f>+'Péréquation directe'!K252</f>
        <v>-178636.22825388159</v>
      </c>
      <c r="G245" s="299">
        <f>PCS!I252</f>
        <v>177219.80843550578</v>
      </c>
      <c r="H245" s="315">
        <f>'Facture policière'!L246</f>
        <v>37994.61292959001</v>
      </c>
      <c r="I245" s="411">
        <f t="shared" si="3"/>
        <v>36578.193111214197</v>
      </c>
      <c r="J245" s="178"/>
    </row>
    <row r="246" spans="1:10" s="86" customFormat="1" x14ac:dyDescent="0.25">
      <c r="A246" s="364">
        <f>Données!A247</f>
        <v>5831</v>
      </c>
      <c r="B246" s="368" t="str">
        <f>Données!B247</f>
        <v>Valbroye</v>
      </c>
      <c r="C246" s="366">
        <f>VPI!Q247</f>
        <v>70.5</v>
      </c>
      <c r="D246" s="371">
        <f>Données!Z247</f>
        <v>3361</v>
      </c>
      <c r="E246" s="176">
        <f>VPI!R247</f>
        <v>87470.557399527184</v>
      </c>
      <c r="F246" s="289">
        <f>+'Péréquation directe'!K253</f>
        <v>-1831678.1073412248</v>
      </c>
      <c r="G246" s="299">
        <f>PCS!I253</f>
        <v>1736249.895080203</v>
      </c>
      <c r="H246" s="315">
        <f>'Facture policière'!L247</f>
        <v>262685.02532833337</v>
      </c>
      <c r="I246" s="411">
        <f t="shared" si="3"/>
        <v>167256.81306731154</v>
      </c>
      <c r="J246" s="178"/>
    </row>
    <row r="247" spans="1:10" s="86" customFormat="1" x14ac:dyDescent="0.25">
      <c r="A247" s="364">
        <f>Données!A248</f>
        <v>5841</v>
      </c>
      <c r="B247" s="368" t="str">
        <f>Données!B248</f>
        <v>Château-d'Oex</v>
      </c>
      <c r="C247" s="366">
        <f>VPI!Q248</f>
        <v>81.5</v>
      </c>
      <c r="D247" s="371">
        <f>Données!Z248</f>
        <v>3568</v>
      </c>
      <c r="E247" s="176">
        <f>VPI!R248</f>
        <v>123828.98781186093</v>
      </c>
      <c r="F247" s="289">
        <f>+'Péréquation directe'!K254</f>
        <v>-2212278.1680751462</v>
      </c>
      <c r="G247" s="299">
        <f>PCS!I254</f>
        <v>2560631.8825317081</v>
      </c>
      <c r="H247" s="315">
        <f>'Facture policière'!L248</f>
        <v>367761.30342499388</v>
      </c>
      <c r="I247" s="411">
        <f t="shared" si="3"/>
        <v>716115.01788155583</v>
      </c>
      <c r="J247" s="178"/>
    </row>
    <row r="248" spans="1:10" s="86" customFormat="1" x14ac:dyDescent="0.25">
      <c r="A248" s="364">
        <f>Données!A249</f>
        <v>5842</v>
      </c>
      <c r="B248" s="368" t="str">
        <f>Données!B249</f>
        <v>Rossinière</v>
      </c>
      <c r="C248" s="366">
        <f>VPI!Q249</f>
        <v>81</v>
      </c>
      <c r="D248" s="371">
        <f>Données!Z249</f>
        <v>534</v>
      </c>
      <c r="E248" s="176">
        <f>VPI!R249</f>
        <v>16474.219053497945</v>
      </c>
      <c r="F248" s="289">
        <f>+'Péréquation directe'!K255</f>
        <v>-320032.17473595339</v>
      </c>
      <c r="G248" s="299">
        <f>PCS!I255</f>
        <v>242417.67232519324</v>
      </c>
      <c r="H248" s="315">
        <f>'Facture policière'!L249</f>
        <v>49975.441124579957</v>
      </c>
      <c r="I248" s="411">
        <f t="shared" si="3"/>
        <v>-27639.061286180193</v>
      </c>
      <c r="J248" s="178"/>
    </row>
    <row r="249" spans="1:10" s="86" customFormat="1" x14ac:dyDescent="0.25">
      <c r="A249" s="364">
        <f>Données!A250</f>
        <v>5843</v>
      </c>
      <c r="B249" s="368" t="str">
        <f>Données!B250</f>
        <v>Rougemont</v>
      </c>
      <c r="C249" s="366">
        <f>VPI!Q250</f>
        <v>79</v>
      </c>
      <c r="D249" s="371">
        <f>Données!Z250</f>
        <v>826</v>
      </c>
      <c r="E249" s="176">
        <f>VPI!R250</f>
        <v>89736.824345991568</v>
      </c>
      <c r="F249" s="289">
        <f>+'Péréquation directe'!K256</f>
        <v>1507708.7609348595</v>
      </c>
      <c r="G249" s="299">
        <f>PCS!I256</f>
        <v>3419525.5724560078</v>
      </c>
      <c r="H249" s="315">
        <f>'Facture policière'!L250</f>
        <v>179694.75830373279</v>
      </c>
      <c r="I249" s="411">
        <f t="shared" si="3"/>
        <v>5106929.0916945999</v>
      </c>
      <c r="J249" s="178"/>
    </row>
    <row r="250" spans="1:10" s="86" customFormat="1" x14ac:dyDescent="0.25">
      <c r="A250" s="364">
        <f>Données!A251</f>
        <v>5851</v>
      </c>
      <c r="B250" s="368" t="str">
        <f>Données!B251</f>
        <v>Allaman</v>
      </c>
      <c r="C250" s="366">
        <f>VPI!Q251</f>
        <v>65</v>
      </c>
      <c r="D250" s="371">
        <f>Données!Z251</f>
        <v>420</v>
      </c>
      <c r="E250" s="176">
        <f>VPI!R251</f>
        <v>24651.765025641023</v>
      </c>
      <c r="F250" s="289">
        <f>+'Péréquation directe'!K257</f>
        <v>409659.3157465494</v>
      </c>
      <c r="G250" s="299">
        <f>PCS!I257</f>
        <v>651775.23427053064</v>
      </c>
      <c r="H250" s="315">
        <f>'Facture policière'!L251</f>
        <v>66609.910791862392</v>
      </c>
      <c r="I250" s="411">
        <f t="shared" si="3"/>
        <v>1128044.4608089423</v>
      </c>
      <c r="J250" s="178"/>
    </row>
    <row r="251" spans="1:10" s="86" customFormat="1" x14ac:dyDescent="0.25">
      <c r="A251" s="364">
        <f>Données!A252</f>
        <v>5852</v>
      </c>
      <c r="B251" s="368" t="str">
        <f>Données!B252</f>
        <v>Bursinel</v>
      </c>
      <c r="C251" s="366">
        <f>VPI!Q252</f>
        <v>62</v>
      </c>
      <c r="D251" s="371">
        <f>Données!Z252</f>
        <v>503</v>
      </c>
      <c r="E251" s="176">
        <f>VPI!R252</f>
        <v>35649.594677419358</v>
      </c>
      <c r="F251" s="289">
        <f>+'Péréquation directe'!K258</f>
        <v>616667.04788527929</v>
      </c>
      <c r="G251" s="299">
        <f>PCS!I258</f>
        <v>709753.74128351558</v>
      </c>
      <c r="H251" s="315">
        <f>'Facture policière'!L252</f>
        <v>87004.310061708704</v>
      </c>
      <c r="I251" s="411">
        <f t="shared" si="3"/>
        <v>1413425.0992305037</v>
      </c>
      <c r="J251" s="178"/>
    </row>
    <row r="252" spans="1:10" s="86" customFormat="1" x14ac:dyDescent="0.25">
      <c r="A252" s="364">
        <f>Données!A253</f>
        <v>5853</v>
      </c>
      <c r="B252" s="368" t="str">
        <f>Données!B253</f>
        <v>Bursins</v>
      </c>
      <c r="C252" s="366">
        <f>VPI!Q253</f>
        <v>71</v>
      </c>
      <c r="D252" s="371">
        <f>Données!Z253</f>
        <v>766</v>
      </c>
      <c r="E252" s="176">
        <f>VPI!R253</f>
        <v>47536.23239436619</v>
      </c>
      <c r="F252" s="289">
        <f>+'Péréquation directe'!K259</f>
        <v>809988.18655795162</v>
      </c>
      <c r="G252" s="299">
        <f>PCS!I259</f>
        <v>1115170.0512673641</v>
      </c>
      <c r="H252" s="315">
        <f>'Facture policière'!L253</f>
        <v>124524.49345772414</v>
      </c>
      <c r="I252" s="411">
        <f t="shared" si="3"/>
        <v>2049682.7312830398</v>
      </c>
      <c r="J252" s="178"/>
    </row>
    <row r="253" spans="1:10" s="86" customFormat="1" x14ac:dyDescent="0.25">
      <c r="A253" s="364">
        <f>Données!A254</f>
        <v>5854</v>
      </c>
      <c r="B253" s="368" t="str">
        <f>Données!B254</f>
        <v>Burtigny</v>
      </c>
      <c r="C253" s="366">
        <f>VPI!Q254</f>
        <v>78.5</v>
      </c>
      <c r="D253" s="371">
        <f>Données!Z254</f>
        <v>414</v>
      </c>
      <c r="E253" s="176">
        <f>VPI!R254</f>
        <v>15260.883397027597</v>
      </c>
      <c r="F253" s="289">
        <f>+'Péréquation directe'!K260</f>
        <v>87196.739574304724</v>
      </c>
      <c r="G253" s="299">
        <f>PCS!I260</f>
        <v>234538.9989034071</v>
      </c>
      <c r="H253" s="315">
        <f>'Facture policière'!L254</f>
        <v>46439.160606721336</v>
      </c>
      <c r="I253" s="411">
        <f t="shared" si="3"/>
        <v>368174.89908443316</v>
      </c>
      <c r="J253" s="178"/>
    </row>
    <row r="254" spans="1:10" s="86" customFormat="1" x14ac:dyDescent="0.25">
      <c r="A254" s="364">
        <f>Données!A255</f>
        <v>5855</v>
      </c>
      <c r="B254" s="368" t="str">
        <f>Données!B255</f>
        <v>Dully</v>
      </c>
      <c r="C254" s="366">
        <f>VPI!Q255</f>
        <v>53</v>
      </c>
      <c r="D254" s="371">
        <f>Données!Z255</f>
        <v>631</v>
      </c>
      <c r="E254" s="176">
        <f>VPI!R255</f>
        <v>82571.89</v>
      </c>
      <c r="F254" s="289">
        <f>+'Péréquation directe'!K261</f>
        <v>1497235.0930044297</v>
      </c>
      <c r="G254" s="299">
        <f>PCS!I261</f>
        <v>2747678.7941225804</v>
      </c>
      <c r="H254" s="315">
        <f>'Facture policière'!L255</f>
        <v>153821.2395904882</v>
      </c>
      <c r="I254" s="411">
        <f t="shared" si="3"/>
        <v>4398735.1267174985</v>
      </c>
      <c r="J254" s="178"/>
    </row>
    <row r="255" spans="1:10" s="86" customFormat="1" x14ac:dyDescent="0.25">
      <c r="A255" s="364">
        <f>Données!A256</f>
        <v>5856</v>
      </c>
      <c r="B255" s="368" t="str">
        <f>Données!B256</f>
        <v>Essertines-sur-Rolle</v>
      </c>
      <c r="C255" s="366">
        <f>VPI!Q256</f>
        <v>66.5</v>
      </c>
      <c r="D255" s="371">
        <f>Données!Z256</f>
        <v>749</v>
      </c>
      <c r="E255" s="176">
        <f>VPI!R256</f>
        <v>36460.812481203015</v>
      </c>
      <c r="F255" s="289">
        <f>+'Péréquation directe'!K262</f>
        <v>600436.36256078968</v>
      </c>
      <c r="G255" s="299">
        <f>PCS!I262</f>
        <v>532797.66217389866</v>
      </c>
      <c r="H255" s="315">
        <f>'Facture policière'!L256</f>
        <v>109846.97332273579</v>
      </c>
      <c r="I255" s="411">
        <f t="shared" si="3"/>
        <v>1243080.9980574243</v>
      </c>
      <c r="J255" s="178"/>
    </row>
    <row r="256" spans="1:10" s="86" customFormat="1" x14ac:dyDescent="0.25">
      <c r="A256" s="364">
        <f>Données!A257</f>
        <v>5857</v>
      </c>
      <c r="B256" s="368" t="str">
        <f>Données!B257</f>
        <v>Gilly</v>
      </c>
      <c r="C256" s="366">
        <f>VPI!Q257</f>
        <v>64.5</v>
      </c>
      <c r="D256" s="371">
        <f>Données!Z257</f>
        <v>1446</v>
      </c>
      <c r="E256" s="176">
        <f>VPI!R257</f>
        <v>86828.689767441872</v>
      </c>
      <c r="F256" s="289">
        <f>+'Péréquation directe'!K263</f>
        <v>1369883.388164517</v>
      </c>
      <c r="G256" s="299">
        <f>PCS!I263</f>
        <v>1496976.968605753</v>
      </c>
      <c r="H256" s="315">
        <f>'Facture policière'!L257</f>
        <v>231637.38495794166</v>
      </c>
      <c r="I256" s="411">
        <f t="shared" si="3"/>
        <v>3098497.7417282118</v>
      </c>
      <c r="J256" s="178"/>
    </row>
    <row r="257" spans="1:10" s="86" customFormat="1" x14ac:dyDescent="0.25">
      <c r="A257" s="364">
        <f>Données!A258</f>
        <v>5858</v>
      </c>
      <c r="B257" s="368" t="str">
        <f>Données!B258</f>
        <v>Luins</v>
      </c>
      <c r="C257" s="366">
        <f>VPI!Q258</f>
        <v>58.5</v>
      </c>
      <c r="D257" s="371">
        <f>Données!Z258</f>
        <v>618</v>
      </c>
      <c r="E257" s="176">
        <f>VPI!R258</f>
        <v>41161.285925925928</v>
      </c>
      <c r="F257" s="289">
        <f>+'Péréquation directe'!K264</f>
        <v>707204.45021051937</v>
      </c>
      <c r="G257" s="299">
        <f>PCS!I264</f>
        <v>831881.2314557163</v>
      </c>
      <c r="H257" s="315">
        <f>'Facture policière'!L258</f>
        <v>103781.2352978994</v>
      </c>
      <c r="I257" s="411">
        <f t="shared" si="3"/>
        <v>1642866.9169641351</v>
      </c>
      <c r="J257" s="178"/>
    </row>
    <row r="258" spans="1:10" s="86" customFormat="1" x14ac:dyDescent="0.25">
      <c r="A258" s="364">
        <f>Données!A259</f>
        <v>5859</v>
      </c>
      <c r="B258" s="368" t="str">
        <f>Données!B259</f>
        <v>Mont-sur-Rolle</v>
      </c>
      <c r="C258" s="366">
        <f>VPI!Q259</f>
        <v>63.5</v>
      </c>
      <c r="D258" s="371">
        <f>Données!Z259</f>
        <v>2759</v>
      </c>
      <c r="E258" s="176">
        <f>VPI!R259</f>
        <v>158436.40771653541</v>
      </c>
      <c r="F258" s="289">
        <f>+'Péréquation directe'!K265</f>
        <v>2034816.7026584947</v>
      </c>
      <c r="G258" s="299">
        <f>PCS!I265</f>
        <v>2865493.7940131202</v>
      </c>
      <c r="H258" s="315">
        <f>'Facture policière'!L259</f>
        <v>433429.84968479321</v>
      </c>
      <c r="I258" s="411">
        <f t="shared" si="3"/>
        <v>5333740.3463564087</v>
      </c>
      <c r="J258" s="178"/>
    </row>
    <row r="259" spans="1:10" s="86" customFormat="1" x14ac:dyDescent="0.25">
      <c r="A259" s="364">
        <f>Données!A260</f>
        <v>5860</v>
      </c>
      <c r="B259" s="368" t="str">
        <f>Données!B260</f>
        <v>Perroy</v>
      </c>
      <c r="C259" s="366">
        <f>VPI!Q260</f>
        <v>58.5</v>
      </c>
      <c r="D259" s="371">
        <f>Données!Z260</f>
        <v>1542</v>
      </c>
      <c r="E259" s="176">
        <f>VPI!R260</f>
        <v>132374.98733727811</v>
      </c>
      <c r="F259" s="289">
        <f>+'Péréquation directe'!K266</f>
        <v>2205977.8431560956</v>
      </c>
      <c r="G259" s="299">
        <f>PCS!I266</f>
        <v>2979929.7880635951</v>
      </c>
      <c r="H259" s="315">
        <f>'Facture policière'!L260</f>
        <v>293972.08199955593</v>
      </c>
      <c r="I259" s="411">
        <f t="shared" si="3"/>
        <v>5479879.7132192468</v>
      </c>
      <c r="J259" s="178"/>
    </row>
    <row r="260" spans="1:10" s="86" customFormat="1" x14ac:dyDescent="0.25">
      <c r="A260" s="364">
        <f>Données!A261</f>
        <v>5861</v>
      </c>
      <c r="B260" s="368" t="str">
        <f>Données!B261</f>
        <v>Rolle</v>
      </c>
      <c r="C260" s="366">
        <f>VPI!Q261</f>
        <v>59.5</v>
      </c>
      <c r="D260" s="371">
        <f>Données!Z261</f>
        <v>6321</v>
      </c>
      <c r="E260" s="176">
        <f>VPI!R261</f>
        <v>897513.79815126071</v>
      </c>
      <c r="F260" s="289">
        <f>+'Péréquation directe'!K267</f>
        <v>14457234.057317339</v>
      </c>
      <c r="G260" s="299">
        <f>PCS!I267</f>
        <v>25974537.728571642</v>
      </c>
      <c r="H260" s="315">
        <f>'Facture policière'!L261</f>
        <v>1623937.801553925</v>
      </c>
      <c r="I260" s="411">
        <f t="shared" si="3"/>
        <v>42055709.587442912</v>
      </c>
      <c r="J260" s="178"/>
    </row>
    <row r="261" spans="1:10" s="86" customFormat="1" x14ac:dyDescent="0.25">
      <c r="A261" s="364">
        <f>Données!A262</f>
        <v>5862</v>
      </c>
      <c r="B261" s="368" t="str">
        <f>Données!B262</f>
        <v>Tartegnin</v>
      </c>
      <c r="C261" s="366">
        <f>VPI!Q262</f>
        <v>79</v>
      </c>
      <c r="D261" s="371">
        <f>Données!Z262</f>
        <v>249</v>
      </c>
      <c r="E261" s="176">
        <f>VPI!R262</f>
        <v>10371.497468354431</v>
      </c>
      <c r="F261" s="289">
        <f>+'Péréquation directe'!K268</f>
        <v>123812.95331133172</v>
      </c>
      <c r="G261" s="299">
        <f>PCS!I268</f>
        <v>203644.96017612721</v>
      </c>
      <c r="H261" s="315">
        <f>'Facture policière'!L262</f>
        <v>31703.385677293889</v>
      </c>
      <c r="I261" s="411">
        <f t="shared" si="3"/>
        <v>359161.29916475283</v>
      </c>
      <c r="J261" s="178"/>
    </row>
    <row r="262" spans="1:10" s="86" customFormat="1" x14ac:dyDescent="0.25">
      <c r="A262" s="364">
        <f>Données!A263</f>
        <v>5863</v>
      </c>
      <c r="B262" s="368" t="str">
        <f>Données!B263</f>
        <v>Vinzel</v>
      </c>
      <c r="C262" s="366">
        <f>VPI!Q263</f>
        <v>67</v>
      </c>
      <c r="D262" s="371">
        <f>Données!Z263</f>
        <v>378</v>
      </c>
      <c r="E262" s="176">
        <f>VPI!R263</f>
        <v>23661.929552238806</v>
      </c>
      <c r="F262" s="289">
        <f>+'Péréquation directe'!K269</f>
        <v>403609.08636874612</v>
      </c>
      <c r="G262" s="299">
        <f>PCS!I269</f>
        <v>443779.29303500429</v>
      </c>
      <c r="H262" s="315">
        <f>'Facture policière'!L263</f>
        <v>61690.335079939083</v>
      </c>
      <c r="I262" s="411">
        <f t="shared" ref="I262:I304" si="4">SUM(F262:H262)</f>
        <v>909078.71448368952</v>
      </c>
      <c r="J262" s="178"/>
    </row>
    <row r="263" spans="1:10" s="86" customFormat="1" x14ac:dyDescent="0.25">
      <c r="A263" s="364">
        <f>Données!A264</f>
        <v>5871</v>
      </c>
      <c r="B263" s="368" t="str">
        <f>Données!B264</f>
        <v>L'Abbaye</v>
      </c>
      <c r="C263" s="366">
        <f>VPI!Q264</f>
        <v>77.3</v>
      </c>
      <c r="D263" s="371">
        <f>Données!Z264</f>
        <v>1534</v>
      </c>
      <c r="E263" s="176">
        <f>VPI!R264</f>
        <v>50236.516429495467</v>
      </c>
      <c r="F263" s="289">
        <f>+'Péréquation directe'!K270</f>
        <v>-366411.95463383233</v>
      </c>
      <c r="G263" s="299">
        <f>PCS!I270</f>
        <v>981647.33677440952</v>
      </c>
      <c r="H263" s="315">
        <f>'Facture policière'!L264</f>
        <v>152006.54988193297</v>
      </c>
      <c r="I263" s="411">
        <f t="shared" si="4"/>
        <v>767241.9320225101</v>
      </c>
      <c r="J263" s="178"/>
    </row>
    <row r="264" spans="1:10" s="86" customFormat="1" x14ac:dyDescent="0.25">
      <c r="A264" s="364">
        <f>Données!A265</f>
        <v>5872</v>
      </c>
      <c r="B264" s="368" t="str">
        <f>Données!B265</f>
        <v>Le Chenit</v>
      </c>
      <c r="C264" s="366">
        <f>VPI!Q265</f>
        <v>66.83</v>
      </c>
      <c r="D264" s="371">
        <f>Données!Z265</f>
        <v>4613</v>
      </c>
      <c r="E264" s="176">
        <f>VPI!R265</f>
        <v>317064.3538829867</v>
      </c>
      <c r="F264" s="289">
        <f>+'Péréquation directe'!K271</f>
        <v>3182983.6636757837</v>
      </c>
      <c r="G264" s="299">
        <f>PCS!I271</f>
        <v>8024401.7228835411</v>
      </c>
      <c r="H264" s="315">
        <f>'Facture policière'!L265</f>
        <v>786255.79892344167</v>
      </c>
      <c r="I264" s="411">
        <f t="shared" si="4"/>
        <v>11993641.185482766</v>
      </c>
      <c r="J264" s="178"/>
    </row>
    <row r="265" spans="1:10" s="86" customFormat="1" x14ac:dyDescent="0.25">
      <c r="A265" s="364">
        <f>Données!A266</f>
        <v>5873</v>
      </c>
      <c r="B265" s="368" t="str">
        <f>Données!B266</f>
        <v>Le Lieu</v>
      </c>
      <c r="C265" s="366">
        <f>VPI!Q266</f>
        <v>70</v>
      </c>
      <c r="D265" s="371">
        <f>Données!Z266</f>
        <v>886</v>
      </c>
      <c r="E265" s="176">
        <f>VPI!R266</f>
        <v>35207.025785714286</v>
      </c>
      <c r="F265" s="289">
        <f>+'Péréquation directe'!K272</f>
        <v>-254952.36191839806</v>
      </c>
      <c r="G265" s="299">
        <f>PCS!I272</f>
        <v>798054.38541887258</v>
      </c>
      <c r="H265" s="315">
        <f>'Facture policière'!L266</f>
        <v>107643.21507008624</v>
      </c>
      <c r="I265" s="411">
        <f t="shared" si="4"/>
        <v>650745.2385705607</v>
      </c>
      <c r="J265" s="178"/>
    </row>
    <row r="266" spans="1:10" s="86" customFormat="1" x14ac:dyDescent="0.25">
      <c r="A266" s="364">
        <f>Données!A267</f>
        <v>5882</v>
      </c>
      <c r="B266" s="368" t="str">
        <f>Données!B267</f>
        <v>Chardonne</v>
      </c>
      <c r="C266" s="366">
        <f>VPI!Q267</f>
        <v>68</v>
      </c>
      <c r="D266" s="371">
        <f>Données!Z267</f>
        <v>3192</v>
      </c>
      <c r="E266" s="176">
        <f>VPI!R267</f>
        <v>201756.91955882352</v>
      </c>
      <c r="F266" s="289">
        <f>+'Péréquation directe'!K273</f>
        <v>2635620.4846002255</v>
      </c>
      <c r="G266" s="299">
        <f>PCS!I273</f>
        <v>4668750.5931912474</v>
      </c>
      <c r="H266" s="315">
        <f>'Facture policière'!L267</f>
        <v>238143.31278440508</v>
      </c>
      <c r="I266" s="411">
        <f t="shared" si="4"/>
        <v>7542514.3905758783</v>
      </c>
      <c r="J266" s="178"/>
    </row>
    <row r="267" spans="1:10" s="86" customFormat="1" x14ac:dyDescent="0.25">
      <c r="A267" s="364">
        <f>Données!A268</f>
        <v>5883</v>
      </c>
      <c r="B267" s="368" t="str">
        <f>Données!B268</f>
        <v>Corseaux</v>
      </c>
      <c r="C267" s="366">
        <f>VPI!Q268</f>
        <v>67.5</v>
      </c>
      <c r="D267" s="371">
        <f>Données!Z268</f>
        <v>2307</v>
      </c>
      <c r="E267" s="176">
        <f>VPI!R268</f>
        <v>180896.25407407407</v>
      </c>
      <c r="F267" s="289">
        <f>+'Péréquation directe'!K274</f>
        <v>2857261.1693385011</v>
      </c>
      <c r="G267" s="299">
        <f>PCS!I274</f>
        <v>4194752.2399904486</v>
      </c>
      <c r="H267" s="315">
        <f>'Facture policière'!L268</f>
        <v>213520.47458738787</v>
      </c>
      <c r="I267" s="411">
        <f t="shared" si="4"/>
        <v>7265533.883916337</v>
      </c>
      <c r="J267" s="178"/>
    </row>
    <row r="268" spans="1:10" s="86" customFormat="1" x14ac:dyDescent="0.25">
      <c r="A268" s="364">
        <f>Données!A269</f>
        <v>5884</v>
      </c>
      <c r="B268" s="368" t="str">
        <f>Données!B269</f>
        <v>Corsier-sur-Vevey</v>
      </c>
      <c r="C268" s="366">
        <f>VPI!Q269</f>
        <v>64.5</v>
      </c>
      <c r="D268" s="371">
        <f>Données!Z269</f>
        <v>3366</v>
      </c>
      <c r="E268" s="176">
        <f>VPI!R269</f>
        <v>128051.27881136951</v>
      </c>
      <c r="F268" s="289">
        <f>+'Péréquation directe'!K275</f>
        <v>-589524.2084794743</v>
      </c>
      <c r="G268" s="299">
        <f>PCS!I275</f>
        <v>2179525.857720268</v>
      </c>
      <c r="H268" s="315">
        <f>'Facture policière'!L269</f>
        <v>151145.03041135176</v>
      </c>
      <c r="I268" s="411">
        <f t="shared" si="4"/>
        <v>1741146.6796521454</v>
      </c>
      <c r="J268" s="178"/>
    </row>
    <row r="269" spans="1:10" s="86" customFormat="1" x14ac:dyDescent="0.25">
      <c r="A269" s="364">
        <f>Données!A270</f>
        <v>5885</v>
      </c>
      <c r="B269" s="368" t="str">
        <f>Données!B270</f>
        <v>Jongny</v>
      </c>
      <c r="C269" s="366">
        <f>VPI!Q270</f>
        <v>69.5</v>
      </c>
      <c r="D269" s="371">
        <f>Données!Z270</f>
        <v>1842</v>
      </c>
      <c r="E269" s="176">
        <f>VPI!R270</f>
        <v>104091.36242206233</v>
      </c>
      <c r="F269" s="289">
        <f>+'Péréquation directe'!K276</f>
        <v>1495079.9656645195</v>
      </c>
      <c r="G269" s="299">
        <f>PCS!I276</f>
        <v>1715598.455184927</v>
      </c>
      <c r="H269" s="315">
        <f>'Facture policière'!L270</f>
        <v>122863.99858620347</v>
      </c>
      <c r="I269" s="411">
        <f t="shared" si="4"/>
        <v>3333542.4194356496</v>
      </c>
      <c r="J269" s="178"/>
    </row>
    <row r="270" spans="1:10" s="86" customFormat="1" x14ac:dyDescent="0.25">
      <c r="A270" s="364">
        <f>Données!A271</f>
        <v>5886</v>
      </c>
      <c r="B270" s="368" t="str">
        <f>Données!B271</f>
        <v>Montreux</v>
      </c>
      <c r="C270" s="366">
        <f>VPI!Q271</f>
        <v>65</v>
      </c>
      <c r="D270" s="371">
        <f>Données!Z271</f>
        <v>26081</v>
      </c>
      <c r="E270" s="176">
        <f>VPI!R271</f>
        <v>1153112.7161538461</v>
      </c>
      <c r="F270" s="289">
        <f>+'Péréquation directe'!K277</f>
        <v>-8518134.4367927201</v>
      </c>
      <c r="G270" s="299">
        <f>PCS!I277</f>
        <v>25094932.142651156</v>
      </c>
      <c r="H270" s="315">
        <f>'Facture policière'!L271</f>
        <v>1361073.9242013316</v>
      </c>
      <c r="I270" s="411">
        <f t="shared" si="4"/>
        <v>17937871.630059768</v>
      </c>
      <c r="J270" s="178"/>
    </row>
    <row r="271" spans="1:10" s="86" customFormat="1" x14ac:dyDescent="0.25">
      <c r="A271" s="364">
        <f>Données!A272</f>
        <v>5889</v>
      </c>
      <c r="B271" s="368" t="str">
        <f>Données!B272</f>
        <v>La Tour-de-Peilz</v>
      </c>
      <c r="C271" s="366">
        <f>VPI!Q272</f>
        <v>64</v>
      </c>
      <c r="D271" s="371">
        <f>Données!Z272</f>
        <v>12400</v>
      </c>
      <c r="E271" s="176">
        <f>VPI!R272</f>
        <v>709179.36611979152</v>
      </c>
      <c r="F271" s="289">
        <f>+'Péréquation directe'!K278</f>
        <v>5388774.1430298835</v>
      </c>
      <c r="G271" s="299">
        <f>PCS!I278</f>
        <v>11933656.269641668</v>
      </c>
      <c r="H271" s="315">
        <f>'Facture policière'!L272</f>
        <v>837078.2225234746</v>
      </c>
      <c r="I271" s="411">
        <f t="shared" si="4"/>
        <v>18159508.635195024</v>
      </c>
      <c r="J271" s="178"/>
    </row>
    <row r="272" spans="1:10" s="86" customFormat="1" x14ac:dyDescent="0.25">
      <c r="A272" s="364">
        <f>Données!A273</f>
        <v>5890</v>
      </c>
      <c r="B272" s="368" t="str">
        <f>Données!B273</f>
        <v>Vevey</v>
      </c>
      <c r="C272" s="366">
        <f>VPI!Q273</f>
        <v>74.5</v>
      </c>
      <c r="D272" s="371">
        <f>Données!Z273</f>
        <v>19743</v>
      </c>
      <c r="E272" s="176">
        <f>VPI!R273</f>
        <v>945087.70393736032</v>
      </c>
      <c r="F272" s="289">
        <f>+'Péréquation directe'!K279</f>
        <v>-1105775.5412418358</v>
      </c>
      <c r="G272" s="299">
        <f>PCS!I279</f>
        <v>14525590.975035099</v>
      </c>
      <c r="H272" s="315">
        <f>'Facture policière'!L273</f>
        <v>1115532.0827637364</v>
      </c>
      <c r="I272" s="411">
        <f t="shared" si="4"/>
        <v>14535347.516557001</v>
      </c>
      <c r="J272" s="178"/>
    </row>
    <row r="273" spans="1:10" s="86" customFormat="1" x14ac:dyDescent="0.25">
      <c r="A273" s="364">
        <f>Données!A274</f>
        <v>5891</v>
      </c>
      <c r="B273" s="368" t="str">
        <f>Données!B274</f>
        <v>Veytaux</v>
      </c>
      <c r="C273" s="366">
        <f>VPI!Q274</f>
        <v>69.5</v>
      </c>
      <c r="D273" s="371">
        <f>Données!Z274</f>
        <v>970</v>
      </c>
      <c r="E273" s="176">
        <f>VPI!R274</f>
        <v>41113.316211031175</v>
      </c>
      <c r="F273" s="289">
        <f>+'Péréquation directe'!K280</f>
        <v>-153411.2623168783</v>
      </c>
      <c r="G273" s="299">
        <f>PCS!I280</f>
        <v>777317.18002606207</v>
      </c>
      <c r="H273" s="315">
        <f>'Facture policière'!L274</f>
        <v>48528.007581882026</v>
      </c>
      <c r="I273" s="411">
        <f t="shared" si="4"/>
        <v>672433.92529106583</v>
      </c>
      <c r="J273" s="178"/>
    </row>
    <row r="274" spans="1:10" s="86" customFormat="1" x14ac:dyDescent="0.25">
      <c r="A274" s="364">
        <f>Données!A275</f>
        <v>5892</v>
      </c>
      <c r="B274" s="368" t="str">
        <f>Données!B275</f>
        <v>Blonay-Saint-Légier</v>
      </c>
      <c r="C274" s="366">
        <f>VPI!Q275</f>
        <v>68.5</v>
      </c>
      <c r="D274" s="371">
        <f>Données!Z275</f>
        <v>12123</v>
      </c>
      <c r="E274" s="176">
        <f>VPI!R275</f>
        <v>749734.6567883211</v>
      </c>
      <c r="F274" s="289">
        <f>+'Péréquation directe'!K281</f>
        <v>5160751.5459853187</v>
      </c>
      <c r="G274" s="299">
        <f>PCS!I281</f>
        <v>14687008.031785043</v>
      </c>
      <c r="H274" s="315">
        <f>'Facture policière'!L275</f>
        <v>884947.56594850775</v>
      </c>
      <c r="I274" s="411">
        <f t="shared" si="4"/>
        <v>20732707.143718868</v>
      </c>
      <c r="J274" s="178"/>
    </row>
    <row r="275" spans="1:10" s="86" customFormat="1" x14ac:dyDescent="0.25">
      <c r="A275" s="364">
        <f>Données!A276</f>
        <v>5902</v>
      </c>
      <c r="B275" s="368" t="str">
        <f>Données!B276</f>
        <v>Belmont-sur-Yverdon</v>
      </c>
      <c r="C275" s="366">
        <f>VPI!Q276</f>
        <v>70</v>
      </c>
      <c r="D275" s="371">
        <f>Données!Z276</f>
        <v>434</v>
      </c>
      <c r="E275" s="176">
        <f>VPI!R276</f>
        <v>11918.01</v>
      </c>
      <c r="F275" s="289">
        <f>+'Péréquation directe'!K282</f>
        <v>-13059.224287819292</v>
      </c>
      <c r="G275" s="299">
        <f>PCS!I282</f>
        <v>180009.93021881508</v>
      </c>
      <c r="H275" s="315">
        <f>'Facture policière'!L276</f>
        <v>35909.744075899354</v>
      </c>
      <c r="I275" s="411">
        <f t="shared" si="4"/>
        <v>202860.45000689515</v>
      </c>
      <c r="J275" s="178"/>
    </row>
    <row r="276" spans="1:10" s="86" customFormat="1" x14ac:dyDescent="0.25">
      <c r="A276" s="364">
        <f>Données!A277</f>
        <v>5903</v>
      </c>
      <c r="B276" s="368" t="str">
        <f>Données!B277</f>
        <v>Bioley-Magnoux</v>
      </c>
      <c r="C276" s="366">
        <f>VPI!Q277</f>
        <v>72</v>
      </c>
      <c r="D276" s="371">
        <f>Données!Z277</f>
        <v>247</v>
      </c>
      <c r="E276" s="176">
        <f>VPI!R277</f>
        <v>6275.4313293650803</v>
      </c>
      <c r="F276" s="289">
        <f>+'Péréquation directe'!K283</f>
        <v>-173264.19277887268</v>
      </c>
      <c r="G276" s="299">
        <f>PCS!I283</f>
        <v>92920.547131995147</v>
      </c>
      <c r="H276" s="315">
        <f>'Facture policière'!L277</f>
        <v>18861.559448451022</v>
      </c>
      <c r="I276" s="411">
        <f t="shared" si="4"/>
        <v>-61482.086198426507</v>
      </c>
      <c r="J276" s="178"/>
    </row>
    <row r="277" spans="1:10" s="86" customFormat="1" x14ac:dyDescent="0.25">
      <c r="A277" s="364">
        <f>Données!A278</f>
        <v>5904</v>
      </c>
      <c r="B277" s="368" t="str">
        <f>Données!B278</f>
        <v>Chamblon</v>
      </c>
      <c r="C277" s="366">
        <f>VPI!Q278</f>
        <v>66</v>
      </c>
      <c r="D277" s="371">
        <f>Données!Z278</f>
        <v>567</v>
      </c>
      <c r="E277" s="176">
        <f>VPI!R278</f>
        <v>18890.250303030305</v>
      </c>
      <c r="F277" s="289">
        <f>+'Péréquation directe'!K284</f>
        <v>138399.77222116801</v>
      </c>
      <c r="G277" s="299">
        <f>PCS!I284</f>
        <v>290813.27755937184</v>
      </c>
      <c r="H277" s="315">
        <f>'Facture policière'!L278</f>
        <v>22297.063200247056</v>
      </c>
      <c r="I277" s="411">
        <f t="shared" si="4"/>
        <v>451510.11298078689</v>
      </c>
      <c r="J277" s="178"/>
    </row>
    <row r="278" spans="1:10" s="86" customFormat="1" x14ac:dyDescent="0.25">
      <c r="A278" s="364">
        <f>Données!A279</f>
        <v>5905</v>
      </c>
      <c r="B278" s="368" t="str">
        <f>Données!B279</f>
        <v>Champvent</v>
      </c>
      <c r="C278" s="366">
        <f>VPI!Q279</f>
        <v>70</v>
      </c>
      <c r="D278" s="371">
        <f>Données!Z279</f>
        <v>734</v>
      </c>
      <c r="E278" s="176">
        <f>VPI!R279</f>
        <v>21534.177714285714</v>
      </c>
      <c r="F278" s="289">
        <f>+'Péréquation directe'!K285</f>
        <v>-40561.496765725082</v>
      </c>
      <c r="G278" s="299">
        <f>PCS!I285</f>
        <v>354273.89380266372</v>
      </c>
      <c r="H278" s="315">
        <f>'Facture policière'!L279</f>
        <v>65271.127940327344</v>
      </c>
      <c r="I278" s="411">
        <f t="shared" si="4"/>
        <v>378983.52497726597</v>
      </c>
      <c r="J278" s="178"/>
    </row>
    <row r="279" spans="1:10" s="86" customFormat="1" x14ac:dyDescent="0.25">
      <c r="A279" s="364">
        <f>Données!A280</f>
        <v>5907</v>
      </c>
      <c r="B279" s="368" t="str">
        <f>Données!B280</f>
        <v>Chavannes-le-Chêne</v>
      </c>
      <c r="C279" s="366">
        <f>VPI!Q280</f>
        <v>75</v>
      </c>
      <c r="D279" s="371">
        <f>Données!Z280</f>
        <v>316</v>
      </c>
      <c r="E279" s="176">
        <f>VPI!R280</f>
        <v>8453.4726666666666</v>
      </c>
      <c r="F279" s="289">
        <f>+'Péréquation directe'!K286</f>
        <v>-79440.266316746216</v>
      </c>
      <c r="G279" s="299">
        <f>PCS!I286</f>
        <v>132842.21839391062</v>
      </c>
      <c r="H279" s="315">
        <f>'Facture policière'!L280</f>
        <v>25489.064886043336</v>
      </c>
      <c r="I279" s="411">
        <f t="shared" si="4"/>
        <v>78891.016963207745</v>
      </c>
      <c r="J279" s="178"/>
    </row>
    <row r="280" spans="1:10" s="86" customFormat="1" x14ac:dyDescent="0.25">
      <c r="A280" s="364">
        <f>Données!A281</f>
        <v>5908</v>
      </c>
      <c r="B280" s="368" t="str">
        <f>Données!B281</f>
        <v>Chêne-Pâquier</v>
      </c>
      <c r="C280" s="366">
        <f>VPI!Q281</f>
        <v>75</v>
      </c>
      <c r="D280" s="371">
        <f>Données!Z281</f>
        <v>163</v>
      </c>
      <c r="E280" s="176">
        <f>VPI!R281</f>
        <v>4917.9366666666683</v>
      </c>
      <c r="F280" s="289">
        <f>+'Péréquation directe'!K287</f>
        <v>-33618.023141107478</v>
      </c>
      <c r="G280" s="299">
        <f>PCS!I287</f>
        <v>69504.479143837962</v>
      </c>
      <c r="H280" s="315">
        <f>'Facture policière'!L281</f>
        <v>15012.585822497109</v>
      </c>
      <c r="I280" s="411">
        <f t="shared" si="4"/>
        <v>50899.041825227592</v>
      </c>
      <c r="J280" s="178"/>
    </row>
    <row r="281" spans="1:10" s="86" customFormat="1" x14ac:dyDescent="0.25">
      <c r="A281" s="364">
        <f>Données!A282</f>
        <v>5909</v>
      </c>
      <c r="B281" s="368" t="str">
        <f>Données!B282</f>
        <v>Cheseaux-Noréaz</v>
      </c>
      <c r="C281" s="366">
        <f>VPI!Q282</f>
        <v>67</v>
      </c>
      <c r="D281" s="371">
        <f>Données!Z282</f>
        <v>734</v>
      </c>
      <c r="E281" s="176">
        <f>VPI!R282</f>
        <v>34179.649850746275</v>
      </c>
      <c r="F281" s="289">
        <f>+'Péréquation directe'!K288</f>
        <v>482170.23582513729</v>
      </c>
      <c r="G281" s="299">
        <f>PCS!I288</f>
        <v>505662.89867759927</v>
      </c>
      <c r="H281" s="315">
        <f>'Facture policière'!L282</f>
        <v>40343.870550098021</v>
      </c>
      <c r="I281" s="411">
        <f t="shared" si="4"/>
        <v>1028177.0050528346</v>
      </c>
      <c r="J281" s="178"/>
    </row>
    <row r="282" spans="1:10" s="86" customFormat="1" x14ac:dyDescent="0.25">
      <c r="A282" s="364">
        <f>Données!A283</f>
        <v>5910</v>
      </c>
      <c r="B282" s="368" t="str">
        <f>Données!B283</f>
        <v>Cronay</v>
      </c>
      <c r="C282" s="366">
        <f>VPI!Q283</f>
        <v>77</v>
      </c>
      <c r="D282" s="371">
        <f>Données!Z283</f>
        <v>410</v>
      </c>
      <c r="E282" s="176">
        <f>VPI!R283</f>
        <v>10620.023506493504</v>
      </c>
      <c r="F282" s="289">
        <f>+'Péréquation directe'!K289</f>
        <v>-124530.4685823654</v>
      </c>
      <c r="G282" s="299">
        <f>PCS!I289</f>
        <v>195764.04910569143</v>
      </c>
      <c r="H282" s="315">
        <f>'Facture policière'!L283</f>
        <v>32045.452879934182</v>
      </c>
      <c r="I282" s="411">
        <f t="shared" si="4"/>
        <v>103279.03340326021</v>
      </c>
      <c r="J282" s="178"/>
    </row>
    <row r="283" spans="1:10" s="86" customFormat="1" x14ac:dyDescent="0.25">
      <c r="A283" s="364">
        <f>Données!A284</f>
        <v>5911</v>
      </c>
      <c r="B283" s="368" t="str">
        <f>Données!B284</f>
        <v>Cuarny</v>
      </c>
      <c r="C283" s="366">
        <f>VPI!Q284</f>
        <v>77</v>
      </c>
      <c r="D283" s="371">
        <f>Données!Z284</f>
        <v>236</v>
      </c>
      <c r="E283" s="176">
        <f>VPI!R284</f>
        <v>7630.7251948051926</v>
      </c>
      <c r="F283" s="289">
        <f>+'Péréquation directe'!K290</f>
        <v>16961.816527916555</v>
      </c>
      <c r="G283" s="299">
        <f>PCS!I290</f>
        <v>104284.72931159119</v>
      </c>
      <c r="H283" s="315">
        <f>'Facture policière'!L284</f>
        <v>23221.746215499428</v>
      </c>
      <c r="I283" s="411">
        <f t="shared" si="4"/>
        <v>144468.29205500719</v>
      </c>
      <c r="J283" s="178"/>
    </row>
    <row r="284" spans="1:10" s="86" customFormat="1" x14ac:dyDescent="0.25">
      <c r="A284" s="364">
        <f>Données!A285</f>
        <v>5912</v>
      </c>
      <c r="B284" s="368" t="str">
        <f>Données!B285</f>
        <v>Démoret</v>
      </c>
      <c r="C284" s="366">
        <f>VPI!Q285</f>
        <v>78</v>
      </c>
      <c r="D284" s="371">
        <f>Données!Z285</f>
        <v>167</v>
      </c>
      <c r="E284" s="176">
        <f>VPI!R285</f>
        <v>3035.5994871794869</v>
      </c>
      <c r="F284" s="289">
        <f>+'Péréquation directe'!K291</f>
        <v>-95583.520411892256</v>
      </c>
      <c r="G284" s="299">
        <f>PCS!I291</f>
        <v>56130.271052917917</v>
      </c>
      <c r="H284" s="315">
        <f>'Facture policière'!L285</f>
        <v>9054.2259019519643</v>
      </c>
      <c r="I284" s="411">
        <f t="shared" si="4"/>
        <v>-30399.023457022377</v>
      </c>
      <c r="J284" s="178"/>
    </row>
    <row r="285" spans="1:10" s="86" customFormat="1" x14ac:dyDescent="0.25">
      <c r="A285" s="364">
        <f>Données!A286</f>
        <v>5913</v>
      </c>
      <c r="B285" s="368" t="str">
        <f>Données!B286</f>
        <v>Donneloye</v>
      </c>
      <c r="C285" s="366">
        <f>VPI!Q286</f>
        <v>73</v>
      </c>
      <c r="D285" s="371">
        <f>Données!Z286</f>
        <v>905</v>
      </c>
      <c r="E285" s="176">
        <f>VPI!R286</f>
        <v>21868.165342465756</v>
      </c>
      <c r="F285" s="289">
        <f>+'Péréquation directe'!K292</f>
        <v>-261042.6791036147</v>
      </c>
      <c r="G285" s="299">
        <f>PCS!I292</f>
        <v>347120.26178206911</v>
      </c>
      <c r="H285" s="315">
        <f>'Facture policière'!L286</f>
        <v>66237.162156579972</v>
      </c>
      <c r="I285" s="411">
        <f t="shared" si="4"/>
        <v>152314.74483503436</v>
      </c>
      <c r="J285" s="178"/>
    </row>
    <row r="286" spans="1:10" s="86" customFormat="1" x14ac:dyDescent="0.25">
      <c r="A286" s="364">
        <f>Données!A287</f>
        <v>5914</v>
      </c>
      <c r="B286" s="368" t="str">
        <f>Données!B287</f>
        <v>Ependes</v>
      </c>
      <c r="C286" s="366">
        <f>VPI!Q287</f>
        <v>73.5</v>
      </c>
      <c r="D286" s="371">
        <f>Données!Z287</f>
        <v>372</v>
      </c>
      <c r="E286" s="176">
        <f>VPI!R287</f>
        <v>9826.1438095238063</v>
      </c>
      <c r="F286" s="289">
        <f>+'Péréquation directe'!K293</f>
        <v>-110784.94199129398</v>
      </c>
      <c r="G286" s="299">
        <f>PCS!I293</f>
        <v>134210.66129966377</v>
      </c>
      <c r="H286" s="315">
        <f>'Facture policière'!L287</f>
        <v>11598.26609076336</v>
      </c>
      <c r="I286" s="411">
        <f t="shared" si="4"/>
        <v>35023.985399133155</v>
      </c>
      <c r="J286" s="178"/>
    </row>
    <row r="287" spans="1:10" s="86" customFormat="1" x14ac:dyDescent="0.25">
      <c r="A287" s="364">
        <f>Données!A288</f>
        <v>5919</v>
      </c>
      <c r="B287" s="368" t="str">
        <f>Données!B288</f>
        <v>Mathod</v>
      </c>
      <c r="C287" s="366">
        <f>VPI!Q288</f>
        <v>72</v>
      </c>
      <c r="D287" s="371">
        <f>Données!Z288</f>
        <v>684</v>
      </c>
      <c r="E287" s="176">
        <f>VPI!R288</f>
        <v>20854.383912037036</v>
      </c>
      <c r="F287" s="289">
        <f>+'Péréquation directe'!K294</f>
        <v>-43178.65253499127</v>
      </c>
      <c r="G287" s="299">
        <f>PCS!I294</f>
        <v>390886.4980671691</v>
      </c>
      <c r="H287" s="315">
        <f>'Facture policière'!L288</f>
        <v>24615.423757212626</v>
      </c>
      <c r="I287" s="411">
        <f t="shared" si="4"/>
        <v>372323.26928939048</v>
      </c>
      <c r="J287" s="178"/>
    </row>
    <row r="288" spans="1:10" s="86" customFormat="1" x14ac:dyDescent="0.25">
      <c r="A288" s="364">
        <f>Données!A289</f>
        <v>5921</v>
      </c>
      <c r="B288" s="368" t="str">
        <f>Données!B289</f>
        <v>Molondin</v>
      </c>
      <c r="C288" s="366">
        <f>VPI!Q289</f>
        <v>81</v>
      </c>
      <c r="D288" s="371">
        <f>Données!Z289</f>
        <v>257</v>
      </c>
      <c r="E288" s="176">
        <f>VPI!R289</f>
        <v>5090.9675308641981</v>
      </c>
      <c r="F288" s="289">
        <f>+'Péréquation directe'!K295</f>
        <v>-125393.05699858611</v>
      </c>
      <c r="G288" s="299">
        <f>PCS!I295</f>
        <v>75200.09758500586</v>
      </c>
      <c r="H288" s="315">
        <f>'Facture policière'!L289</f>
        <v>15269.801118407308</v>
      </c>
      <c r="I288" s="411">
        <f t="shared" si="4"/>
        <v>-34923.158295172936</v>
      </c>
      <c r="J288" s="178"/>
    </row>
    <row r="289" spans="1:10" s="86" customFormat="1" x14ac:dyDescent="0.25">
      <c r="A289" s="364">
        <f>Données!A290</f>
        <v>5922</v>
      </c>
      <c r="B289" s="368" t="str">
        <f>Données!B290</f>
        <v>Montagny-près-Yverdon</v>
      </c>
      <c r="C289" s="366">
        <f>VPI!Q290</f>
        <v>64.5</v>
      </c>
      <c r="D289" s="371">
        <f>Données!Z290</f>
        <v>770</v>
      </c>
      <c r="E289" s="176">
        <f>VPI!R290</f>
        <v>39799.996472868217</v>
      </c>
      <c r="F289" s="289">
        <f>+'Péréquation directe'!K296</f>
        <v>500829.21888461168</v>
      </c>
      <c r="G289" s="299">
        <f>PCS!I296</f>
        <v>652905.54597812367</v>
      </c>
      <c r="H289" s="315">
        <f>'Facture policière'!L290</f>
        <v>114120.48049195569</v>
      </c>
      <c r="I289" s="411">
        <f t="shared" si="4"/>
        <v>1267855.2453546911</v>
      </c>
      <c r="J289" s="178"/>
    </row>
    <row r="290" spans="1:10" s="86" customFormat="1" x14ac:dyDescent="0.25">
      <c r="A290" s="364">
        <f>Données!A291</f>
        <v>5923</v>
      </c>
      <c r="B290" s="368" t="str">
        <f>Données!B291</f>
        <v>Oppens</v>
      </c>
      <c r="C290" s="366">
        <f>VPI!Q291</f>
        <v>81</v>
      </c>
      <c r="D290" s="371">
        <f>Données!Z291</f>
        <v>202</v>
      </c>
      <c r="E290" s="176">
        <f>VPI!R291</f>
        <v>4459.4095061728403</v>
      </c>
      <c r="F290" s="289">
        <f>+'Péréquation directe'!K297</f>
        <v>-121063.9513595367</v>
      </c>
      <c r="G290" s="299">
        <f>PCS!I297</f>
        <v>64752.755744680966</v>
      </c>
      <c r="H290" s="315">
        <f>'Facture policière'!L291</f>
        <v>13507.065288710151</v>
      </c>
      <c r="I290" s="411">
        <f t="shared" si="4"/>
        <v>-42804.130326145583</v>
      </c>
      <c r="J290" s="178"/>
    </row>
    <row r="291" spans="1:10" s="86" customFormat="1" x14ac:dyDescent="0.25">
      <c r="A291" s="364">
        <f>Données!A292</f>
        <v>5924</v>
      </c>
      <c r="B291" s="368" t="str">
        <f>Données!B292</f>
        <v>Orges</v>
      </c>
      <c r="C291" s="366">
        <f>VPI!Q292</f>
        <v>74</v>
      </c>
      <c r="D291" s="371">
        <f>Données!Z292</f>
        <v>407</v>
      </c>
      <c r="E291" s="176">
        <f>VPI!R292</f>
        <v>11637.592027027025</v>
      </c>
      <c r="F291" s="289">
        <f>+'Péréquation directe'!K298</f>
        <v>-40630.775159131415</v>
      </c>
      <c r="G291" s="299">
        <f>PCS!I298</f>
        <v>166151.74084847813</v>
      </c>
      <c r="H291" s="315">
        <f>'Facture policière'!L292</f>
        <v>35342.476691339536</v>
      </c>
      <c r="I291" s="411">
        <f t="shared" si="4"/>
        <v>160863.44238068626</v>
      </c>
      <c r="J291" s="178"/>
    </row>
    <row r="292" spans="1:10" s="86" customFormat="1" x14ac:dyDescent="0.25">
      <c r="A292" s="364">
        <f>Données!A293</f>
        <v>5925</v>
      </c>
      <c r="B292" s="368" t="str">
        <f>Données!B293</f>
        <v>Orzens</v>
      </c>
      <c r="C292" s="366">
        <f>VPI!Q293</f>
        <v>79</v>
      </c>
      <c r="D292" s="371">
        <f>Données!Z293</f>
        <v>212</v>
      </c>
      <c r="E292" s="176">
        <f>VPI!R293</f>
        <v>5255.7360759493668</v>
      </c>
      <c r="F292" s="289">
        <f>+'Péréquation directe'!K299</f>
        <v>-103990.29388883678</v>
      </c>
      <c r="G292" s="299">
        <f>PCS!I299</f>
        <v>80698.687986600533</v>
      </c>
      <c r="H292" s="315">
        <f>'Facture policière'!L293</f>
        <v>15811.176918979421</v>
      </c>
      <c r="I292" s="411">
        <f t="shared" si="4"/>
        <v>-7480.4289832568247</v>
      </c>
      <c r="J292" s="178"/>
    </row>
    <row r="293" spans="1:10" s="86" customFormat="1" x14ac:dyDescent="0.25">
      <c r="A293" s="364">
        <f>Données!A294</f>
        <v>5926</v>
      </c>
      <c r="B293" s="368" t="str">
        <f>Données!B294</f>
        <v>Pomy</v>
      </c>
      <c r="C293" s="366">
        <f>VPI!Q294</f>
        <v>71</v>
      </c>
      <c r="D293" s="371">
        <f>Données!Z294</f>
        <v>868</v>
      </c>
      <c r="E293" s="176">
        <f>VPI!R294</f>
        <v>26782.680140845066</v>
      </c>
      <c r="F293" s="289">
        <f>+'Péréquation directe'!K300</f>
        <v>38142.199088178459</v>
      </c>
      <c r="G293" s="299">
        <f>PCS!I300</f>
        <v>369576.29047376727</v>
      </c>
      <c r="H293" s="315">
        <f>'Facture policière'!L294</f>
        <v>31612.874482485153</v>
      </c>
      <c r="I293" s="411">
        <f t="shared" si="4"/>
        <v>439331.3640444309</v>
      </c>
      <c r="J293" s="178"/>
    </row>
    <row r="294" spans="1:10" s="86" customFormat="1" x14ac:dyDescent="0.25">
      <c r="A294" s="364">
        <f>Données!A295</f>
        <v>5928</v>
      </c>
      <c r="B294" s="368" t="str">
        <f>Données!B295</f>
        <v>Rovray</v>
      </c>
      <c r="C294" s="366">
        <f>VPI!Q295</f>
        <v>71.5</v>
      </c>
      <c r="D294" s="371">
        <f>Données!Z295</f>
        <v>197</v>
      </c>
      <c r="E294" s="176">
        <f>VPI!R295</f>
        <v>5095.519580419581</v>
      </c>
      <c r="F294" s="289">
        <f>+'Péréquation directe'!K301</f>
        <v>-24656.340292943292</v>
      </c>
      <c r="G294" s="299">
        <f>PCS!I301</f>
        <v>59520.303132735513</v>
      </c>
      <c r="H294" s="315">
        <f>'Facture policière'!L295</f>
        <v>15469.97984173769</v>
      </c>
      <c r="I294" s="411">
        <f t="shared" si="4"/>
        <v>50333.942681529908</v>
      </c>
      <c r="J294" s="178"/>
    </row>
    <row r="295" spans="1:10" s="86" customFormat="1" x14ac:dyDescent="0.25">
      <c r="A295" s="364">
        <f>Données!A296</f>
        <v>5929</v>
      </c>
      <c r="B295" s="368" t="str">
        <f>Données!B296</f>
        <v>Suchy</v>
      </c>
      <c r="C295" s="366">
        <f>VPI!Q296</f>
        <v>70</v>
      </c>
      <c r="D295" s="371">
        <f>Données!Z296</f>
        <v>671</v>
      </c>
      <c r="E295" s="176">
        <f>VPI!R296</f>
        <v>21603.071857142855</v>
      </c>
      <c r="F295" s="289">
        <f>+'Péréquation directe'!K302</f>
        <v>100500.71729570092</v>
      </c>
      <c r="G295" s="299">
        <f>PCS!I302</f>
        <v>302445.36272763519</v>
      </c>
      <c r="H295" s="315">
        <f>'Facture policière'!L296</f>
        <v>25499.135839450606</v>
      </c>
      <c r="I295" s="411">
        <f t="shared" si="4"/>
        <v>428445.21586278669</v>
      </c>
      <c r="J295" s="178"/>
    </row>
    <row r="296" spans="1:10" s="86" customFormat="1" x14ac:dyDescent="0.25">
      <c r="A296" s="364">
        <f>Données!A297</f>
        <v>5930</v>
      </c>
      <c r="B296" s="368" t="str">
        <f>Données!B297</f>
        <v>Suscévaz</v>
      </c>
      <c r="C296" s="366">
        <f>VPI!Q297</f>
        <v>72</v>
      </c>
      <c r="D296" s="371">
        <f>Données!Z297</f>
        <v>220</v>
      </c>
      <c r="E296" s="176">
        <f>VPI!R297</f>
        <v>5749.1651388888886</v>
      </c>
      <c r="F296" s="289">
        <f>+'Péréquation directe'!K303</f>
        <v>-57685.852878688136</v>
      </c>
      <c r="G296" s="299">
        <f>PCS!I303</f>
        <v>91289.905543826666</v>
      </c>
      <c r="H296" s="315">
        <f>'Facture policière'!L297</f>
        <v>6786.013758107747</v>
      </c>
      <c r="I296" s="411">
        <f t="shared" si="4"/>
        <v>40390.066423246273</v>
      </c>
      <c r="J296" s="178"/>
    </row>
    <row r="297" spans="1:10" s="86" customFormat="1" x14ac:dyDescent="0.25">
      <c r="A297" s="364">
        <f>Données!A298</f>
        <v>5931</v>
      </c>
      <c r="B297" s="368" t="str">
        <f>Données!B298</f>
        <v>Treycovagnes</v>
      </c>
      <c r="C297" s="366">
        <f>VPI!Q298</f>
        <v>75</v>
      </c>
      <c r="D297" s="371">
        <f>Données!Z298</f>
        <v>520</v>
      </c>
      <c r="E297" s="176">
        <f>VPI!R298</f>
        <v>16306.743466666663</v>
      </c>
      <c r="F297" s="289">
        <f>+'Péréquation directe'!K304</f>
        <v>-7391.3702159507666</v>
      </c>
      <c r="G297" s="299">
        <f>PCS!I304</f>
        <v>293520.23456658021</v>
      </c>
      <c r="H297" s="315">
        <f>'Facture policière'!L298</f>
        <v>19247.62688867898</v>
      </c>
      <c r="I297" s="411">
        <f t="shared" si="4"/>
        <v>305376.49123930844</v>
      </c>
      <c r="J297" s="178"/>
    </row>
    <row r="298" spans="1:10" s="86" customFormat="1" x14ac:dyDescent="0.25">
      <c r="A298" s="364">
        <f>Données!A299</f>
        <v>5932</v>
      </c>
      <c r="B298" s="368" t="str">
        <f>Données!B299</f>
        <v>Ursins</v>
      </c>
      <c r="C298" s="366">
        <f>VPI!Q299</f>
        <v>75</v>
      </c>
      <c r="D298" s="371">
        <f>Données!Z299</f>
        <v>230</v>
      </c>
      <c r="E298" s="176">
        <f>VPI!R299</f>
        <v>7945.6340000000009</v>
      </c>
      <c r="F298" s="289">
        <f>+'Péréquation directe'!K305</f>
        <v>42010.548073777783</v>
      </c>
      <c r="G298" s="299">
        <f>PCS!I305</f>
        <v>102361.1057861501</v>
      </c>
      <c r="H298" s="315">
        <f>'Facture policière'!L299</f>
        <v>24313.91069186636</v>
      </c>
      <c r="I298" s="411">
        <f t="shared" si="4"/>
        <v>168685.56455179426</v>
      </c>
      <c r="J298" s="178"/>
    </row>
    <row r="299" spans="1:10" s="86" customFormat="1" x14ac:dyDescent="0.25">
      <c r="A299" s="364">
        <f>Données!A300</f>
        <v>5933</v>
      </c>
      <c r="B299" s="368" t="str">
        <f>Données!B300</f>
        <v>Valeyres-sous-Montagny</v>
      </c>
      <c r="C299" s="366">
        <f>VPI!Q300</f>
        <v>70.5</v>
      </c>
      <c r="D299" s="371">
        <f>Données!Z300</f>
        <v>703</v>
      </c>
      <c r="E299" s="176">
        <f>VPI!R300</f>
        <v>23478.314609929079</v>
      </c>
      <c r="F299" s="289">
        <f>+'Péréquation directe'!K306</f>
        <v>-191817.18805691635</v>
      </c>
      <c r="G299" s="299">
        <f>PCS!I306</f>
        <v>328566.32749247458</v>
      </c>
      <c r="H299" s="315">
        <f>'Facture policière'!L300</f>
        <v>71077.413429060718</v>
      </c>
      <c r="I299" s="411">
        <f t="shared" si="4"/>
        <v>207826.55286461895</v>
      </c>
      <c r="J299" s="178"/>
    </row>
    <row r="300" spans="1:10" s="86" customFormat="1" x14ac:dyDescent="0.25">
      <c r="A300" s="364">
        <f>Données!A301</f>
        <v>5934</v>
      </c>
      <c r="B300" s="368" t="str">
        <f>Données!B301</f>
        <v>Valeyres-sous-Ursins</v>
      </c>
      <c r="C300" s="366">
        <f>VPI!Q301</f>
        <v>77</v>
      </c>
      <c r="D300" s="371">
        <f>Données!Z301</f>
        <v>241</v>
      </c>
      <c r="E300" s="176">
        <f>VPI!R301</f>
        <v>16787.585844155841</v>
      </c>
      <c r="F300" s="289">
        <f>+'Péréquation directe'!K307</f>
        <v>289858.36646979849</v>
      </c>
      <c r="G300" s="299">
        <f>PCS!I307</f>
        <v>325829.24437661585</v>
      </c>
      <c r="H300" s="315">
        <f>'Facture policière'!L301</f>
        <v>41340.078419397338</v>
      </c>
      <c r="I300" s="411">
        <f t="shared" si="4"/>
        <v>657027.6892658117</v>
      </c>
      <c r="J300" s="178"/>
    </row>
    <row r="301" spans="1:10" s="86" customFormat="1" x14ac:dyDescent="0.25">
      <c r="A301" s="364">
        <f>Données!A302</f>
        <v>5935</v>
      </c>
      <c r="B301" s="368" t="str">
        <f>Données!B302</f>
        <v>Villars-Epeney</v>
      </c>
      <c r="C301" s="366">
        <f>VPI!Q302</f>
        <v>68</v>
      </c>
      <c r="D301" s="371">
        <f>Données!Z302</f>
        <v>92</v>
      </c>
      <c r="E301" s="176">
        <f>VPI!R302</f>
        <v>6724.4138235294122</v>
      </c>
      <c r="F301" s="289">
        <f>+'Péréquation directe'!K308</f>
        <v>113396.68474012957</v>
      </c>
      <c r="G301" s="299">
        <f>PCS!I308</f>
        <v>147705.75179443674</v>
      </c>
      <c r="H301" s="315">
        <f>'Facture policière'!L302</f>
        <v>16154.116872333519</v>
      </c>
      <c r="I301" s="411">
        <f t="shared" si="4"/>
        <v>277256.55340689985</v>
      </c>
      <c r="J301" s="178"/>
    </row>
    <row r="302" spans="1:10" s="86" customFormat="1" x14ac:dyDescent="0.25">
      <c r="A302" s="364">
        <f>Données!A303</f>
        <v>5937</v>
      </c>
      <c r="B302" s="368" t="str">
        <f>Données!B303</f>
        <v>Vugelles-La Mothe</v>
      </c>
      <c r="C302" s="366">
        <f>VPI!Q303</f>
        <v>70</v>
      </c>
      <c r="D302" s="371">
        <f>Données!Z303</f>
        <v>137</v>
      </c>
      <c r="E302" s="176">
        <f>VPI!R303</f>
        <v>3343.8941428571434</v>
      </c>
      <c r="F302" s="289">
        <f>+'Péréquation directe'!K309</f>
        <v>-41543.199152812827</v>
      </c>
      <c r="G302" s="299">
        <f>PCS!I309</f>
        <v>47958.473035835588</v>
      </c>
      <c r="H302" s="315">
        <f>'Facture policière'!L303</f>
        <v>10123.171707927311</v>
      </c>
      <c r="I302" s="411">
        <f t="shared" si="4"/>
        <v>16538.445590950072</v>
      </c>
      <c r="J302" s="178"/>
    </row>
    <row r="303" spans="1:10" s="86" customFormat="1" x14ac:dyDescent="0.25">
      <c r="A303" s="364">
        <f>Données!A304</f>
        <v>5938</v>
      </c>
      <c r="B303" s="368" t="str">
        <f>Données!B304</f>
        <v>Yverdon-les-Bains</v>
      </c>
      <c r="C303" s="366">
        <f>VPI!Q304</f>
        <v>75</v>
      </c>
      <c r="D303" s="371">
        <f>Données!Z304</f>
        <v>29877</v>
      </c>
      <c r="E303" s="176">
        <f>VPI!R304</f>
        <v>780594.69946666679</v>
      </c>
      <c r="F303" s="289">
        <f>+'Péréquation directe'!K310</f>
        <v>-29747921.333905235</v>
      </c>
      <c r="G303" s="299">
        <f>PCS!I310</f>
        <v>13364216.434971895</v>
      </c>
      <c r="H303" s="315">
        <f>'Facture policière'!L304</f>
        <v>921373.14586001448</v>
      </c>
      <c r="I303" s="411">
        <f t="shared" si="4"/>
        <v>-15462331.753073325</v>
      </c>
      <c r="J303" s="178"/>
    </row>
    <row r="304" spans="1:10" s="86" customFormat="1" x14ac:dyDescent="0.25">
      <c r="A304" s="365">
        <f>Données!A305</f>
        <v>5939</v>
      </c>
      <c r="B304" s="369" t="str">
        <f>Données!B305</f>
        <v>Yvonand</v>
      </c>
      <c r="C304" s="366">
        <f>VPI!Q305</f>
        <v>71.5</v>
      </c>
      <c r="D304" s="372">
        <f>Données!Z305</f>
        <v>3531</v>
      </c>
      <c r="E304" s="176">
        <f>VPI!R305</f>
        <v>97394.348251748248</v>
      </c>
      <c r="F304" s="305">
        <f>+'Péréquation directe'!K311</f>
        <v>-1324286.0659517734</v>
      </c>
      <c r="G304" s="451">
        <f>PCS!I311</f>
        <v>1879197.6224244572</v>
      </c>
      <c r="H304" s="316">
        <f>'Facture policière'!L305</f>
        <v>291539.16404819686</v>
      </c>
      <c r="I304" s="429">
        <f t="shared" si="4"/>
        <v>846450.72052088066</v>
      </c>
      <c r="J304" s="178"/>
    </row>
    <row r="305" spans="1:10" x14ac:dyDescent="0.25">
      <c r="A305" s="190"/>
      <c r="B305" s="367">
        <f>COUNTA(B5:B304)</f>
        <v>300</v>
      </c>
      <c r="C305" s="376">
        <f>VPI!Q306</f>
        <v>67.55515617849629</v>
      </c>
      <c r="D305" s="377">
        <f>SUM(D5:D304)</f>
        <v>830791</v>
      </c>
      <c r="E305" s="377">
        <f>SUM(E5:E304)</f>
        <v>40269073.341943532</v>
      </c>
      <c r="F305" s="552">
        <f>ROUND(SUM(F5:F304),5)</f>
        <v>450000</v>
      </c>
      <c r="G305" s="425">
        <f>ROUND(SUM(G5:G304),5)</f>
        <v>773176130</v>
      </c>
      <c r="H305" s="426">
        <f>ROUND(SUM(H5:H304),5)</f>
        <v>71025442</v>
      </c>
      <c r="I305" s="427">
        <f>SUM(I5:I304)</f>
        <v>844651572.00000012</v>
      </c>
    </row>
    <row r="306" spans="1:10" x14ac:dyDescent="0.25">
      <c r="D306" s="11"/>
      <c r="E306" s="11"/>
      <c r="G306" s="5"/>
      <c r="H306" s="5"/>
      <c r="I306" s="5"/>
      <c r="J306" s="5"/>
    </row>
    <row r="307" spans="1:10" x14ac:dyDescent="0.25">
      <c r="G307" s="5"/>
      <c r="H307" s="5"/>
      <c r="I307" s="5"/>
      <c r="J307" s="5"/>
    </row>
  </sheetData>
  <sheetProtection sheet="1" objects="1" scenarios="1"/>
  <phoneticPr fontId="0" type="noConversion"/>
  <conditionalFormatting sqref="F305">
    <cfRule type="cellIs" dxfId="2" priority="1" operator="equal">
      <formula>450000</formula>
    </cfRule>
  </conditionalFormatting>
  <hyperlinks>
    <hyperlink ref="D1" location="'Table des matières'!A1" display="Table des matières" xr:uid="{090680B4-EB0E-4E15-8AAA-D0F34968B211}"/>
    <hyperlink ref="C1" location="'Facture policière'!A1" display="← Précédent" xr:uid="{64470B6D-289A-4292-A2C1-B49B6B7BEF3C}"/>
    <hyperlink ref="E1" location="'Décompte vs acomptes'!A1" display="Suivant →" xr:uid="{272CB11A-40D6-45B0-BD95-5E8B832019FD}"/>
  </hyperlinks>
  <printOptions horizontalCentered="1" verticalCentered="1"/>
  <pageMargins left="0.19685039370078741" right="0.19685039370078741" top="0" bottom="0" header="0.51181102362204722" footer="0.51181102362204722"/>
  <pageSetup paperSize="9" fitToHeight="7" orientation="landscape" horizontalDpi="1200" verticalDpi="1200" r:id="rId1"/>
  <headerFooter alignWithMargins="0">
    <oddFooter>&amp;LSCL - Division finances communales&amp;C- &amp;P -</oddFooter>
  </headerFooter>
  <legacyDrawing r:id="rId2"/>
  <extLst>
    <ext xmlns:x14="http://schemas.microsoft.com/office/spreadsheetml/2009/9/main" uri="{78C0D931-6437-407d-A8EE-F0AAD7539E65}">
      <x14:conditionalFormattings>
        <x14:conditionalFormatting xmlns:xm="http://schemas.microsoft.com/office/excel/2006/main">
          <x14:cfRule type="cellIs" priority="5" operator="equal" id="{B3933958-71B3-4AD2-B33A-F05BD16E4DE8}">
            <xm:f>Paramètres!$B$56</xm:f>
            <x14:dxf>
              <fill>
                <patternFill>
                  <bgColor rgb="FF00B050"/>
                </patternFill>
              </fill>
            </x14:dxf>
          </x14:cfRule>
          <xm:sqref>H305</xm:sqref>
        </x14:conditionalFormatting>
        <x14:conditionalFormatting xmlns:xm="http://schemas.microsoft.com/office/excel/2006/main">
          <x14:cfRule type="cellIs" priority="7" operator="equal" id="{46316953-B095-4DF5-BD3A-B608529DFA48}">
            <xm:f>Paramètres!$B$11</xm:f>
            <x14:dxf>
              <fill>
                <patternFill>
                  <bgColor rgb="FF00B050"/>
                </patternFill>
              </fill>
            </x14:dxf>
          </x14:cfRule>
          <xm:sqref>G305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0C10-50F0-45D0-BA57-CF12150E4EF1}">
  <sheetPr codeName="Feuil6">
    <tabColor theme="3" tint="0.59999389629810485"/>
  </sheetPr>
  <dimension ref="A1:W310"/>
  <sheetViews>
    <sheetView workbookViewId="0">
      <pane ySplit="5" topLeftCell="A6" activePane="bottomLeft" state="frozen"/>
      <selection pane="bottomLeft" activeCell="A6" sqref="A6"/>
    </sheetView>
  </sheetViews>
  <sheetFormatPr baseColWidth="10" defaultColWidth="11" defaultRowHeight="12.75" x14ac:dyDescent="0.2"/>
  <cols>
    <col min="1" max="1" width="11" style="245"/>
    <col min="2" max="2" width="26.375" style="245" customWidth="1"/>
    <col min="3" max="3" width="12.25" style="245" customWidth="1"/>
    <col min="4" max="5" width="12.25" style="244" customWidth="1"/>
    <col min="6" max="6" width="12.25" style="245" customWidth="1"/>
    <col min="7" max="8" width="12.25" style="244" customWidth="1"/>
    <col min="9" max="9" width="12.25" style="245" customWidth="1"/>
    <col min="10" max="11" width="12.25" style="244" customWidth="1"/>
    <col min="12" max="12" width="15" style="244" bestFit="1" customWidth="1"/>
    <col min="13" max="13" width="11.125" style="244" bestFit="1" customWidth="1"/>
    <col min="14" max="14" width="15" style="244" bestFit="1" customWidth="1"/>
    <col min="15" max="15" width="11.125" style="244" bestFit="1" customWidth="1"/>
    <col min="16" max="16" width="14" style="244" bestFit="1" customWidth="1"/>
    <col min="17" max="17" width="11.125" style="244" bestFit="1" customWidth="1"/>
    <col min="18" max="18" width="14" style="244" bestFit="1" customWidth="1"/>
    <col min="19" max="19" width="11.125" style="244" bestFit="1" customWidth="1"/>
    <col min="20" max="20" width="13" style="244" bestFit="1" customWidth="1"/>
    <col min="21" max="21" width="11.125" style="244" bestFit="1" customWidth="1"/>
    <col min="22" max="22" width="13" style="244" bestFit="1" customWidth="1"/>
    <col min="23" max="23" width="11.125" style="244" bestFit="1" customWidth="1"/>
    <col min="24" max="16384" width="11" style="245"/>
  </cols>
  <sheetData>
    <row r="1" spans="1:11" s="244" customFormat="1" ht="27" customHeight="1" x14ac:dyDescent="0.2">
      <c r="A1" s="271" t="s">
        <v>404</v>
      </c>
      <c r="B1" s="272"/>
      <c r="C1" s="374" t="s">
        <v>405</v>
      </c>
      <c r="D1" s="554" t="s">
        <v>397</v>
      </c>
      <c r="E1" s="555"/>
      <c r="F1" s="34"/>
      <c r="G1" s="34"/>
      <c r="H1" s="34"/>
      <c r="I1" s="34"/>
      <c r="J1" s="34"/>
      <c r="K1" s="34"/>
    </row>
    <row r="2" spans="1:11" s="244" customFormat="1" ht="21" x14ac:dyDescent="0.2">
      <c r="A2" s="328"/>
      <c r="B2" s="33"/>
      <c r="C2" s="239"/>
      <c r="D2" s="239"/>
      <c r="E2" s="239"/>
      <c r="F2" s="34"/>
      <c r="G2" s="34"/>
      <c r="H2" s="34"/>
      <c r="I2" s="34"/>
      <c r="J2" s="34"/>
      <c r="K2" s="34"/>
    </row>
    <row r="3" spans="1:11" s="244" customFormat="1" ht="15" x14ac:dyDescent="0.2">
      <c r="A3"/>
      <c r="B3" s="34"/>
      <c r="C3" s="34"/>
      <c r="D3" s="34"/>
      <c r="E3" s="34"/>
      <c r="F3" s="34"/>
      <c r="G3" s="34"/>
      <c r="H3" s="34"/>
      <c r="I3" s="34"/>
      <c r="J3" s="34"/>
      <c r="K3" s="34"/>
    </row>
    <row r="4" spans="1:11" s="244" customFormat="1" ht="31.5" customHeight="1" x14ac:dyDescent="0.2">
      <c r="A4" s="726" t="s">
        <v>44</v>
      </c>
      <c r="B4" s="789" t="s">
        <v>390</v>
      </c>
      <c r="C4" s="791" t="s">
        <v>394</v>
      </c>
      <c r="D4" s="792"/>
      <c r="E4" s="793"/>
      <c r="F4" s="794" t="s">
        <v>391</v>
      </c>
      <c r="G4" s="794"/>
      <c r="H4" s="795"/>
      <c r="I4" s="787" t="s">
        <v>410</v>
      </c>
      <c r="J4" s="787"/>
      <c r="K4" s="788"/>
    </row>
    <row r="5" spans="1:11" s="244" customFormat="1" ht="15" x14ac:dyDescent="0.2">
      <c r="A5" s="727"/>
      <c r="B5" s="790"/>
      <c r="C5" s="291" t="s">
        <v>392</v>
      </c>
      <c r="D5" s="291" t="s">
        <v>393</v>
      </c>
      <c r="E5" s="291" t="s">
        <v>525</v>
      </c>
      <c r="F5" s="430" t="s">
        <v>392</v>
      </c>
      <c r="G5" s="430" t="s">
        <v>393</v>
      </c>
      <c r="H5" s="430" t="s">
        <v>525</v>
      </c>
      <c r="I5" s="431" t="s">
        <v>392</v>
      </c>
      <c r="J5" s="431" t="s">
        <v>393</v>
      </c>
      <c r="K5" s="431" t="s">
        <v>525</v>
      </c>
    </row>
    <row r="6" spans="1:11" s="244" customFormat="1" ht="15" x14ac:dyDescent="0.25">
      <c r="A6" s="85">
        <f>Données!A6</f>
        <v>5401</v>
      </c>
      <c r="B6" s="368" t="str">
        <f>Données!B6</f>
        <v>Aigle</v>
      </c>
      <c r="C6" s="241">
        <v>5242465.4664148707</v>
      </c>
      <c r="D6" s="556">
        <f>Synthèse!G5</f>
        <v>4781884.8566596573</v>
      </c>
      <c r="E6" s="557">
        <f>D6-C6</f>
        <v>-460580.60975521337</v>
      </c>
      <c r="F6" s="240">
        <v>-6703272.993908369</v>
      </c>
      <c r="G6" s="559">
        <f>Synthèse!F5</f>
        <v>-8322706.037042697</v>
      </c>
      <c r="H6" s="559">
        <f>G6-F6</f>
        <v>-1619433.043134328</v>
      </c>
      <c r="I6" s="241">
        <v>367259.43443525274</v>
      </c>
      <c r="J6" s="561">
        <f>Synthèse!H5</f>
        <v>347771.16837710718</v>
      </c>
      <c r="K6" s="561">
        <f>J6-I6</f>
        <v>-19488.266058145557</v>
      </c>
    </row>
    <row r="7" spans="1:11" s="244" customFormat="1" ht="15" x14ac:dyDescent="0.25">
      <c r="A7" s="85">
        <f>Données!A7</f>
        <v>5402</v>
      </c>
      <c r="B7" s="368" t="str">
        <f>Données!B7</f>
        <v>Bex</v>
      </c>
      <c r="C7" s="241">
        <v>3231029.6252428126</v>
      </c>
      <c r="D7" s="556">
        <f>Synthèse!G6</f>
        <v>3158197.2445721896</v>
      </c>
      <c r="E7" s="557">
        <f t="shared" ref="E7:E70" si="0">D7-C7</f>
        <v>-72832.380670622922</v>
      </c>
      <c r="F7" s="240">
        <v>-5797488.9742594687</v>
      </c>
      <c r="G7" s="559">
        <f>Synthèse!F6</f>
        <v>-7158729.0644397335</v>
      </c>
      <c r="H7" s="559">
        <f t="shared" ref="H7:H70" si="1">G7-F7</f>
        <v>-1361240.0901802648</v>
      </c>
      <c r="I7" s="241">
        <v>231437.04557181426</v>
      </c>
      <c r="J7" s="561">
        <f>Synthèse!H6</f>
        <v>226580.94309159354</v>
      </c>
      <c r="K7" s="561">
        <f t="shared" ref="K7:K70" si="2">J7-I7</f>
        <v>-4856.1024802207248</v>
      </c>
    </row>
    <row r="8" spans="1:11" s="244" customFormat="1" ht="15" x14ac:dyDescent="0.25">
      <c r="A8" s="85">
        <f>Données!A8</f>
        <v>5403</v>
      </c>
      <c r="B8" s="368" t="str">
        <f>Données!B8</f>
        <v>Chessel</v>
      </c>
      <c r="C8" s="241">
        <v>216364.31626166109</v>
      </c>
      <c r="D8" s="556">
        <f>Synthèse!G7</f>
        <v>173992.69162321239</v>
      </c>
      <c r="E8" s="557">
        <f t="shared" si="0"/>
        <v>-42371.624638448702</v>
      </c>
      <c r="F8" s="240">
        <v>-76698.041396673128</v>
      </c>
      <c r="G8" s="559">
        <f>Synthèse!F7</f>
        <v>-36462.997144334979</v>
      </c>
      <c r="H8" s="559">
        <f t="shared" si="1"/>
        <v>40235.04425233815</v>
      </c>
      <c r="I8" s="241">
        <v>33128.989408220892</v>
      </c>
      <c r="J8" s="561">
        <f>Synthèse!H7</f>
        <v>40045.170545501736</v>
      </c>
      <c r="K8" s="561">
        <f t="shared" si="2"/>
        <v>6916.1811372808443</v>
      </c>
    </row>
    <row r="9" spans="1:11" s="244" customFormat="1" ht="15" x14ac:dyDescent="0.25">
      <c r="A9" s="85">
        <f>Données!A9</f>
        <v>5404</v>
      </c>
      <c r="B9" s="368" t="str">
        <f>Données!B9</f>
        <v>Corbeyrier</v>
      </c>
      <c r="C9" s="241">
        <v>224900.53210058011</v>
      </c>
      <c r="D9" s="556">
        <f>Synthèse!G8</f>
        <v>240535.76915741409</v>
      </c>
      <c r="E9" s="557">
        <f t="shared" si="0"/>
        <v>15635.237056833983</v>
      </c>
      <c r="F9" s="240">
        <v>-174946.23227387224</v>
      </c>
      <c r="G9" s="559">
        <f>Synthèse!F8</f>
        <v>-238069.55534936098</v>
      </c>
      <c r="H9" s="559">
        <f t="shared" si="1"/>
        <v>-63123.323075488734</v>
      </c>
      <c r="I9" s="241">
        <v>34631.765026765701</v>
      </c>
      <c r="J9" s="561">
        <f>Synthèse!H8</f>
        <v>34621.927088954239</v>
      </c>
      <c r="K9" s="561">
        <f t="shared" si="2"/>
        <v>-9.837937811462325</v>
      </c>
    </row>
    <row r="10" spans="1:11" s="244" customFormat="1" ht="15" x14ac:dyDescent="0.25">
      <c r="A10" s="85">
        <f>Données!A10</f>
        <v>5405</v>
      </c>
      <c r="B10" s="368" t="str">
        <f>Données!B10</f>
        <v>Gryon</v>
      </c>
      <c r="C10" s="241">
        <v>1485066.8139834227</v>
      </c>
      <c r="D10" s="556">
        <f>Synthèse!G9</f>
        <v>1535310.4041543696</v>
      </c>
      <c r="E10" s="557">
        <f t="shared" si="0"/>
        <v>50243.590170946904</v>
      </c>
      <c r="F10" s="240">
        <v>192392.73232259462</v>
      </c>
      <c r="G10" s="559">
        <f>Synthèse!F9</f>
        <v>528498.58596026234</v>
      </c>
      <c r="H10" s="559">
        <f t="shared" si="1"/>
        <v>336105.85363766772</v>
      </c>
      <c r="I10" s="241">
        <v>205320.93062854599</v>
      </c>
      <c r="J10" s="561">
        <f>Synthèse!H9</f>
        <v>210047.08918060263</v>
      </c>
      <c r="K10" s="561">
        <f t="shared" si="2"/>
        <v>4726.1585520566441</v>
      </c>
    </row>
    <row r="11" spans="1:11" s="244" customFormat="1" ht="15" x14ac:dyDescent="0.25">
      <c r="A11" s="85">
        <f>Données!A11</f>
        <v>5406</v>
      </c>
      <c r="B11" s="368" t="str">
        <f>Données!B11</f>
        <v>Lavey-Morcles</v>
      </c>
      <c r="C11" s="241">
        <v>423883.55151723477</v>
      </c>
      <c r="D11" s="556">
        <f>Synthèse!G10</f>
        <v>425114.13967169868</v>
      </c>
      <c r="E11" s="557">
        <f t="shared" si="0"/>
        <v>1230.5881544639124</v>
      </c>
      <c r="F11" s="240">
        <v>-319956.52392409765</v>
      </c>
      <c r="G11" s="559">
        <f>Synthèse!F10</f>
        <v>-392332.51635554369</v>
      </c>
      <c r="H11" s="559">
        <f t="shared" si="1"/>
        <v>-72375.992431446037</v>
      </c>
      <c r="I11" s="241">
        <v>67397.577960100229</v>
      </c>
      <c r="J11" s="561">
        <f>Synthèse!H10</f>
        <v>65639.421731506271</v>
      </c>
      <c r="K11" s="561">
        <f t="shared" si="2"/>
        <v>-1758.1562285939581</v>
      </c>
    </row>
    <row r="12" spans="1:11" s="244" customFormat="1" ht="15" x14ac:dyDescent="0.25">
      <c r="A12" s="85">
        <f>Données!A12</f>
        <v>5407</v>
      </c>
      <c r="B12" s="368" t="str">
        <f>Données!B12</f>
        <v>Leysin</v>
      </c>
      <c r="C12" s="241">
        <v>1719121.0059753601</v>
      </c>
      <c r="D12" s="556">
        <f>Synthèse!G11</f>
        <v>1522986.9843077064</v>
      </c>
      <c r="E12" s="557">
        <f t="shared" si="0"/>
        <v>-196134.02166765369</v>
      </c>
      <c r="F12" s="240">
        <v>-3002707.9744373988</v>
      </c>
      <c r="G12" s="559">
        <f>Synthèse!F11</f>
        <v>-3338026.4207566697</v>
      </c>
      <c r="H12" s="559">
        <f t="shared" si="1"/>
        <v>-335318.44631927088</v>
      </c>
      <c r="I12" s="241">
        <v>275880.78468802915</v>
      </c>
      <c r="J12" s="561">
        <f>Synthèse!H11</f>
        <v>262011.77527139941</v>
      </c>
      <c r="K12" s="561">
        <f t="shared" si="2"/>
        <v>-13869.009416629735</v>
      </c>
    </row>
    <row r="13" spans="1:11" s="244" customFormat="1" ht="15" x14ac:dyDescent="0.25">
      <c r="A13" s="85">
        <f>Données!A13</f>
        <v>5408</v>
      </c>
      <c r="B13" s="368" t="str">
        <f>Données!B13</f>
        <v>Noville</v>
      </c>
      <c r="C13" s="241">
        <v>791520.62295515393</v>
      </c>
      <c r="D13" s="556">
        <f>Synthèse!G12</f>
        <v>617276.54535752395</v>
      </c>
      <c r="E13" s="557">
        <f t="shared" si="0"/>
        <v>-174244.07759762998</v>
      </c>
      <c r="F13" s="240">
        <v>247902.80634150456</v>
      </c>
      <c r="G13" s="559">
        <f>Synthèse!F12</f>
        <v>153295.23592709063</v>
      </c>
      <c r="H13" s="559">
        <f t="shared" si="1"/>
        <v>-94607.570414413931</v>
      </c>
      <c r="I13" s="241">
        <v>134401.1745139077</v>
      </c>
      <c r="J13" s="561">
        <f>Synthèse!H12</f>
        <v>123674.21238842589</v>
      </c>
      <c r="K13" s="561">
        <f t="shared" si="2"/>
        <v>-10726.962125481805</v>
      </c>
    </row>
    <row r="14" spans="1:11" s="244" customFormat="1" ht="15" x14ac:dyDescent="0.25">
      <c r="A14" s="85">
        <f>Données!A14</f>
        <v>5409</v>
      </c>
      <c r="B14" s="368" t="str">
        <f>Données!B14</f>
        <v>Ollon</v>
      </c>
      <c r="C14" s="241">
        <v>7924303.2060555108</v>
      </c>
      <c r="D14" s="556">
        <f>Synthèse!G13</f>
        <v>7446317.0916192839</v>
      </c>
      <c r="E14" s="557">
        <f t="shared" si="0"/>
        <v>-477986.1144362269</v>
      </c>
      <c r="F14" s="240">
        <v>1296358.9685021555</v>
      </c>
      <c r="G14" s="559">
        <f>Synthèse!F13</f>
        <v>515583.27536512446</v>
      </c>
      <c r="H14" s="559">
        <f t="shared" si="1"/>
        <v>-780775.69313703105</v>
      </c>
      <c r="I14" s="241">
        <v>503099.7048216018</v>
      </c>
      <c r="J14" s="561">
        <f>Synthèse!H13</f>
        <v>479148.32907219307</v>
      </c>
      <c r="K14" s="561">
        <f t="shared" si="2"/>
        <v>-23951.375749408733</v>
      </c>
    </row>
    <row r="15" spans="1:11" s="244" customFormat="1" ht="15" x14ac:dyDescent="0.25">
      <c r="A15" s="85">
        <f>Données!A15</f>
        <v>5410</v>
      </c>
      <c r="B15" s="368" t="str">
        <f>Données!B15</f>
        <v>Ormont-Dessous</v>
      </c>
      <c r="C15" s="241">
        <v>796542.14642458828</v>
      </c>
      <c r="D15" s="556">
        <f>Synthèse!G14</f>
        <v>706492.9247840778</v>
      </c>
      <c r="E15" s="557">
        <f t="shared" si="0"/>
        <v>-90049.221640510485</v>
      </c>
      <c r="F15" s="240">
        <v>-585574.93709300272</v>
      </c>
      <c r="G15" s="559">
        <f>Synthèse!F14</f>
        <v>-808258.19522980775</v>
      </c>
      <c r="H15" s="559">
        <f t="shared" si="1"/>
        <v>-222683.25813680503</v>
      </c>
      <c r="I15" s="241">
        <v>119910.12020344642</v>
      </c>
      <c r="J15" s="561">
        <f>Synthèse!H14</f>
        <v>111529.34396952885</v>
      </c>
      <c r="K15" s="561">
        <f t="shared" si="2"/>
        <v>-8380.7762339175679</v>
      </c>
    </row>
    <row r="16" spans="1:11" s="244" customFormat="1" ht="15" x14ac:dyDescent="0.25">
      <c r="A16" s="85">
        <f>Données!A16</f>
        <v>5411</v>
      </c>
      <c r="B16" s="368" t="str">
        <f>Données!B16</f>
        <v>Ormont-Dessus</v>
      </c>
      <c r="C16" s="241">
        <v>1461467.5269063266</v>
      </c>
      <c r="D16" s="556">
        <f>Synthèse!G15</f>
        <v>1596577.8782807316</v>
      </c>
      <c r="E16" s="557">
        <f t="shared" si="0"/>
        <v>135110.35137440497</v>
      </c>
      <c r="F16" s="240">
        <v>88591.652901988942</v>
      </c>
      <c r="G16" s="559">
        <f>Synthèse!F15</f>
        <v>482628.25140864961</v>
      </c>
      <c r="H16" s="559">
        <f t="shared" si="1"/>
        <v>394036.59850666067</v>
      </c>
      <c r="I16" s="241">
        <v>202068.40214028442</v>
      </c>
      <c r="J16" s="561">
        <f>Synthèse!H15</f>
        <v>217170.73883122223</v>
      </c>
      <c r="K16" s="561">
        <f t="shared" si="2"/>
        <v>15102.336690937809</v>
      </c>
    </row>
    <row r="17" spans="1:11" s="244" customFormat="1" ht="15" x14ac:dyDescent="0.25">
      <c r="A17" s="85">
        <f>Données!A17</f>
        <v>5412</v>
      </c>
      <c r="B17" s="368" t="str">
        <f>Données!B17</f>
        <v>Rennaz</v>
      </c>
      <c r="C17" s="241">
        <v>657071.50747431221</v>
      </c>
      <c r="D17" s="556">
        <f>Synthèse!G16</f>
        <v>802516.30880416324</v>
      </c>
      <c r="E17" s="557">
        <f t="shared" si="0"/>
        <v>145444.80132985103</v>
      </c>
      <c r="F17" s="240">
        <v>-54307.997738743725</v>
      </c>
      <c r="G17" s="559">
        <f>Synthèse!F16</f>
        <v>193114.95847834478</v>
      </c>
      <c r="H17" s="559">
        <f t="shared" si="1"/>
        <v>247422.9562170885</v>
      </c>
      <c r="I17" s="241">
        <v>72381.703665607987</v>
      </c>
      <c r="J17" s="561">
        <f>Synthèse!H16</f>
        <v>92742.098942955112</v>
      </c>
      <c r="K17" s="561">
        <f t="shared" si="2"/>
        <v>20360.395277347125</v>
      </c>
    </row>
    <row r="18" spans="1:11" s="244" customFormat="1" ht="15" x14ac:dyDescent="0.25">
      <c r="A18" s="85">
        <f>Données!A18</f>
        <v>5413</v>
      </c>
      <c r="B18" s="368" t="str">
        <f>Données!B18</f>
        <v>Roche</v>
      </c>
      <c r="C18" s="241">
        <v>922903.41247738898</v>
      </c>
      <c r="D18" s="556">
        <f>Synthèse!G17</f>
        <v>901579.89774244768</v>
      </c>
      <c r="E18" s="557">
        <f t="shared" si="0"/>
        <v>-21323.514734941302</v>
      </c>
      <c r="F18" s="240">
        <v>-214387.67361201195</v>
      </c>
      <c r="G18" s="559">
        <f>Synthèse!F17</f>
        <v>-701645.11124588258</v>
      </c>
      <c r="H18" s="559">
        <f t="shared" si="1"/>
        <v>-487257.43763387064</v>
      </c>
      <c r="I18" s="241">
        <v>148118.73348432482</v>
      </c>
      <c r="J18" s="561">
        <f>Synthèse!H17</f>
        <v>125679.58481231765</v>
      </c>
      <c r="K18" s="561">
        <f t="shared" si="2"/>
        <v>-22439.14867200717</v>
      </c>
    </row>
    <row r="19" spans="1:11" s="244" customFormat="1" ht="15" x14ac:dyDescent="0.25">
      <c r="A19" s="85">
        <f>Données!A19</f>
        <v>5414</v>
      </c>
      <c r="B19" s="368" t="str">
        <f>Données!B19</f>
        <v>Villeneuve</v>
      </c>
      <c r="C19" s="241">
        <v>3206008.0831986954</v>
      </c>
      <c r="D19" s="556">
        <f>Synthèse!G18</f>
        <v>2993195.5224559736</v>
      </c>
      <c r="E19" s="557">
        <f t="shared" si="0"/>
        <v>-212812.56074272189</v>
      </c>
      <c r="F19" s="240">
        <v>-3705109.2820544061</v>
      </c>
      <c r="G19" s="559">
        <f>Synthèse!F18</f>
        <v>-3490780.5307264929</v>
      </c>
      <c r="H19" s="559">
        <f t="shared" si="1"/>
        <v>214328.75132791325</v>
      </c>
      <c r="I19" s="241">
        <v>483082.67921021965</v>
      </c>
      <c r="J19" s="561">
        <f>Synthèse!H18</f>
        <v>483288.8760845369</v>
      </c>
      <c r="K19" s="561">
        <f t="shared" si="2"/>
        <v>206.19687431724742</v>
      </c>
    </row>
    <row r="20" spans="1:11" s="244" customFormat="1" ht="15" x14ac:dyDescent="0.25">
      <c r="A20" s="85">
        <f>Données!A20</f>
        <v>5415</v>
      </c>
      <c r="B20" s="368" t="str">
        <f>Données!B20</f>
        <v>Yvorne</v>
      </c>
      <c r="C20" s="241">
        <v>740169.38698677777</v>
      </c>
      <c r="D20" s="556">
        <f>Synthèse!G19</f>
        <v>587301.43987718318</v>
      </c>
      <c r="E20" s="557">
        <f t="shared" si="0"/>
        <v>-152867.94710959459</v>
      </c>
      <c r="F20" s="240">
        <v>174261.76155256515</v>
      </c>
      <c r="G20" s="559">
        <f>Synthèse!F19</f>
        <v>-270376.14313879178</v>
      </c>
      <c r="H20" s="559">
        <f t="shared" si="1"/>
        <v>-444637.90469135693</v>
      </c>
      <c r="I20" s="241">
        <v>118591.9081232376</v>
      </c>
      <c r="J20" s="561">
        <f>Synthèse!H19</f>
        <v>100372.65815496855</v>
      </c>
      <c r="K20" s="561">
        <f t="shared" si="2"/>
        <v>-18219.249968269054</v>
      </c>
    </row>
    <row r="21" spans="1:11" s="244" customFormat="1" ht="15" x14ac:dyDescent="0.25">
      <c r="A21" s="85">
        <f>Données!A21</f>
        <v>5422</v>
      </c>
      <c r="B21" s="368" t="str">
        <f>Données!B21</f>
        <v>Aubonne</v>
      </c>
      <c r="C21" s="241">
        <v>6122289.0859540235</v>
      </c>
      <c r="D21" s="556">
        <f>Synthèse!G20</f>
        <v>7272490.7245665211</v>
      </c>
      <c r="E21" s="557">
        <f t="shared" si="0"/>
        <v>1150201.6386124976</v>
      </c>
      <c r="F21" s="240">
        <v>3728559.8654237133</v>
      </c>
      <c r="G21" s="559">
        <f>Synthèse!F20</f>
        <v>4429513.0490948735</v>
      </c>
      <c r="H21" s="559">
        <f t="shared" si="1"/>
        <v>700953.18367116014</v>
      </c>
      <c r="I21" s="241">
        <v>652554.24499014835</v>
      </c>
      <c r="J21" s="561">
        <f>Synthèse!H20</f>
        <v>689963.45116472535</v>
      </c>
      <c r="K21" s="561">
        <f t="shared" si="2"/>
        <v>37409.206174577004</v>
      </c>
    </row>
    <row r="22" spans="1:11" s="244" customFormat="1" ht="15" x14ac:dyDescent="0.25">
      <c r="A22" s="85">
        <f>Données!A22</f>
        <v>5423</v>
      </c>
      <c r="B22" s="368" t="str">
        <f>Données!B22</f>
        <v>Ballens</v>
      </c>
      <c r="C22" s="241">
        <v>288667.18738306605</v>
      </c>
      <c r="D22" s="556">
        <f>Synthèse!G21</f>
        <v>315788.69352364331</v>
      </c>
      <c r="E22" s="557">
        <f t="shared" si="0"/>
        <v>27121.506140577258</v>
      </c>
      <c r="F22" s="240">
        <v>-69632.45977488911</v>
      </c>
      <c r="G22" s="559">
        <f>Synthèse!F21</f>
        <v>-58461.920488439093</v>
      </c>
      <c r="H22" s="559">
        <f t="shared" si="1"/>
        <v>11170.539286450017</v>
      </c>
      <c r="I22" s="241">
        <v>54023.329669538842</v>
      </c>
      <c r="J22" s="561">
        <f>Synthèse!H21</f>
        <v>52809.977904053761</v>
      </c>
      <c r="K22" s="561">
        <f t="shared" si="2"/>
        <v>-1213.3517654850803</v>
      </c>
    </row>
    <row r="23" spans="1:11" s="244" customFormat="1" ht="15" x14ac:dyDescent="0.25">
      <c r="A23" s="85">
        <f>Données!A23</f>
        <v>5424</v>
      </c>
      <c r="B23" s="368" t="str">
        <f>Données!B23</f>
        <v>Berolle</v>
      </c>
      <c r="C23" s="241">
        <v>155035.42709293289</v>
      </c>
      <c r="D23" s="556">
        <f>Synthèse!G22</f>
        <v>158191.37978080864</v>
      </c>
      <c r="E23" s="557">
        <f t="shared" si="0"/>
        <v>3155.9526878757461</v>
      </c>
      <c r="F23" s="240">
        <v>-32348.374050904415</v>
      </c>
      <c r="G23" s="559">
        <f>Synthèse!F22</f>
        <v>-28036.285085107404</v>
      </c>
      <c r="H23" s="559">
        <f t="shared" si="1"/>
        <v>4312.088965797011</v>
      </c>
      <c r="I23" s="241">
        <v>28661.82438029677</v>
      </c>
      <c r="J23" s="561">
        <f>Synthèse!H22</f>
        <v>31203.53825275839</v>
      </c>
      <c r="K23" s="561">
        <f t="shared" si="2"/>
        <v>2541.7138724616198</v>
      </c>
    </row>
    <row r="24" spans="1:11" s="244" customFormat="1" ht="15" x14ac:dyDescent="0.25">
      <c r="A24" s="85">
        <f>Données!A24</f>
        <v>5425</v>
      </c>
      <c r="B24" s="368" t="str">
        <f>Données!B24</f>
        <v>Bière</v>
      </c>
      <c r="C24" s="241">
        <v>729791.27281768748</v>
      </c>
      <c r="D24" s="556">
        <f>Synthèse!G23</f>
        <v>610823.95713769866</v>
      </c>
      <c r="E24" s="557">
        <f t="shared" si="0"/>
        <v>-118967.31567998882</v>
      </c>
      <c r="F24" s="240">
        <v>-834062.21192575817</v>
      </c>
      <c r="G24" s="559">
        <f>Synthèse!F23</f>
        <v>-856925.99905267241</v>
      </c>
      <c r="H24" s="559">
        <f t="shared" si="1"/>
        <v>-22863.787126914249</v>
      </c>
      <c r="I24" s="241">
        <v>126557.00923295201</v>
      </c>
      <c r="J24" s="561">
        <f>Synthèse!H23</f>
        <v>127420.9816540466</v>
      </c>
      <c r="K24" s="561">
        <f t="shared" si="2"/>
        <v>863.97242109458602</v>
      </c>
    </row>
    <row r="25" spans="1:11" s="244" customFormat="1" ht="15" x14ac:dyDescent="0.25">
      <c r="A25" s="85">
        <f>Données!A25</f>
        <v>5426</v>
      </c>
      <c r="B25" s="368" t="str">
        <f>Données!B25</f>
        <v>Bougy-Villars</v>
      </c>
      <c r="C25" s="241">
        <v>1797524.0274296328</v>
      </c>
      <c r="D25" s="556">
        <f>Synthèse!G24</f>
        <v>2018877.4392351438</v>
      </c>
      <c r="E25" s="557">
        <f t="shared" si="0"/>
        <v>221353.41180551099</v>
      </c>
      <c r="F25" s="240">
        <v>1005987.6425808088</v>
      </c>
      <c r="G25" s="559">
        <f>Synthèse!F24</f>
        <v>1119009.8239862702</v>
      </c>
      <c r="H25" s="559">
        <f t="shared" si="1"/>
        <v>113022.18140546139</v>
      </c>
      <c r="I25" s="241">
        <v>112463.75040766173</v>
      </c>
      <c r="J25" s="561">
        <f>Synthèse!H24</f>
        <v>118310.07258474577</v>
      </c>
      <c r="K25" s="561">
        <f t="shared" si="2"/>
        <v>5846.3221770840319</v>
      </c>
    </row>
    <row r="26" spans="1:11" s="244" customFormat="1" ht="15" x14ac:dyDescent="0.25">
      <c r="A26" s="85">
        <f>Données!A26</f>
        <v>5427</v>
      </c>
      <c r="B26" s="368" t="str">
        <f>Données!B26</f>
        <v>Féchy</v>
      </c>
      <c r="C26" s="241">
        <v>1991124.6538460574</v>
      </c>
      <c r="D26" s="556">
        <f>Synthèse!G25</f>
        <v>2219798.2356851725</v>
      </c>
      <c r="E26" s="557">
        <f t="shared" si="0"/>
        <v>228673.58183911513</v>
      </c>
      <c r="F26" s="240">
        <v>1367390.303785661</v>
      </c>
      <c r="G26" s="559">
        <f>Synthèse!F25</f>
        <v>1547374.4533583317</v>
      </c>
      <c r="H26" s="559">
        <f t="shared" si="1"/>
        <v>179984.14957267069</v>
      </c>
      <c r="I26" s="241">
        <v>173470.10905935982</v>
      </c>
      <c r="J26" s="561">
        <f>Synthèse!H25</f>
        <v>181820.62127516302</v>
      </c>
      <c r="K26" s="561">
        <f t="shared" si="2"/>
        <v>8350.5122158032027</v>
      </c>
    </row>
    <row r="27" spans="1:11" s="244" customFormat="1" ht="15" x14ac:dyDescent="0.25">
      <c r="A27" s="85">
        <f>Données!A27</f>
        <v>5428</v>
      </c>
      <c r="B27" s="368" t="str">
        <f>Données!B27</f>
        <v>Gimel</v>
      </c>
      <c r="C27" s="241">
        <v>1517092.4699799786</v>
      </c>
      <c r="D27" s="556">
        <f>Synthèse!G26</f>
        <v>1279640.5178234885</v>
      </c>
      <c r="E27" s="557">
        <f t="shared" si="0"/>
        <v>-237451.95215649018</v>
      </c>
      <c r="F27" s="240">
        <v>-291406.38345688232</v>
      </c>
      <c r="G27" s="559">
        <f>Synthèse!F26</f>
        <v>-825846.04622509633</v>
      </c>
      <c r="H27" s="559">
        <f t="shared" si="1"/>
        <v>-534439.66276821401</v>
      </c>
      <c r="I27" s="241">
        <v>220404.90305601398</v>
      </c>
      <c r="J27" s="561">
        <f>Synthèse!H26</f>
        <v>214839.37662014135</v>
      </c>
      <c r="K27" s="561">
        <f t="shared" si="2"/>
        <v>-5565.5264358726272</v>
      </c>
    </row>
    <row r="28" spans="1:11" s="244" customFormat="1" ht="15" x14ac:dyDescent="0.25">
      <c r="A28" s="85">
        <f>Données!A28</f>
        <v>5429</v>
      </c>
      <c r="B28" s="368" t="str">
        <f>Données!B28</f>
        <v>Longirod</v>
      </c>
      <c r="C28" s="241">
        <v>282272.58096702071</v>
      </c>
      <c r="D28" s="556">
        <f>Synthèse!G27</f>
        <v>260546.41801000343</v>
      </c>
      <c r="E28" s="557">
        <f t="shared" si="0"/>
        <v>-21726.162957017281</v>
      </c>
      <c r="F28" s="240">
        <v>-35055.121151518193</v>
      </c>
      <c r="G28" s="559">
        <f>Synthèse!F27</f>
        <v>-27258.776158765599</v>
      </c>
      <c r="H28" s="559">
        <f t="shared" si="1"/>
        <v>7796.3449927525944</v>
      </c>
      <c r="I28" s="241">
        <v>50414.881510302985</v>
      </c>
      <c r="J28" s="561">
        <f>Synthèse!H27</f>
        <v>51615.723607097243</v>
      </c>
      <c r="K28" s="561">
        <f t="shared" si="2"/>
        <v>1200.8420967942584</v>
      </c>
    </row>
    <row r="29" spans="1:11" s="244" customFormat="1" ht="15" x14ac:dyDescent="0.25">
      <c r="A29" s="85">
        <f>Données!A29</f>
        <v>5430</v>
      </c>
      <c r="B29" s="368" t="str">
        <f>Données!B29</f>
        <v>Marchissy</v>
      </c>
      <c r="C29" s="241">
        <v>260750.61810218601</v>
      </c>
      <c r="D29" s="556">
        <f>Synthèse!G28</f>
        <v>260224.15623492547</v>
      </c>
      <c r="E29" s="557">
        <f t="shared" si="0"/>
        <v>-526.46186726054293</v>
      </c>
      <c r="F29" s="240">
        <v>-319837.57184691541</v>
      </c>
      <c r="G29" s="559">
        <f>Synthèse!F28</f>
        <v>33725.757964252785</v>
      </c>
      <c r="H29" s="559">
        <f t="shared" si="1"/>
        <v>353563.32981116819</v>
      </c>
      <c r="I29" s="241">
        <v>46452.486838864905</v>
      </c>
      <c r="J29" s="561">
        <f>Synthèse!H28</f>
        <v>52036.18238321197</v>
      </c>
      <c r="K29" s="561">
        <f t="shared" si="2"/>
        <v>5583.6955443470652</v>
      </c>
    </row>
    <row r="30" spans="1:11" s="244" customFormat="1" ht="15" x14ac:dyDescent="0.25">
      <c r="A30" s="85">
        <f>Données!A30</f>
        <v>5431</v>
      </c>
      <c r="B30" s="368" t="str">
        <f>Données!B30</f>
        <v>Mollens</v>
      </c>
      <c r="C30" s="241">
        <v>222922.95040311391</v>
      </c>
      <c r="D30" s="556">
        <f>Synthèse!G29</f>
        <v>139559.23317234806</v>
      </c>
      <c r="E30" s="557">
        <f t="shared" si="0"/>
        <v>-83363.717230765847</v>
      </c>
      <c r="F30" s="240">
        <v>-65470.344534831587</v>
      </c>
      <c r="G30" s="559">
        <f>Synthèse!F29</f>
        <v>-54209.975910479319</v>
      </c>
      <c r="H30" s="559">
        <f t="shared" si="1"/>
        <v>11260.368624352268</v>
      </c>
      <c r="I30" s="241">
        <v>29328.741340773428</v>
      </c>
      <c r="J30" s="561">
        <f>Synthèse!H29</f>
        <v>28639.954739106968</v>
      </c>
      <c r="K30" s="561">
        <f t="shared" si="2"/>
        <v>-688.78660166645932</v>
      </c>
    </row>
    <row r="31" spans="1:11" s="244" customFormat="1" ht="15" x14ac:dyDescent="0.25">
      <c r="A31" s="85">
        <f>Données!A31</f>
        <v>5434</v>
      </c>
      <c r="B31" s="368" t="str">
        <f>Données!B31</f>
        <v>Saint-George</v>
      </c>
      <c r="C31" s="241">
        <v>710604.82244556118</v>
      </c>
      <c r="D31" s="556">
        <f>Synthèse!G30</f>
        <v>816574.48017714056</v>
      </c>
      <c r="E31" s="557">
        <f t="shared" si="0"/>
        <v>105969.65773157938</v>
      </c>
      <c r="F31" s="240">
        <v>406978.94625167584</v>
      </c>
      <c r="G31" s="559">
        <f>Synthèse!F30</f>
        <v>260779.5226964333</v>
      </c>
      <c r="H31" s="559">
        <f t="shared" si="1"/>
        <v>-146199.42355524254</v>
      </c>
      <c r="I31" s="241">
        <v>127508.55538594126</v>
      </c>
      <c r="J31" s="561">
        <f>Synthèse!H30</f>
        <v>122894.99765090464</v>
      </c>
      <c r="K31" s="561">
        <f t="shared" si="2"/>
        <v>-4613.557735036622</v>
      </c>
    </row>
    <row r="32" spans="1:11" s="244" customFormat="1" ht="15" x14ac:dyDescent="0.25">
      <c r="A32" s="85">
        <f>Données!A32</f>
        <v>5435</v>
      </c>
      <c r="B32" s="368" t="str">
        <f>Données!B32</f>
        <v>Saint-Livres</v>
      </c>
      <c r="C32" s="241">
        <v>454252.25768077187</v>
      </c>
      <c r="D32" s="556">
        <f>Synthèse!G31</f>
        <v>477612.73565737664</v>
      </c>
      <c r="E32" s="557">
        <f t="shared" si="0"/>
        <v>23360.477976604772</v>
      </c>
      <c r="F32" s="240">
        <v>280432.95334485662</v>
      </c>
      <c r="G32" s="559">
        <f>Synthèse!F31</f>
        <v>204686.80282298895</v>
      </c>
      <c r="H32" s="559">
        <f t="shared" si="1"/>
        <v>-75746.150521867676</v>
      </c>
      <c r="I32" s="241">
        <v>83092.100472107675</v>
      </c>
      <c r="J32" s="561">
        <f>Synthèse!H31</f>
        <v>77096.709145322224</v>
      </c>
      <c r="K32" s="561">
        <f t="shared" si="2"/>
        <v>-5995.3913267854514</v>
      </c>
    </row>
    <row r="33" spans="1:11" s="244" customFormat="1" ht="15" x14ac:dyDescent="0.25">
      <c r="A33" s="85">
        <f>Données!A33</f>
        <v>5436</v>
      </c>
      <c r="B33" s="368" t="str">
        <f>Données!B33</f>
        <v>Saint-Oyens</v>
      </c>
      <c r="C33" s="241">
        <v>275518.99826225184</v>
      </c>
      <c r="D33" s="556">
        <f>Synthèse!G32</f>
        <v>213487.47982057135</v>
      </c>
      <c r="E33" s="557">
        <f t="shared" si="0"/>
        <v>-62031.518441680499</v>
      </c>
      <c r="F33" s="240">
        <v>144976.36115026832</v>
      </c>
      <c r="G33" s="559">
        <f>Synthèse!F32</f>
        <v>113580.89014091139</v>
      </c>
      <c r="H33" s="559">
        <f t="shared" si="1"/>
        <v>-31395.47100935693</v>
      </c>
      <c r="I33" s="241">
        <v>53019.228806817497</v>
      </c>
      <c r="J33" s="561">
        <f>Synthèse!H32</f>
        <v>49903.722192573841</v>
      </c>
      <c r="K33" s="561">
        <f t="shared" si="2"/>
        <v>-3115.5066142436553</v>
      </c>
    </row>
    <row r="34" spans="1:11" s="244" customFormat="1" ht="15" x14ac:dyDescent="0.25">
      <c r="A34" s="85">
        <f>Données!A34</f>
        <v>5437</v>
      </c>
      <c r="B34" s="368" t="str">
        <f>Données!B34</f>
        <v>Saubraz</v>
      </c>
      <c r="C34" s="241">
        <v>249107.48338628683</v>
      </c>
      <c r="D34" s="556">
        <f>Synthèse!G33</f>
        <v>226080.57537081285</v>
      </c>
      <c r="E34" s="557">
        <f t="shared" si="0"/>
        <v>-23026.908015473979</v>
      </c>
      <c r="F34" s="240">
        <v>31510.625403960265</v>
      </c>
      <c r="G34" s="559">
        <f>Synthèse!F33</f>
        <v>-76160.457523883262</v>
      </c>
      <c r="H34" s="559">
        <f t="shared" si="1"/>
        <v>-107671.08292784353</v>
      </c>
      <c r="I34" s="241">
        <v>42316.044097670157</v>
      </c>
      <c r="J34" s="561">
        <f>Synthèse!H33</f>
        <v>36578.577290917376</v>
      </c>
      <c r="K34" s="561">
        <f t="shared" si="2"/>
        <v>-5737.4668067527818</v>
      </c>
    </row>
    <row r="35" spans="1:11" s="244" customFormat="1" ht="15" x14ac:dyDescent="0.25">
      <c r="A35" s="85">
        <f>Données!A35</f>
        <v>5451</v>
      </c>
      <c r="B35" s="368" t="str">
        <f>Données!B35</f>
        <v>Avenches</v>
      </c>
      <c r="C35" s="241">
        <v>2355854.8104043007</v>
      </c>
      <c r="D35" s="556">
        <f>Synthèse!G34</f>
        <v>2264397.3716949322</v>
      </c>
      <c r="E35" s="557">
        <f t="shared" si="0"/>
        <v>-91457.438709368464</v>
      </c>
      <c r="F35" s="240">
        <v>-1833852.434519581</v>
      </c>
      <c r="G35" s="559">
        <f>Synthèse!F34</f>
        <v>-1753559.6650853595</v>
      </c>
      <c r="H35" s="559">
        <f t="shared" si="1"/>
        <v>80292.769434221555</v>
      </c>
      <c r="I35" s="241">
        <v>390274.70574682317</v>
      </c>
      <c r="J35" s="561">
        <f>Synthèse!H34</f>
        <v>419657.55386178941</v>
      </c>
      <c r="K35" s="561">
        <f t="shared" si="2"/>
        <v>29382.84811496624</v>
      </c>
    </row>
    <row r="36" spans="1:11" s="244" customFormat="1" ht="15" x14ac:dyDescent="0.25">
      <c r="A36" s="85">
        <f>Données!A36</f>
        <v>5456</v>
      </c>
      <c r="B36" s="368" t="str">
        <f>Données!B36</f>
        <v>Cudrefin</v>
      </c>
      <c r="C36" s="241">
        <v>1120125.0417215058</v>
      </c>
      <c r="D36" s="556">
        <f>Synthèse!G35</f>
        <v>1070500.8817223082</v>
      </c>
      <c r="E36" s="557">
        <f t="shared" si="0"/>
        <v>-49624.159999197582</v>
      </c>
      <c r="F36" s="240">
        <v>351476.00246037485</v>
      </c>
      <c r="G36" s="559">
        <f>Synthèse!F35</f>
        <v>252124.63860216131</v>
      </c>
      <c r="H36" s="559">
        <f t="shared" si="1"/>
        <v>-99351.363858213532</v>
      </c>
      <c r="I36" s="241">
        <v>200142.22986859633</v>
      </c>
      <c r="J36" s="561">
        <f>Synthèse!H35</f>
        <v>190872.21700134751</v>
      </c>
      <c r="K36" s="561">
        <f t="shared" si="2"/>
        <v>-9270.0128672488208</v>
      </c>
    </row>
    <row r="37" spans="1:11" s="244" customFormat="1" ht="15" x14ac:dyDescent="0.25">
      <c r="A37" s="85">
        <f>Données!A37</f>
        <v>5458</v>
      </c>
      <c r="B37" s="368" t="str">
        <f>Données!B37</f>
        <v>Faoug</v>
      </c>
      <c r="C37" s="241">
        <v>552624.55956653424</v>
      </c>
      <c r="D37" s="556">
        <f>Synthèse!G36</f>
        <v>461556.59620107181</v>
      </c>
      <c r="E37" s="557">
        <f t="shared" si="0"/>
        <v>-91067.963365462434</v>
      </c>
      <c r="F37" s="240">
        <v>254131.60044745239</v>
      </c>
      <c r="G37" s="559">
        <f>Synthèse!F36</f>
        <v>207983.91681839951</v>
      </c>
      <c r="H37" s="559">
        <f t="shared" si="1"/>
        <v>-46147.683629052888</v>
      </c>
      <c r="I37" s="241">
        <v>99166.884950747204</v>
      </c>
      <c r="J37" s="561">
        <f>Synthèse!H36</f>
        <v>97425.005308687832</v>
      </c>
      <c r="K37" s="561">
        <f t="shared" si="2"/>
        <v>-1741.8796420593717</v>
      </c>
    </row>
    <row r="38" spans="1:11" s="244" customFormat="1" ht="15" x14ac:dyDescent="0.25">
      <c r="A38" s="85">
        <f>Données!A38</f>
        <v>5464</v>
      </c>
      <c r="B38" s="368" t="str">
        <f>Données!B38</f>
        <v>Vully-les-Lacs</v>
      </c>
      <c r="C38" s="241">
        <v>1861546.754502502</v>
      </c>
      <c r="D38" s="556">
        <f>Synthèse!G37</f>
        <v>1893190.605268161</v>
      </c>
      <c r="E38" s="557">
        <f t="shared" si="0"/>
        <v>31643.850765659008</v>
      </c>
      <c r="F38" s="240">
        <v>7773.9499026024714</v>
      </c>
      <c r="G38" s="559">
        <f>Synthèse!F37</f>
        <v>-228282.77518532751</v>
      </c>
      <c r="H38" s="559">
        <f t="shared" si="1"/>
        <v>-236056.72508792998</v>
      </c>
      <c r="I38" s="241">
        <v>346660.46824178181</v>
      </c>
      <c r="J38" s="561">
        <f>Synthèse!H37</f>
        <v>352481.47053752118</v>
      </c>
      <c r="K38" s="561">
        <f t="shared" si="2"/>
        <v>5821.0022957393667</v>
      </c>
    </row>
    <row r="39" spans="1:11" s="244" customFormat="1" ht="15" x14ac:dyDescent="0.25">
      <c r="A39" s="85">
        <f>Données!A39</f>
        <v>5471</v>
      </c>
      <c r="B39" s="368" t="str">
        <f>Données!B39</f>
        <v>Bettens</v>
      </c>
      <c r="C39" s="241">
        <v>332843.57883435488</v>
      </c>
      <c r="D39" s="556">
        <f>Synthèse!G38</f>
        <v>302833.66525397124</v>
      </c>
      <c r="E39" s="557">
        <f t="shared" si="0"/>
        <v>-30009.91358038364</v>
      </c>
      <c r="F39" s="240">
        <v>113519.74783865782</v>
      </c>
      <c r="G39" s="559">
        <f>Synthèse!F38</f>
        <v>177368.79181331088</v>
      </c>
      <c r="H39" s="559">
        <f t="shared" si="1"/>
        <v>63849.043974653061</v>
      </c>
      <c r="I39" s="241">
        <v>63240.155996082234</v>
      </c>
      <c r="J39" s="561">
        <f>Synthèse!H38</f>
        <v>68129.002612394775</v>
      </c>
      <c r="K39" s="561">
        <f t="shared" si="2"/>
        <v>4888.8466163125413</v>
      </c>
    </row>
    <row r="40" spans="1:11" s="244" customFormat="1" ht="15" x14ac:dyDescent="0.25">
      <c r="A40" s="85">
        <f>Données!A40</f>
        <v>5472</v>
      </c>
      <c r="B40" s="368" t="str">
        <f>Données!B40</f>
        <v>Bournens</v>
      </c>
      <c r="C40" s="241">
        <v>381210.07332930091</v>
      </c>
      <c r="D40" s="556">
        <f>Synthèse!G39</f>
        <v>304342.31467891659</v>
      </c>
      <c r="E40" s="557">
        <f t="shared" si="0"/>
        <v>-76867.758650384319</v>
      </c>
      <c r="F40" s="240">
        <v>257890.77221236259</v>
      </c>
      <c r="G40" s="559">
        <f>Synthèse!F39</f>
        <v>216610.39366620663</v>
      </c>
      <c r="H40" s="559">
        <f t="shared" si="1"/>
        <v>-41280.37854615596</v>
      </c>
      <c r="I40" s="241">
        <v>63749.886279401486</v>
      </c>
      <c r="J40" s="561">
        <f>Synthèse!H39</f>
        <v>60102.547439201153</v>
      </c>
      <c r="K40" s="561">
        <f t="shared" si="2"/>
        <v>-3647.3388402003329</v>
      </c>
    </row>
    <row r="41" spans="1:11" s="244" customFormat="1" ht="15" x14ac:dyDescent="0.25">
      <c r="A41" s="85">
        <f>Données!A41</f>
        <v>5473</v>
      </c>
      <c r="B41" s="368" t="str">
        <f>Données!B41</f>
        <v>Boussens</v>
      </c>
      <c r="C41" s="241">
        <v>599926.41297257412</v>
      </c>
      <c r="D41" s="556">
        <f>Synthèse!G40</f>
        <v>577543.50837195164</v>
      </c>
      <c r="E41" s="557">
        <f t="shared" si="0"/>
        <v>-22382.904600622482</v>
      </c>
      <c r="F41" s="240">
        <v>447414.33390004694</v>
      </c>
      <c r="G41" s="559">
        <f>Synthèse!F40</f>
        <v>478972.41755284963</v>
      </c>
      <c r="H41" s="559">
        <f t="shared" si="1"/>
        <v>31558.083652802685</v>
      </c>
      <c r="I41" s="241">
        <v>118674.8318406403</v>
      </c>
      <c r="J41" s="561">
        <f>Synthèse!H40</f>
        <v>121215.0582608461</v>
      </c>
      <c r="K41" s="561">
        <f t="shared" si="2"/>
        <v>2540.2264202057995</v>
      </c>
    </row>
    <row r="42" spans="1:11" s="244" customFormat="1" ht="15" x14ac:dyDescent="0.25">
      <c r="A42" s="85">
        <f>Données!A42</f>
        <v>5474</v>
      </c>
      <c r="B42" s="368" t="str">
        <f>Données!B42</f>
        <v>La Chaux (Cossonay)</v>
      </c>
      <c r="C42" s="241">
        <v>246730.45868299159</v>
      </c>
      <c r="D42" s="556">
        <f>Synthèse!G41</f>
        <v>206984.17170465228</v>
      </c>
      <c r="E42" s="557">
        <f t="shared" si="0"/>
        <v>-39746.286978339311</v>
      </c>
      <c r="F42" s="240">
        <v>-133917.44749063786</v>
      </c>
      <c r="G42" s="559">
        <f>Synthèse!F41</f>
        <v>-103761.34005007584</v>
      </c>
      <c r="H42" s="559">
        <f t="shared" si="1"/>
        <v>30156.107440562017</v>
      </c>
      <c r="I42" s="241">
        <v>41540.394103663362</v>
      </c>
      <c r="J42" s="561">
        <f>Synthèse!H41</f>
        <v>42124.425739710554</v>
      </c>
      <c r="K42" s="561">
        <f t="shared" si="2"/>
        <v>584.03163604719157</v>
      </c>
    </row>
    <row r="43" spans="1:11" s="244" customFormat="1" ht="15" x14ac:dyDescent="0.25">
      <c r="A43" s="85">
        <f>Données!A43</f>
        <v>5475</v>
      </c>
      <c r="B43" s="368" t="str">
        <f>Données!B43</f>
        <v>Chavannes-le-Veyron</v>
      </c>
      <c r="C43" s="241">
        <v>68333.139234620292</v>
      </c>
      <c r="D43" s="556">
        <f>Synthèse!G42</f>
        <v>61204.693312124866</v>
      </c>
      <c r="E43" s="557">
        <f t="shared" si="0"/>
        <v>-7128.4459224954262</v>
      </c>
      <c r="F43" s="240">
        <v>-50361.131244818665</v>
      </c>
      <c r="G43" s="559">
        <f>Synthèse!F42</f>
        <v>-69742.229199838344</v>
      </c>
      <c r="H43" s="559">
        <f t="shared" si="1"/>
        <v>-19381.097955019679</v>
      </c>
      <c r="I43" s="241">
        <v>12168.361699155083</v>
      </c>
      <c r="J43" s="561">
        <f>Synthèse!H42</f>
        <v>12983.264001131589</v>
      </c>
      <c r="K43" s="561">
        <f t="shared" si="2"/>
        <v>814.90230197650635</v>
      </c>
    </row>
    <row r="44" spans="1:11" s="244" customFormat="1" ht="15" x14ac:dyDescent="0.25">
      <c r="A44" s="85">
        <f>Données!A44</f>
        <v>5476</v>
      </c>
      <c r="B44" s="368" t="str">
        <f>Données!B44</f>
        <v>Chevilly</v>
      </c>
      <c r="C44" s="241">
        <v>179509.37153512862</v>
      </c>
      <c r="D44" s="556">
        <f>Synthèse!G43</f>
        <v>187246.00491418425</v>
      </c>
      <c r="E44" s="557">
        <f t="shared" si="0"/>
        <v>7736.6333790556237</v>
      </c>
      <c r="F44" s="240">
        <v>122028.68988308719</v>
      </c>
      <c r="G44" s="559">
        <f>Synthèse!F43</f>
        <v>164297.84052798708</v>
      </c>
      <c r="H44" s="559">
        <f t="shared" si="1"/>
        <v>42269.150644899884</v>
      </c>
      <c r="I44" s="241">
        <v>37348.641085375624</v>
      </c>
      <c r="J44" s="561">
        <f>Synthèse!H43</f>
        <v>41403.689663425641</v>
      </c>
      <c r="K44" s="561">
        <f t="shared" si="2"/>
        <v>4055.0485780500167</v>
      </c>
    </row>
    <row r="45" spans="1:11" s="244" customFormat="1" ht="15" x14ac:dyDescent="0.25">
      <c r="A45" s="85">
        <f>Données!A45</f>
        <v>5477</v>
      </c>
      <c r="B45" s="368" t="str">
        <f>Données!B45</f>
        <v>Cossonay</v>
      </c>
      <c r="C45" s="241">
        <v>2469795.8665449321</v>
      </c>
      <c r="D45" s="556">
        <f>Synthèse!G44</f>
        <v>2533147.9994064709</v>
      </c>
      <c r="E45" s="557">
        <f t="shared" si="0"/>
        <v>63352.13286153879</v>
      </c>
      <c r="F45" s="240">
        <v>-1463741.761557695</v>
      </c>
      <c r="G45" s="559">
        <f>Synthèse!F44</f>
        <v>-742518.96993497107</v>
      </c>
      <c r="H45" s="559">
        <f t="shared" si="1"/>
        <v>721222.79162272392</v>
      </c>
      <c r="I45" s="241">
        <v>369982.43018344359</v>
      </c>
      <c r="J45" s="561">
        <f>Synthèse!H44</f>
        <v>458169.32311925705</v>
      </c>
      <c r="K45" s="561">
        <f t="shared" si="2"/>
        <v>88186.892935813463</v>
      </c>
    </row>
    <row r="46" spans="1:11" s="244" customFormat="1" ht="15" x14ac:dyDescent="0.25">
      <c r="A46" s="85">
        <f>Données!A46</f>
        <v>5479</v>
      </c>
      <c r="B46" s="368" t="str">
        <f>Données!B46</f>
        <v>Cuarnens</v>
      </c>
      <c r="C46" s="241">
        <v>347450.57264261629</v>
      </c>
      <c r="D46" s="556">
        <f>Synthèse!G45</f>
        <v>225069.46488139313</v>
      </c>
      <c r="E46" s="557">
        <f t="shared" si="0"/>
        <v>-122381.10776122316</v>
      </c>
      <c r="F46" s="240">
        <v>41982.284630210197</v>
      </c>
      <c r="G46" s="559">
        <f>Synthèse!F45</f>
        <v>-327895.43626853736</v>
      </c>
      <c r="H46" s="559">
        <f t="shared" si="1"/>
        <v>-369877.72089874756</v>
      </c>
      <c r="I46" s="241">
        <v>57214.26373311998</v>
      </c>
      <c r="J46" s="561">
        <f>Synthèse!H45</f>
        <v>43033.039557178345</v>
      </c>
      <c r="K46" s="561">
        <f t="shared" si="2"/>
        <v>-14181.224175941636</v>
      </c>
    </row>
    <row r="47" spans="1:11" s="244" customFormat="1" ht="15" x14ac:dyDescent="0.25">
      <c r="A47" s="85">
        <f>Données!A47</f>
        <v>5480</v>
      </c>
      <c r="B47" s="368" t="str">
        <f>Données!B47</f>
        <v>Daillens</v>
      </c>
      <c r="C47" s="241">
        <v>764641.25096023863</v>
      </c>
      <c r="D47" s="556">
        <f>Synthèse!G46</f>
        <v>938506.98702492844</v>
      </c>
      <c r="E47" s="557">
        <f t="shared" si="0"/>
        <v>173865.73606468982</v>
      </c>
      <c r="F47" s="240">
        <v>80688.149181118119</v>
      </c>
      <c r="G47" s="559">
        <f>Synthèse!F46</f>
        <v>421267.67996582092</v>
      </c>
      <c r="H47" s="559">
        <f t="shared" si="1"/>
        <v>340579.5307847028</v>
      </c>
      <c r="I47" s="241">
        <v>125278.19785615707</v>
      </c>
      <c r="J47" s="561">
        <f>Synthèse!H46</f>
        <v>125425.51615676843</v>
      </c>
      <c r="K47" s="561">
        <f t="shared" si="2"/>
        <v>147.31830061135406</v>
      </c>
    </row>
    <row r="48" spans="1:11" s="244" customFormat="1" ht="15" x14ac:dyDescent="0.25">
      <c r="A48" s="85">
        <f>Données!A48</f>
        <v>5481</v>
      </c>
      <c r="B48" s="368" t="str">
        <f>Données!B48</f>
        <v>Dizy</v>
      </c>
      <c r="C48" s="241">
        <v>122194.04165642547</v>
      </c>
      <c r="D48" s="556">
        <f>Synthèse!G47</f>
        <v>121189.963544122</v>
      </c>
      <c r="E48" s="557">
        <f t="shared" si="0"/>
        <v>-1004.0781123034685</v>
      </c>
      <c r="F48" s="240">
        <v>48304.957214576192</v>
      </c>
      <c r="G48" s="559">
        <f>Synthèse!F47</f>
        <v>41221.577738635184</v>
      </c>
      <c r="H48" s="559">
        <f t="shared" si="1"/>
        <v>-7083.3794759410084</v>
      </c>
      <c r="I48" s="241">
        <v>25653.299918896875</v>
      </c>
      <c r="J48" s="561">
        <f>Synthèse!H47</f>
        <v>26156.178585915703</v>
      </c>
      <c r="K48" s="561">
        <f t="shared" si="2"/>
        <v>502.8786670188274</v>
      </c>
    </row>
    <row r="49" spans="1:11" s="244" customFormat="1" ht="15" x14ac:dyDescent="0.25">
      <c r="A49" s="85">
        <f>Données!A49</f>
        <v>5482</v>
      </c>
      <c r="B49" s="368" t="str">
        <f>Données!B49</f>
        <v>Eclépens</v>
      </c>
      <c r="C49" s="241">
        <v>1325385.1495779678</v>
      </c>
      <c r="D49" s="556">
        <f>Synthèse!G48</f>
        <v>783253.62201551977</v>
      </c>
      <c r="E49" s="557">
        <f t="shared" si="0"/>
        <v>-542131.52756244806</v>
      </c>
      <c r="F49" s="240">
        <v>1148908.6804384768</v>
      </c>
      <c r="G49" s="559">
        <f>Synthèse!F48</f>
        <v>496075.54888181371</v>
      </c>
      <c r="H49" s="559">
        <f t="shared" si="1"/>
        <v>-652833.1315566632</v>
      </c>
      <c r="I49" s="241">
        <v>194811.38912606833</v>
      </c>
      <c r="J49" s="561">
        <f>Synthèse!H48</f>
        <v>133536.37897602061</v>
      </c>
      <c r="K49" s="561">
        <f t="shared" si="2"/>
        <v>-61275.010150047718</v>
      </c>
    </row>
    <row r="50" spans="1:11" s="244" customFormat="1" ht="15" x14ac:dyDescent="0.25">
      <c r="A50" s="85">
        <f>Données!A50</f>
        <v>5483</v>
      </c>
      <c r="B50" s="368" t="str">
        <f>Données!B50</f>
        <v>Ferreyres</v>
      </c>
      <c r="C50" s="241">
        <v>167538.99940440926</v>
      </c>
      <c r="D50" s="556">
        <f>Synthèse!G49</f>
        <v>125614.25031032145</v>
      </c>
      <c r="E50" s="557">
        <f t="shared" si="0"/>
        <v>-41924.749094087805</v>
      </c>
      <c r="F50" s="240">
        <v>77403.85930484577</v>
      </c>
      <c r="G50" s="559">
        <f>Synthèse!F49</f>
        <v>49204.61391029309</v>
      </c>
      <c r="H50" s="559">
        <f t="shared" si="1"/>
        <v>-28199.245394552679</v>
      </c>
      <c r="I50" s="241">
        <v>34111.362507308979</v>
      </c>
      <c r="J50" s="561">
        <f>Synthèse!H49</f>
        <v>31122.441280779109</v>
      </c>
      <c r="K50" s="561">
        <f t="shared" si="2"/>
        <v>-2988.9212265298702</v>
      </c>
    </row>
    <row r="51" spans="1:11" s="244" customFormat="1" ht="15" x14ac:dyDescent="0.25">
      <c r="A51" s="85">
        <f>Données!A51</f>
        <v>5484</v>
      </c>
      <c r="B51" s="368" t="str">
        <f>Données!B51</f>
        <v>Gollion</v>
      </c>
      <c r="C51" s="241">
        <v>622932.80999315449</v>
      </c>
      <c r="D51" s="556">
        <f>Synthèse!G50</f>
        <v>490996.63418222137</v>
      </c>
      <c r="E51" s="557">
        <f t="shared" si="0"/>
        <v>-131936.17581093311</v>
      </c>
      <c r="F51" s="240">
        <v>87437.943745140336</v>
      </c>
      <c r="G51" s="559">
        <f>Synthèse!F50</f>
        <v>-179091.08145839116</v>
      </c>
      <c r="H51" s="559">
        <f t="shared" si="1"/>
        <v>-266529.02520353149</v>
      </c>
      <c r="I51" s="241">
        <v>109995.29555552419</v>
      </c>
      <c r="J51" s="561">
        <f>Synthèse!H50</f>
        <v>98195.758155359392</v>
      </c>
      <c r="K51" s="561">
        <f t="shared" si="2"/>
        <v>-11799.537400164802</v>
      </c>
    </row>
    <row r="52" spans="1:11" s="244" customFormat="1" ht="15" x14ac:dyDescent="0.25">
      <c r="A52" s="85">
        <f>Données!A52</f>
        <v>5485</v>
      </c>
      <c r="B52" s="368" t="str">
        <f>Données!B52</f>
        <v>Grancy</v>
      </c>
      <c r="C52" s="241">
        <v>293580.10554635664</v>
      </c>
      <c r="D52" s="556">
        <f>Synthèse!G51</f>
        <v>262022.1474672365</v>
      </c>
      <c r="E52" s="557">
        <f t="shared" si="0"/>
        <v>-31557.958079120144</v>
      </c>
      <c r="F52" s="240">
        <v>104017.2829479221</v>
      </c>
      <c r="G52" s="559">
        <f>Synthèse!F51</f>
        <v>132439.34754883166</v>
      </c>
      <c r="H52" s="559">
        <f t="shared" si="1"/>
        <v>28422.064600909565</v>
      </c>
      <c r="I52" s="241">
        <v>45693.846803618464</v>
      </c>
      <c r="J52" s="561">
        <f>Synthèse!H51</f>
        <v>57693.956622067679</v>
      </c>
      <c r="K52" s="561">
        <f t="shared" si="2"/>
        <v>12000.109818449215</v>
      </c>
    </row>
    <row r="53" spans="1:11" s="244" customFormat="1" ht="15" x14ac:dyDescent="0.25">
      <c r="A53" s="85">
        <f>Données!A53</f>
        <v>5486</v>
      </c>
      <c r="B53" s="368" t="str">
        <f>Données!B53</f>
        <v>L'Isle</v>
      </c>
      <c r="C53" s="241">
        <v>619068.30208066525</v>
      </c>
      <c r="D53" s="556">
        <f>Synthèse!G52</f>
        <v>586571.81614979624</v>
      </c>
      <c r="E53" s="557">
        <f t="shared" si="0"/>
        <v>-32496.485930869007</v>
      </c>
      <c r="F53" s="240">
        <v>36580.652857852401</v>
      </c>
      <c r="G53" s="559">
        <f>Synthèse!F52</f>
        <v>-266591.00997618679</v>
      </c>
      <c r="H53" s="559">
        <f t="shared" si="1"/>
        <v>-303171.66283403919</v>
      </c>
      <c r="I53" s="241">
        <v>117944.80725937127</v>
      </c>
      <c r="J53" s="561">
        <f>Synthèse!H52</f>
        <v>104794.0680396728</v>
      </c>
      <c r="K53" s="561">
        <f t="shared" si="2"/>
        <v>-13150.739219698473</v>
      </c>
    </row>
    <row r="54" spans="1:11" s="244" customFormat="1" ht="15" x14ac:dyDescent="0.25">
      <c r="A54" s="85">
        <f>Données!A54</f>
        <v>5487</v>
      </c>
      <c r="B54" s="368" t="str">
        <f>Données!B54</f>
        <v>Lussery-Villars</v>
      </c>
      <c r="C54" s="241">
        <v>203720.31126465212</v>
      </c>
      <c r="D54" s="556">
        <f>Synthèse!G53</f>
        <v>182538.8705617495</v>
      </c>
      <c r="E54" s="557">
        <f t="shared" si="0"/>
        <v>-21181.440702902619</v>
      </c>
      <c r="F54" s="240">
        <v>-30236.783189026115</v>
      </c>
      <c r="G54" s="559">
        <f>Synthèse!F53</f>
        <v>-91041.553204401687</v>
      </c>
      <c r="H54" s="559">
        <f t="shared" si="1"/>
        <v>-60804.770015375572</v>
      </c>
      <c r="I54" s="241">
        <v>40319.641368699093</v>
      </c>
      <c r="J54" s="561">
        <f>Synthèse!H53</f>
        <v>36069.088872026558</v>
      </c>
      <c r="K54" s="561">
        <f t="shared" si="2"/>
        <v>-4250.5524966725352</v>
      </c>
    </row>
    <row r="55" spans="1:11" s="244" customFormat="1" ht="15" x14ac:dyDescent="0.25">
      <c r="A55" s="85">
        <f>Données!A55</f>
        <v>5488</v>
      </c>
      <c r="B55" s="368" t="str">
        <f>Données!B55</f>
        <v>Mauraz</v>
      </c>
      <c r="C55" s="241">
        <v>23826.170241167987</v>
      </c>
      <c r="D55" s="556">
        <f>Synthèse!G54</f>
        <v>44276.488736039071</v>
      </c>
      <c r="E55" s="557">
        <f t="shared" si="0"/>
        <v>20450.318494871084</v>
      </c>
      <c r="F55" s="240">
        <v>-713.14274202151137</v>
      </c>
      <c r="G55" s="559">
        <f>Synthèse!F54</f>
        <v>8219.7945115385228</v>
      </c>
      <c r="H55" s="559">
        <f t="shared" si="1"/>
        <v>8932.9372535600342</v>
      </c>
      <c r="I55" s="241">
        <v>5155.587776477998</v>
      </c>
      <c r="J55" s="561">
        <f>Synthèse!H54</f>
        <v>6545.8203778810575</v>
      </c>
      <c r="K55" s="561">
        <f t="shared" si="2"/>
        <v>1390.2326014030596</v>
      </c>
    </row>
    <row r="56" spans="1:11" s="244" customFormat="1" ht="15" x14ac:dyDescent="0.25">
      <c r="A56" s="85">
        <f>Données!A56</f>
        <v>5489</v>
      </c>
      <c r="B56" s="368" t="str">
        <f>Données!B56</f>
        <v>Mex</v>
      </c>
      <c r="C56" s="241">
        <v>1491982.4432973568</v>
      </c>
      <c r="D56" s="556">
        <f>Synthèse!G55</f>
        <v>1270556.7724773674</v>
      </c>
      <c r="E56" s="557">
        <f t="shared" si="0"/>
        <v>-221425.67081998941</v>
      </c>
      <c r="F56" s="240">
        <v>999770.90936036594</v>
      </c>
      <c r="G56" s="559">
        <f>Synthèse!F55</f>
        <v>1055851.007064004</v>
      </c>
      <c r="H56" s="559">
        <f t="shared" si="1"/>
        <v>56080.097703638021</v>
      </c>
      <c r="I56" s="241">
        <v>141573.82131843144</v>
      </c>
      <c r="J56" s="561">
        <f>Synthèse!H55</f>
        <v>144665.02420415246</v>
      </c>
      <c r="K56" s="561">
        <f t="shared" si="2"/>
        <v>3091.2028857210244</v>
      </c>
    </row>
    <row r="57" spans="1:11" s="244" customFormat="1" ht="15" x14ac:dyDescent="0.25">
      <c r="A57" s="85">
        <f>Données!A57</f>
        <v>5490</v>
      </c>
      <c r="B57" s="368" t="str">
        <f>Données!B57</f>
        <v>Moiry</v>
      </c>
      <c r="C57" s="241">
        <v>146201.38174078791</v>
      </c>
      <c r="D57" s="556">
        <f>Synthèse!G56</f>
        <v>108565.95770789906</v>
      </c>
      <c r="E57" s="557">
        <f t="shared" si="0"/>
        <v>-37635.424032888855</v>
      </c>
      <c r="F57" s="240">
        <v>-32757.502358003141</v>
      </c>
      <c r="G57" s="559">
        <f>Synthèse!F56</f>
        <v>-53370.580342694419</v>
      </c>
      <c r="H57" s="559">
        <f t="shared" si="1"/>
        <v>-20613.077984691277</v>
      </c>
      <c r="I57" s="241">
        <v>27316.642614705044</v>
      </c>
      <c r="J57" s="561">
        <f>Synthèse!H56</f>
        <v>25663.15978409638</v>
      </c>
      <c r="K57" s="561">
        <f t="shared" si="2"/>
        <v>-1653.4828306086638</v>
      </c>
    </row>
    <row r="58" spans="1:11" s="244" customFormat="1" ht="15" x14ac:dyDescent="0.25">
      <c r="A58" s="85">
        <f>Données!A58</f>
        <v>5491</v>
      </c>
      <c r="B58" s="368" t="str">
        <f>Données!B58</f>
        <v>Mont-la-Ville</v>
      </c>
      <c r="C58" s="241">
        <v>256128.37784749383</v>
      </c>
      <c r="D58" s="556">
        <f>Synthèse!G57</f>
        <v>230311.26377963967</v>
      </c>
      <c r="E58" s="557">
        <f t="shared" si="0"/>
        <v>-25817.114067854156</v>
      </c>
      <c r="F58" s="240">
        <v>-56661.788072736817</v>
      </c>
      <c r="G58" s="559">
        <f>Synthèse!F57</f>
        <v>-729530.63276302139</v>
      </c>
      <c r="H58" s="559">
        <f t="shared" si="1"/>
        <v>-672868.84469028458</v>
      </c>
      <c r="I58" s="241">
        <v>44712.154025401454</v>
      </c>
      <c r="J58" s="561">
        <f>Synthèse!H57</f>
        <v>41492.956955247842</v>
      </c>
      <c r="K58" s="561">
        <f t="shared" si="2"/>
        <v>-3219.197070153612</v>
      </c>
    </row>
    <row r="59" spans="1:11" s="244" customFormat="1" ht="15" x14ac:dyDescent="0.25">
      <c r="A59" s="85">
        <f>Données!A59</f>
        <v>5492</v>
      </c>
      <c r="B59" s="368" t="str">
        <f>Données!B59</f>
        <v>Montricher</v>
      </c>
      <c r="C59" s="241">
        <v>5727423.480632199</v>
      </c>
      <c r="D59" s="556">
        <f>Synthèse!G58</f>
        <v>4679742.1270733038</v>
      </c>
      <c r="E59" s="557">
        <f t="shared" si="0"/>
        <v>-1047681.3535588952</v>
      </c>
      <c r="F59" s="240">
        <v>1977399.8213895983</v>
      </c>
      <c r="G59" s="559">
        <f>Synthèse!F58</f>
        <v>2634429.677926694</v>
      </c>
      <c r="H59" s="559">
        <f t="shared" si="1"/>
        <v>657029.85653709574</v>
      </c>
      <c r="I59" s="241">
        <v>285191.6820381257</v>
      </c>
      <c r="J59" s="561">
        <f>Synthèse!H58</f>
        <v>264293.03558704851</v>
      </c>
      <c r="K59" s="561">
        <f t="shared" si="2"/>
        <v>-20898.646451077191</v>
      </c>
    </row>
    <row r="60" spans="1:11" s="244" customFormat="1" ht="15" x14ac:dyDescent="0.25">
      <c r="A60" s="85">
        <f>Données!A60</f>
        <v>5493</v>
      </c>
      <c r="B60" s="368" t="str">
        <f>Données!B60</f>
        <v>Orny</v>
      </c>
      <c r="C60" s="241">
        <v>271262.82140465186</v>
      </c>
      <c r="D60" s="556">
        <f>Synthèse!G59</f>
        <v>225876.14155918942</v>
      </c>
      <c r="E60" s="557">
        <f t="shared" si="0"/>
        <v>-45386.679845462437</v>
      </c>
      <c r="F60" s="240">
        <v>9357.6290067354275</v>
      </c>
      <c r="G60" s="559">
        <f>Synthèse!F59</f>
        <v>-42414.773472337285</v>
      </c>
      <c r="H60" s="559">
        <f t="shared" si="1"/>
        <v>-51772.402479072713</v>
      </c>
      <c r="I60" s="241">
        <v>40738.365434360836</v>
      </c>
      <c r="J60" s="561">
        <f>Synthèse!H59</f>
        <v>44259.028731781757</v>
      </c>
      <c r="K60" s="561">
        <f t="shared" si="2"/>
        <v>3520.6632974209206</v>
      </c>
    </row>
    <row r="61" spans="1:11" s="244" customFormat="1" ht="15" x14ac:dyDescent="0.25">
      <c r="A61" s="85">
        <f>Données!A61</f>
        <v>5495</v>
      </c>
      <c r="B61" s="368" t="str">
        <f>Données!B61</f>
        <v>Penthalaz</v>
      </c>
      <c r="C61" s="241">
        <v>1651365.4975513243</v>
      </c>
      <c r="D61" s="556">
        <f>Synthèse!G60</f>
        <v>2305497.9934482956</v>
      </c>
      <c r="E61" s="557">
        <f t="shared" si="0"/>
        <v>654132.49589697132</v>
      </c>
      <c r="F61" s="240">
        <v>-941811.8902204195</v>
      </c>
      <c r="G61" s="559">
        <f>Synthèse!F60</f>
        <v>-748374.13777526445</v>
      </c>
      <c r="H61" s="559">
        <f t="shared" si="1"/>
        <v>193437.75244515506</v>
      </c>
      <c r="I61" s="241">
        <v>292502.09811989707</v>
      </c>
      <c r="J61" s="561">
        <f>Synthèse!H60</f>
        <v>311778.67478837917</v>
      </c>
      <c r="K61" s="561">
        <f t="shared" si="2"/>
        <v>19276.576668482099</v>
      </c>
    </row>
    <row r="62" spans="1:11" s="244" customFormat="1" ht="15" x14ac:dyDescent="0.25">
      <c r="A62" s="85">
        <f>Données!A62</f>
        <v>5496</v>
      </c>
      <c r="B62" s="368" t="str">
        <f>Données!B62</f>
        <v>Penthaz</v>
      </c>
      <c r="C62" s="241">
        <v>1057709.7100984249</v>
      </c>
      <c r="D62" s="556">
        <f>Synthèse!G61</f>
        <v>876628.90112612233</v>
      </c>
      <c r="E62" s="557">
        <f t="shared" si="0"/>
        <v>-181080.80897230259</v>
      </c>
      <c r="F62" s="240">
        <v>30711.573861982208</v>
      </c>
      <c r="G62" s="559">
        <f>Synthèse!F61</f>
        <v>-53751.100168649107</v>
      </c>
      <c r="H62" s="559">
        <f t="shared" si="1"/>
        <v>-84462.674030631315</v>
      </c>
      <c r="I62" s="241">
        <v>187663.7242902845</v>
      </c>
      <c r="J62" s="561">
        <f>Synthèse!H61</f>
        <v>184727.94675897513</v>
      </c>
      <c r="K62" s="561">
        <f t="shared" si="2"/>
        <v>-2935.7775313093734</v>
      </c>
    </row>
    <row r="63" spans="1:11" s="244" customFormat="1" ht="15" x14ac:dyDescent="0.25">
      <c r="A63" s="85">
        <f>Données!A63</f>
        <v>5497</v>
      </c>
      <c r="B63" s="368" t="str">
        <f>Données!B63</f>
        <v>Pompaples</v>
      </c>
      <c r="C63" s="241">
        <v>378365.91758123005</v>
      </c>
      <c r="D63" s="556">
        <f>Synthèse!G62</f>
        <v>372840.77173005091</v>
      </c>
      <c r="E63" s="557">
        <f t="shared" si="0"/>
        <v>-5525.1458511791425</v>
      </c>
      <c r="F63" s="240">
        <v>-140036.73782008636</v>
      </c>
      <c r="G63" s="559">
        <f>Synthèse!F62</f>
        <v>-129660.37476374081</v>
      </c>
      <c r="H63" s="559">
        <f t="shared" si="1"/>
        <v>10376.363056345552</v>
      </c>
      <c r="I63" s="241">
        <v>62637.965570911605</v>
      </c>
      <c r="J63" s="561">
        <f>Synthèse!H62</f>
        <v>68652.08304635431</v>
      </c>
      <c r="K63" s="561">
        <f t="shared" si="2"/>
        <v>6014.1174754427047</v>
      </c>
    </row>
    <row r="64" spans="1:11" s="244" customFormat="1" ht="15" x14ac:dyDescent="0.25">
      <c r="A64" s="85">
        <f>Données!A64</f>
        <v>5498</v>
      </c>
      <c r="B64" s="368" t="str">
        <f>Données!B64</f>
        <v>La Sarraz</v>
      </c>
      <c r="C64" s="241">
        <v>1301933.4269422281</v>
      </c>
      <c r="D64" s="556">
        <f>Synthèse!G63</f>
        <v>1013425.7518426498</v>
      </c>
      <c r="E64" s="557">
        <f t="shared" si="0"/>
        <v>-288507.67509957834</v>
      </c>
      <c r="F64" s="240">
        <v>-359706.65209219488</v>
      </c>
      <c r="G64" s="559">
        <f>Synthèse!F63</f>
        <v>-711465.2474537564</v>
      </c>
      <c r="H64" s="559">
        <f t="shared" si="1"/>
        <v>-351758.59536156151</v>
      </c>
      <c r="I64" s="241">
        <v>242459.73331445552</v>
      </c>
      <c r="J64" s="561">
        <f>Synthèse!H63</f>
        <v>221088.13706277098</v>
      </c>
      <c r="K64" s="561">
        <f t="shared" si="2"/>
        <v>-21371.596251684532</v>
      </c>
    </row>
    <row r="65" spans="1:11" s="244" customFormat="1" ht="15" x14ac:dyDescent="0.25">
      <c r="A65" s="85">
        <f>Données!A65</f>
        <v>5499</v>
      </c>
      <c r="B65" s="368" t="str">
        <f>Données!B65</f>
        <v>Senarclens</v>
      </c>
      <c r="C65" s="241">
        <v>412311.58625870943</v>
      </c>
      <c r="D65" s="556">
        <f>Synthèse!G64</f>
        <v>287770.56920372375</v>
      </c>
      <c r="E65" s="557">
        <f t="shared" si="0"/>
        <v>-124541.01705498568</v>
      </c>
      <c r="F65" s="240">
        <v>36107.190933400474</v>
      </c>
      <c r="G65" s="559">
        <f>Synthèse!F64</f>
        <v>228298.25085981388</v>
      </c>
      <c r="H65" s="559">
        <f t="shared" si="1"/>
        <v>192191.05992641341</v>
      </c>
      <c r="I65" s="241">
        <v>61798.755369667284</v>
      </c>
      <c r="J65" s="561">
        <f>Synthèse!H64</f>
        <v>62150.24970113048</v>
      </c>
      <c r="K65" s="561">
        <f t="shared" si="2"/>
        <v>351.49433146319643</v>
      </c>
    </row>
    <row r="66" spans="1:11" s="244" customFormat="1" ht="15" x14ac:dyDescent="0.25">
      <c r="A66" s="85">
        <f>Données!A66</f>
        <v>5501</v>
      </c>
      <c r="B66" s="368" t="str">
        <f>Données!B66</f>
        <v>Sullens</v>
      </c>
      <c r="C66" s="241">
        <v>874898.70181130921</v>
      </c>
      <c r="D66" s="556">
        <f>Synthèse!G65</f>
        <v>910770.81223513628</v>
      </c>
      <c r="E66" s="557">
        <f t="shared" si="0"/>
        <v>35872.110423827078</v>
      </c>
      <c r="F66" s="240">
        <v>533213.30374915246</v>
      </c>
      <c r="G66" s="559">
        <f>Synthèse!F65</f>
        <v>793081.5163325984</v>
      </c>
      <c r="H66" s="559">
        <f t="shared" si="1"/>
        <v>259868.21258344594</v>
      </c>
      <c r="I66" s="241">
        <v>131401.75313344708</v>
      </c>
      <c r="J66" s="561">
        <f>Synthèse!H65</f>
        <v>163340.73509201774</v>
      </c>
      <c r="K66" s="561">
        <f t="shared" si="2"/>
        <v>31938.981958570657</v>
      </c>
    </row>
    <row r="67" spans="1:11" s="244" customFormat="1" ht="15" x14ac:dyDescent="0.25">
      <c r="A67" s="85">
        <f>Données!A67</f>
        <v>5503</v>
      </c>
      <c r="B67" s="368" t="str">
        <f>Données!B67</f>
        <v>Vufflens-la-Ville</v>
      </c>
      <c r="C67" s="241">
        <v>1202812.2135433648</v>
      </c>
      <c r="D67" s="556">
        <f>Synthèse!G66</f>
        <v>1159998.4498925649</v>
      </c>
      <c r="E67" s="557">
        <f t="shared" si="0"/>
        <v>-42813.763650799869</v>
      </c>
      <c r="F67" s="240">
        <v>1048317.0557282452</v>
      </c>
      <c r="G67" s="559">
        <f>Synthèse!F66</f>
        <v>1188455.745808674</v>
      </c>
      <c r="H67" s="559">
        <f t="shared" si="1"/>
        <v>140138.69008042885</v>
      </c>
      <c r="I67" s="241">
        <v>202010.0232535192</v>
      </c>
      <c r="J67" s="561">
        <f>Synthèse!H66</f>
        <v>207934.97075481724</v>
      </c>
      <c r="K67" s="561">
        <f t="shared" si="2"/>
        <v>5924.9475012980402</v>
      </c>
    </row>
    <row r="68" spans="1:11" s="244" customFormat="1" ht="15" x14ac:dyDescent="0.25">
      <c r="A68" s="85">
        <f>Données!A68</f>
        <v>5511</v>
      </c>
      <c r="B68" s="368" t="str">
        <f>Données!B68</f>
        <v>Assens</v>
      </c>
      <c r="C68" s="241">
        <v>1156767.6719174611</v>
      </c>
      <c r="D68" s="556">
        <f>Synthèse!G67</f>
        <v>1008430.4276513013</v>
      </c>
      <c r="E68" s="557">
        <f t="shared" si="0"/>
        <v>-148337.24426615983</v>
      </c>
      <c r="F68" s="240">
        <v>546182.45467889367</v>
      </c>
      <c r="G68" s="559">
        <f>Synthèse!F67</f>
        <v>613379.19967920519</v>
      </c>
      <c r="H68" s="559">
        <f t="shared" si="1"/>
        <v>67196.745000311523</v>
      </c>
      <c r="I68" s="241">
        <v>208179.98465393024</v>
      </c>
      <c r="J68" s="561">
        <f>Synthèse!H67</f>
        <v>219852.15061948547</v>
      </c>
      <c r="K68" s="561">
        <f t="shared" si="2"/>
        <v>11672.165965555236</v>
      </c>
    </row>
    <row r="69" spans="1:11" s="244" customFormat="1" ht="15" x14ac:dyDescent="0.25">
      <c r="A69" s="85">
        <f>Données!A69</f>
        <v>5512</v>
      </c>
      <c r="B69" s="368" t="str">
        <f>Données!B69</f>
        <v>Bercher</v>
      </c>
      <c r="C69" s="241">
        <v>672628.03862539842</v>
      </c>
      <c r="D69" s="556">
        <f>Synthèse!G68</f>
        <v>598008.50617571687</v>
      </c>
      <c r="E69" s="557">
        <f t="shared" si="0"/>
        <v>-74619.532449681545</v>
      </c>
      <c r="F69" s="240">
        <v>-217909.13955927943</v>
      </c>
      <c r="G69" s="559">
        <f>Synthèse!F68</f>
        <v>-330081.2194645725</v>
      </c>
      <c r="H69" s="559">
        <f t="shared" si="1"/>
        <v>-112172.07990529307</v>
      </c>
      <c r="I69" s="241">
        <v>125885.25443713131</v>
      </c>
      <c r="J69" s="561">
        <f>Synthèse!H68</f>
        <v>123927.04193915239</v>
      </c>
      <c r="K69" s="561">
        <f t="shared" si="2"/>
        <v>-1958.2124979789223</v>
      </c>
    </row>
    <row r="70" spans="1:11" s="244" customFormat="1" ht="15" x14ac:dyDescent="0.25">
      <c r="A70" s="85">
        <f>Données!A70</f>
        <v>5514</v>
      </c>
      <c r="B70" s="368" t="str">
        <f>Données!B70</f>
        <v>Bottens</v>
      </c>
      <c r="C70" s="241">
        <v>738436.77645927132</v>
      </c>
      <c r="D70" s="556">
        <f>Synthèse!G69</f>
        <v>636017.36798923311</v>
      </c>
      <c r="E70" s="557">
        <f t="shared" si="0"/>
        <v>-102419.40847003821</v>
      </c>
      <c r="F70" s="240">
        <v>246250.50166066189</v>
      </c>
      <c r="G70" s="559">
        <f>Synthèse!F69</f>
        <v>153480.5286839871</v>
      </c>
      <c r="H70" s="559">
        <f t="shared" si="1"/>
        <v>-92769.972976674791</v>
      </c>
      <c r="I70" s="241">
        <v>138744.79506383886</v>
      </c>
      <c r="J70" s="561">
        <f>Synthèse!H69</f>
        <v>138377.80948542818</v>
      </c>
      <c r="K70" s="561">
        <f t="shared" si="2"/>
        <v>-366.98557841067668</v>
      </c>
    </row>
    <row r="71" spans="1:11" s="244" customFormat="1" ht="15" x14ac:dyDescent="0.25">
      <c r="A71" s="85">
        <f>Données!A71</f>
        <v>5515</v>
      </c>
      <c r="B71" s="368" t="str">
        <f>Données!B71</f>
        <v>Bretigny-sur-Morrens</v>
      </c>
      <c r="C71" s="241">
        <v>550700.48429495958</v>
      </c>
      <c r="D71" s="556">
        <f>Synthèse!G70</f>
        <v>389290.47517032834</v>
      </c>
      <c r="E71" s="557">
        <f t="shared" ref="E71:E134" si="3">D71-C71</f>
        <v>-161410.00912463124</v>
      </c>
      <c r="F71" s="240">
        <v>142825.47667942429</v>
      </c>
      <c r="G71" s="559">
        <f>Synthèse!F70</f>
        <v>80049.27266996156</v>
      </c>
      <c r="H71" s="559">
        <f t="shared" ref="H71:H134" si="4">G71-F71</f>
        <v>-62776.20400946273</v>
      </c>
      <c r="I71" s="241">
        <v>93020.351392253491</v>
      </c>
      <c r="J71" s="561">
        <f>Synthèse!H70</f>
        <v>87754.366579981608</v>
      </c>
      <c r="K71" s="561">
        <f t="shared" ref="K71:K134" si="5">J71-I71</f>
        <v>-5265.9848122718831</v>
      </c>
    </row>
    <row r="72" spans="1:11" s="244" customFormat="1" ht="15" x14ac:dyDescent="0.25">
      <c r="A72" s="85">
        <f>Données!A72</f>
        <v>5516</v>
      </c>
      <c r="B72" s="368" t="str">
        <f>Données!B72</f>
        <v>Cugy</v>
      </c>
      <c r="C72" s="241">
        <v>1949394.1474843617</v>
      </c>
      <c r="D72" s="556">
        <f>Synthèse!G71</f>
        <v>1594496.0290301892</v>
      </c>
      <c r="E72" s="557">
        <f t="shared" si="3"/>
        <v>-354898.11845417251</v>
      </c>
      <c r="F72" s="240">
        <v>655615.27075402671</v>
      </c>
      <c r="G72" s="559">
        <f>Synthèse!F71</f>
        <v>704347.77950779418</v>
      </c>
      <c r="H72" s="559">
        <f t="shared" si="4"/>
        <v>48732.50875376747</v>
      </c>
      <c r="I72" s="241">
        <v>336407.70571426488</v>
      </c>
      <c r="J72" s="561">
        <f>Synthèse!H71</f>
        <v>333695.98702068208</v>
      </c>
      <c r="K72" s="561">
        <f t="shared" si="5"/>
        <v>-2711.7186935828067</v>
      </c>
    </row>
    <row r="73" spans="1:11" s="244" customFormat="1" ht="15" x14ac:dyDescent="0.25">
      <c r="A73" s="85">
        <f>Données!A73</f>
        <v>5518</v>
      </c>
      <c r="B73" s="368" t="str">
        <f>Données!B73</f>
        <v>Echallens</v>
      </c>
      <c r="C73" s="241">
        <v>3217846.8048403193</v>
      </c>
      <c r="D73" s="556">
        <f>Synthèse!G72</f>
        <v>2875049.4016996911</v>
      </c>
      <c r="E73" s="557">
        <f t="shared" si="3"/>
        <v>-342797.40314062824</v>
      </c>
      <c r="F73" s="240">
        <v>-1822602.3516410971</v>
      </c>
      <c r="G73" s="559">
        <f>Synthèse!F72</f>
        <v>-1997159.8928641235</v>
      </c>
      <c r="H73" s="559">
        <f t="shared" si="4"/>
        <v>-174557.54122302635</v>
      </c>
      <c r="I73" s="241">
        <v>557024.81549046061</v>
      </c>
      <c r="J73" s="561">
        <f>Synthèse!H72</f>
        <v>581168.63680024759</v>
      </c>
      <c r="K73" s="561">
        <f t="shared" si="5"/>
        <v>24143.821309786988</v>
      </c>
    </row>
    <row r="74" spans="1:11" s="244" customFormat="1" ht="15" x14ac:dyDescent="0.25">
      <c r="A74" s="85">
        <f>Données!A74</f>
        <v>5520</v>
      </c>
      <c r="B74" s="368" t="str">
        <f>Données!B74</f>
        <v>Essertines-sur-Yverdon</v>
      </c>
      <c r="C74" s="241">
        <v>565992.33775132697</v>
      </c>
      <c r="D74" s="556">
        <f>Synthèse!G73</f>
        <v>496698.70138562011</v>
      </c>
      <c r="E74" s="557">
        <f t="shared" si="3"/>
        <v>-69293.636365706858</v>
      </c>
      <c r="F74" s="240">
        <v>-95983.660974907805</v>
      </c>
      <c r="G74" s="559">
        <f>Synthèse!F73</f>
        <v>-410967.33767465793</v>
      </c>
      <c r="H74" s="559">
        <f t="shared" si="4"/>
        <v>-314983.67669975013</v>
      </c>
      <c r="I74" s="241">
        <v>92552.274419570778</v>
      </c>
      <c r="J74" s="561">
        <f>Synthèse!H73</f>
        <v>94384.373579703853</v>
      </c>
      <c r="K74" s="561">
        <f t="shared" si="5"/>
        <v>1832.0991601330752</v>
      </c>
    </row>
    <row r="75" spans="1:11" s="244" customFormat="1" ht="15" x14ac:dyDescent="0.25">
      <c r="A75" s="85">
        <f>Données!A75</f>
        <v>5521</v>
      </c>
      <c r="B75" s="368" t="str">
        <f>Données!B75</f>
        <v>Etagnières</v>
      </c>
      <c r="C75" s="241">
        <v>777073.30230111524</v>
      </c>
      <c r="D75" s="556">
        <f>Synthèse!G74</f>
        <v>920449.98650966631</v>
      </c>
      <c r="E75" s="557">
        <f t="shared" si="3"/>
        <v>143376.68420855107</v>
      </c>
      <c r="F75" s="240">
        <v>517598.83185938891</v>
      </c>
      <c r="G75" s="559">
        <f>Synthèse!F74</f>
        <v>465811.36510049977</v>
      </c>
      <c r="H75" s="559">
        <f t="shared" si="4"/>
        <v>-51787.466758889146</v>
      </c>
      <c r="I75" s="241">
        <v>146219.92079824844</v>
      </c>
      <c r="J75" s="561">
        <f>Synthèse!H74</f>
        <v>141904.49806016288</v>
      </c>
      <c r="K75" s="561">
        <f t="shared" si="5"/>
        <v>-4315.4227380855591</v>
      </c>
    </row>
    <row r="76" spans="1:11" s="244" customFormat="1" ht="15" x14ac:dyDescent="0.25">
      <c r="A76" s="85">
        <f>Données!A76</f>
        <v>5522</v>
      </c>
      <c r="B76" s="368" t="str">
        <f>Données!B76</f>
        <v>Fey</v>
      </c>
      <c r="C76" s="241">
        <v>374304.87114512379</v>
      </c>
      <c r="D76" s="556">
        <f>Synthèse!G75</f>
        <v>355424.96547906729</v>
      </c>
      <c r="E76" s="557">
        <f t="shared" si="3"/>
        <v>-18879.905666056497</v>
      </c>
      <c r="F76" s="240">
        <v>8292.5307930717245</v>
      </c>
      <c r="G76" s="559">
        <f>Synthèse!F75</f>
        <v>-20153.984118662018</v>
      </c>
      <c r="H76" s="559">
        <f t="shared" si="4"/>
        <v>-28446.514911733742</v>
      </c>
      <c r="I76" s="241">
        <v>74363.508910588047</v>
      </c>
      <c r="J76" s="561">
        <f>Synthèse!H75</f>
        <v>72928.283057131543</v>
      </c>
      <c r="K76" s="561">
        <f t="shared" si="5"/>
        <v>-1435.2258534565044</v>
      </c>
    </row>
    <row r="77" spans="1:11" s="244" customFormat="1" ht="15" x14ac:dyDescent="0.25">
      <c r="A77" s="85">
        <f>Données!A77</f>
        <v>5523</v>
      </c>
      <c r="B77" s="368" t="str">
        <f>Données!B77</f>
        <v>Froideville</v>
      </c>
      <c r="C77" s="241">
        <v>1395342.5530433841</v>
      </c>
      <c r="D77" s="556">
        <f>Synthèse!G76</f>
        <v>1437669.2789815536</v>
      </c>
      <c r="E77" s="557">
        <f t="shared" si="3"/>
        <v>42326.725938169518</v>
      </c>
      <c r="F77" s="240">
        <v>12441.281308193924</v>
      </c>
      <c r="G77" s="559">
        <f>Synthèse!F76</f>
        <v>89751.734088246245</v>
      </c>
      <c r="H77" s="559">
        <f t="shared" si="4"/>
        <v>77310.452780052321</v>
      </c>
      <c r="I77" s="241">
        <v>267745.94397710159</v>
      </c>
      <c r="J77" s="561">
        <f>Synthèse!H76</f>
        <v>277057.97372665419</v>
      </c>
      <c r="K77" s="561">
        <f t="shared" si="5"/>
        <v>9312.0297495526029</v>
      </c>
    </row>
    <row r="78" spans="1:11" s="244" customFormat="1" ht="15" x14ac:dyDescent="0.25">
      <c r="A78" s="85">
        <f>Données!A78</f>
        <v>5527</v>
      </c>
      <c r="B78" s="368" t="str">
        <f>Données!B78</f>
        <v>Morrens</v>
      </c>
      <c r="C78" s="241">
        <v>673789.46103666222</v>
      </c>
      <c r="D78" s="556">
        <f>Synthèse!G77</f>
        <v>617807.62863129948</v>
      </c>
      <c r="E78" s="557">
        <f t="shared" si="3"/>
        <v>-55981.832405362744</v>
      </c>
      <c r="F78" s="240">
        <v>238912.28491943865</v>
      </c>
      <c r="G78" s="559">
        <f>Synthèse!F77</f>
        <v>227538.24780335592</v>
      </c>
      <c r="H78" s="559">
        <f t="shared" si="4"/>
        <v>-11374.037116082734</v>
      </c>
      <c r="I78" s="241">
        <v>127085.16473408832</v>
      </c>
      <c r="J78" s="561">
        <f>Synthèse!H77</f>
        <v>122594.32392013997</v>
      </c>
      <c r="K78" s="561">
        <f t="shared" si="5"/>
        <v>-4490.8408139483508</v>
      </c>
    </row>
    <row r="79" spans="1:11" s="244" customFormat="1" ht="15" x14ac:dyDescent="0.25">
      <c r="A79" s="85">
        <f>Données!A79</f>
        <v>5529</v>
      </c>
      <c r="B79" s="368" t="str">
        <f>Données!B79</f>
        <v>Oulens-sous-Echallens</v>
      </c>
      <c r="C79" s="241">
        <v>316936.8485470647</v>
      </c>
      <c r="D79" s="556">
        <f>Synthèse!G78</f>
        <v>270462.433120284</v>
      </c>
      <c r="E79" s="557">
        <f t="shared" si="3"/>
        <v>-46474.415426780703</v>
      </c>
      <c r="F79" s="240">
        <v>81213.82909220393</v>
      </c>
      <c r="G79" s="559">
        <f>Synthèse!F78</f>
        <v>127809.73608576483</v>
      </c>
      <c r="H79" s="559">
        <f t="shared" si="4"/>
        <v>46595.9069935609</v>
      </c>
      <c r="I79" s="241">
        <v>62994.113401282812</v>
      </c>
      <c r="J79" s="561">
        <f>Synthèse!H78</f>
        <v>68213.946144809641</v>
      </c>
      <c r="K79" s="561">
        <f t="shared" si="5"/>
        <v>5219.8327435268293</v>
      </c>
    </row>
    <row r="80" spans="1:11" s="244" customFormat="1" ht="15" x14ac:dyDescent="0.25">
      <c r="A80" s="85">
        <f>Données!A80</f>
        <v>5530</v>
      </c>
      <c r="B80" s="368" t="str">
        <f>Données!B80</f>
        <v>Pailly</v>
      </c>
      <c r="C80" s="241">
        <v>279593.38273851189</v>
      </c>
      <c r="D80" s="556">
        <f>Synthèse!G79</f>
        <v>510113.32415151299</v>
      </c>
      <c r="E80" s="557">
        <f t="shared" si="3"/>
        <v>230519.9414130011</v>
      </c>
      <c r="F80" s="240">
        <v>-275552.03808673931</v>
      </c>
      <c r="G80" s="559">
        <f>Synthèse!F79</f>
        <v>72316.358543227019</v>
      </c>
      <c r="H80" s="559">
        <f t="shared" si="4"/>
        <v>347868.39662996633</v>
      </c>
      <c r="I80" s="241">
        <v>57458.060896851945</v>
      </c>
      <c r="J80" s="561">
        <f>Synthèse!H79</f>
        <v>61751.649047969564</v>
      </c>
      <c r="K80" s="561">
        <f t="shared" si="5"/>
        <v>4293.5881511176194</v>
      </c>
    </row>
    <row r="81" spans="1:11" s="244" customFormat="1" ht="15" x14ac:dyDescent="0.25">
      <c r="A81" s="85">
        <f>Données!A81</f>
        <v>5531</v>
      </c>
      <c r="B81" s="368" t="str">
        <f>Données!B81</f>
        <v>Penthéréaz</v>
      </c>
      <c r="C81" s="241">
        <v>230078.10457693951</v>
      </c>
      <c r="D81" s="556">
        <f>Synthèse!G80</f>
        <v>225487.68136911478</v>
      </c>
      <c r="E81" s="557">
        <f t="shared" si="3"/>
        <v>-4590.4232078247296</v>
      </c>
      <c r="F81" s="240">
        <v>26310.742748274875</v>
      </c>
      <c r="G81" s="559">
        <f>Synthèse!F80</f>
        <v>145517.93144438305</v>
      </c>
      <c r="H81" s="559">
        <f t="shared" si="4"/>
        <v>119207.18869610818</v>
      </c>
      <c r="I81" s="241">
        <v>43479.854883359345</v>
      </c>
      <c r="J81" s="561">
        <f>Synthèse!H80</f>
        <v>52723.736842401944</v>
      </c>
      <c r="K81" s="561">
        <f t="shared" si="5"/>
        <v>9243.8819590425992</v>
      </c>
    </row>
    <row r="82" spans="1:11" s="244" customFormat="1" ht="15" x14ac:dyDescent="0.25">
      <c r="A82" s="85">
        <f>Données!A82</f>
        <v>5533</v>
      </c>
      <c r="B82" s="368" t="str">
        <f>Données!B82</f>
        <v>Poliez-Pittet</v>
      </c>
      <c r="C82" s="241">
        <v>567188.56829908059</v>
      </c>
      <c r="D82" s="556">
        <f>Synthèse!G81</f>
        <v>386102.29247168166</v>
      </c>
      <c r="E82" s="557">
        <f t="shared" si="3"/>
        <v>-181086.27582739893</v>
      </c>
      <c r="F82" s="240">
        <v>148075.59211006493</v>
      </c>
      <c r="G82" s="559">
        <f>Synthèse!F81</f>
        <v>71681.637562976393</v>
      </c>
      <c r="H82" s="559">
        <f t="shared" si="4"/>
        <v>-76393.954547088535</v>
      </c>
      <c r="I82" s="241">
        <v>85279.633066042588</v>
      </c>
      <c r="J82" s="561">
        <f>Synthèse!H81</f>
        <v>84433.118198199401</v>
      </c>
      <c r="K82" s="561">
        <f t="shared" si="5"/>
        <v>-846.51486784318695</v>
      </c>
    </row>
    <row r="83" spans="1:11" s="244" customFormat="1" ht="15" x14ac:dyDescent="0.25">
      <c r="A83" s="85">
        <f>Données!A83</f>
        <v>5534</v>
      </c>
      <c r="B83" s="368" t="str">
        <f>Données!B83</f>
        <v>Rueyres</v>
      </c>
      <c r="C83" s="241">
        <v>167480.00475410369</v>
      </c>
      <c r="D83" s="556">
        <f>Synthèse!G82</f>
        <v>205956.55476893252</v>
      </c>
      <c r="E83" s="557">
        <f t="shared" si="3"/>
        <v>38476.550014828827</v>
      </c>
      <c r="F83" s="240">
        <v>97684.062001455619</v>
      </c>
      <c r="G83" s="559">
        <f>Synthèse!F82</f>
        <v>248486.97095881464</v>
      </c>
      <c r="H83" s="559">
        <f t="shared" si="4"/>
        <v>150802.90895735903</v>
      </c>
      <c r="I83" s="241">
        <v>29894.055568124539</v>
      </c>
      <c r="J83" s="561">
        <f>Synthèse!H82</f>
        <v>44817.269056133038</v>
      </c>
      <c r="K83" s="561">
        <f t="shared" si="5"/>
        <v>14923.2134880085</v>
      </c>
    </row>
    <row r="84" spans="1:11" s="244" customFormat="1" ht="15" x14ac:dyDescent="0.25">
      <c r="A84" s="85">
        <f>Données!A84</f>
        <v>5535</v>
      </c>
      <c r="B84" s="368" t="str">
        <f>Données!B84</f>
        <v>Saint-Barthélemy</v>
      </c>
      <c r="C84" s="241">
        <v>359666.36920433515</v>
      </c>
      <c r="D84" s="556">
        <f>Synthèse!G83</f>
        <v>380777.78895703476</v>
      </c>
      <c r="E84" s="557">
        <f t="shared" si="3"/>
        <v>21111.419752699614</v>
      </c>
      <c r="F84" s="240">
        <v>26181.251852877147</v>
      </c>
      <c r="G84" s="559">
        <f>Synthèse!F83</f>
        <v>68452.615912456182</v>
      </c>
      <c r="H84" s="559">
        <f t="shared" si="4"/>
        <v>42271.364059579035</v>
      </c>
      <c r="I84" s="241">
        <v>70219.975398291019</v>
      </c>
      <c r="J84" s="561">
        <f>Synthèse!H83</f>
        <v>77065.279118013248</v>
      </c>
      <c r="K84" s="561">
        <f t="shared" si="5"/>
        <v>6845.3037197222293</v>
      </c>
    </row>
    <row r="85" spans="1:11" s="244" customFormat="1" ht="15" x14ac:dyDescent="0.25">
      <c r="A85" s="85">
        <f>Données!A85</f>
        <v>5537</v>
      </c>
      <c r="B85" s="368" t="str">
        <f>Données!B85</f>
        <v>Villars-le-Terroir</v>
      </c>
      <c r="C85" s="241">
        <v>651614.75899029046</v>
      </c>
      <c r="D85" s="556">
        <f>Synthèse!G84</f>
        <v>521365.36039132392</v>
      </c>
      <c r="E85" s="557">
        <f t="shared" si="3"/>
        <v>-130249.39859896654</v>
      </c>
      <c r="F85" s="240">
        <v>12422.226555552101</v>
      </c>
      <c r="G85" s="559">
        <f>Synthèse!F84</f>
        <v>-128845.35712787672</v>
      </c>
      <c r="H85" s="559">
        <f t="shared" si="4"/>
        <v>-141267.58368342882</v>
      </c>
      <c r="I85" s="241">
        <v>118544.05618086118</v>
      </c>
      <c r="J85" s="561">
        <f>Synthèse!H84</f>
        <v>117343.00059826896</v>
      </c>
      <c r="K85" s="561">
        <f t="shared" si="5"/>
        <v>-1201.0555825922202</v>
      </c>
    </row>
    <row r="86" spans="1:11" s="244" customFormat="1" ht="15" x14ac:dyDescent="0.25">
      <c r="A86" s="85">
        <f>Données!A86</f>
        <v>5539</v>
      </c>
      <c r="B86" s="368" t="str">
        <f>Données!B86</f>
        <v>Vuarrens</v>
      </c>
      <c r="C86" s="241">
        <v>691205.29541168071</v>
      </c>
      <c r="D86" s="556">
        <f>Synthèse!G85</f>
        <v>507849.57243481092</v>
      </c>
      <c r="E86" s="557">
        <f t="shared" si="3"/>
        <v>-183355.72297686979</v>
      </c>
      <c r="F86" s="240">
        <v>227086.35532393679</v>
      </c>
      <c r="G86" s="559">
        <f>Synthèse!F85</f>
        <v>61546.809404104017</v>
      </c>
      <c r="H86" s="559">
        <f t="shared" si="4"/>
        <v>-165539.54591983277</v>
      </c>
      <c r="I86" s="241">
        <v>113182.56846560977</v>
      </c>
      <c r="J86" s="561">
        <f>Synthèse!H85</f>
        <v>103887.69488787753</v>
      </c>
      <c r="K86" s="561">
        <f t="shared" si="5"/>
        <v>-9294.8735777322436</v>
      </c>
    </row>
    <row r="87" spans="1:11" s="244" customFormat="1" ht="15" x14ac:dyDescent="0.25">
      <c r="A87" s="85">
        <f>Données!A87</f>
        <v>5540</v>
      </c>
      <c r="B87" s="368" t="str">
        <f>Données!B87</f>
        <v>Montilliez</v>
      </c>
      <c r="C87" s="241">
        <v>1065384.2391425311</v>
      </c>
      <c r="D87" s="556">
        <f>Synthèse!G86</f>
        <v>906415.39227244316</v>
      </c>
      <c r="E87" s="557">
        <f t="shared" si="3"/>
        <v>-158968.8468700879</v>
      </c>
      <c r="F87" s="240">
        <v>182867.8403435268</v>
      </c>
      <c r="G87" s="559">
        <f>Synthèse!F86</f>
        <v>225772.35016605211</v>
      </c>
      <c r="H87" s="559">
        <f t="shared" si="4"/>
        <v>42904.509822525317</v>
      </c>
      <c r="I87" s="241">
        <v>208029.62558606669</v>
      </c>
      <c r="J87" s="561">
        <f>Synthèse!H86</f>
        <v>204313.41013825784</v>
      </c>
      <c r="K87" s="561">
        <f t="shared" si="5"/>
        <v>-3716.2154478088487</v>
      </c>
    </row>
    <row r="88" spans="1:11" s="244" customFormat="1" ht="15" x14ac:dyDescent="0.25">
      <c r="A88" s="85">
        <f>Données!A88</f>
        <v>5541</v>
      </c>
      <c r="B88" s="368" t="str">
        <f>Données!B88</f>
        <v>Goumoëns</v>
      </c>
      <c r="C88" s="241">
        <v>669810.73026323004</v>
      </c>
      <c r="D88" s="556">
        <f>Synthèse!G87</f>
        <v>624086.08808367699</v>
      </c>
      <c r="E88" s="557">
        <f t="shared" si="3"/>
        <v>-45724.642179553048</v>
      </c>
      <c r="F88" s="240">
        <v>146837.34507962875</v>
      </c>
      <c r="G88" s="559">
        <f>Synthèse!F87</f>
        <v>247567.05521571008</v>
      </c>
      <c r="H88" s="559">
        <f t="shared" si="4"/>
        <v>100729.71013608132</v>
      </c>
      <c r="I88" s="241">
        <v>116178.65426055266</v>
      </c>
      <c r="J88" s="561">
        <f>Synthèse!H87</f>
        <v>126618.24742762005</v>
      </c>
      <c r="K88" s="561">
        <f t="shared" si="5"/>
        <v>10439.593167067389</v>
      </c>
    </row>
    <row r="89" spans="1:11" s="244" customFormat="1" ht="15" x14ac:dyDescent="0.25">
      <c r="A89" s="85">
        <f>Données!A89</f>
        <v>5551</v>
      </c>
      <c r="B89" s="368" t="str">
        <f>Données!B89</f>
        <v>Bonvillars</v>
      </c>
      <c r="C89" s="241">
        <v>304642.19086071511</v>
      </c>
      <c r="D89" s="556">
        <f>Synthèse!G88</f>
        <v>393136.41861053347</v>
      </c>
      <c r="E89" s="557">
        <f t="shared" si="3"/>
        <v>88494.227749818354</v>
      </c>
      <c r="F89" s="240">
        <v>209461.47564021265</v>
      </c>
      <c r="G89" s="559">
        <f>Synthèse!F88</f>
        <v>102405.49968059323</v>
      </c>
      <c r="H89" s="559">
        <f t="shared" si="4"/>
        <v>-107055.97595961942</v>
      </c>
      <c r="I89" s="241">
        <v>58344.331479012661</v>
      </c>
      <c r="J89" s="561">
        <f>Synthèse!H88</f>
        <v>54443.349353826852</v>
      </c>
      <c r="K89" s="561">
        <f t="shared" si="5"/>
        <v>-3900.9821251858084</v>
      </c>
    </row>
    <row r="90" spans="1:11" s="244" customFormat="1" ht="15" x14ac:dyDescent="0.25">
      <c r="A90" s="85">
        <f>Données!A90</f>
        <v>5552</v>
      </c>
      <c r="B90" s="368" t="str">
        <f>Données!B90</f>
        <v>Bullet</v>
      </c>
      <c r="C90" s="241">
        <v>328560.45941418229</v>
      </c>
      <c r="D90" s="556">
        <f>Synthèse!G89</f>
        <v>303172.51052954403</v>
      </c>
      <c r="E90" s="557">
        <f t="shared" si="3"/>
        <v>-25387.948884638259</v>
      </c>
      <c r="F90" s="240">
        <v>-190420.7272356184</v>
      </c>
      <c r="G90" s="559">
        <f>Synthèse!F89</f>
        <v>-290605.19057138899</v>
      </c>
      <c r="H90" s="559">
        <f t="shared" si="4"/>
        <v>-100184.46333577059</v>
      </c>
      <c r="I90" s="241">
        <v>54426.18207502694</v>
      </c>
      <c r="J90" s="561">
        <f>Synthèse!H89</f>
        <v>56697.730794318544</v>
      </c>
      <c r="K90" s="561">
        <f t="shared" si="5"/>
        <v>2271.5487192916044</v>
      </c>
    </row>
    <row r="91" spans="1:11" s="244" customFormat="1" ht="15" x14ac:dyDescent="0.25">
      <c r="A91" s="85">
        <f>Données!A91</f>
        <v>5553</v>
      </c>
      <c r="B91" s="368" t="str">
        <f>Données!B91</f>
        <v>Champagne</v>
      </c>
      <c r="C91" s="241">
        <v>720904.86265132087</v>
      </c>
      <c r="D91" s="556">
        <f>Synthèse!G90</f>
        <v>574973.79012350668</v>
      </c>
      <c r="E91" s="557">
        <f t="shared" si="3"/>
        <v>-145931.07252781419</v>
      </c>
      <c r="F91" s="240">
        <v>274465.07888315408</v>
      </c>
      <c r="G91" s="559">
        <f>Synthèse!F90</f>
        <v>50303.169158712612</v>
      </c>
      <c r="H91" s="559">
        <f t="shared" si="4"/>
        <v>-224161.90972444147</v>
      </c>
      <c r="I91" s="241">
        <v>119215.40037902766</v>
      </c>
      <c r="J91" s="561">
        <f>Synthèse!H90</f>
        <v>113691.81793524887</v>
      </c>
      <c r="K91" s="561">
        <f t="shared" si="5"/>
        <v>-5523.582443778796</v>
      </c>
    </row>
    <row r="92" spans="1:11" s="244" customFormat="1" ht="15" x14ac:dyDescent="0.25">
      <c r="A92" s="85">
        <f>Données!A92</f>
        <v>5554</v>
      </c>
      <c r="B92" s="368" t="str">
        <f>Données!B92</f>
        <v>Concise</v>
      </c>
      <c r="C92" s="241">
        <v>596554.92000724841</v>
      </c>
      <c r="D92" s="556">
        <f>Synthèse!G91</f>
        <v>528904.67638947524</v>
      </c>
      <c r="E92" s="557">
        <f t="shared" si="3"/>
        <v>-67650.243617773172</v>
      </c>
      <c r="F92" s="240">
        <v>-14447.982929625083</v>
      </c>
      <c r="G92" s="559">
        <f>Synthèse!F91</f>
        <v>-13875.873920122045</v>
      </c>
      <c r="H92" s="559">
        <f t="shared" si="4"/>
        <v>572.10900950303767</v>
      </c>
      <c r="I92" s="241">
        <v>101885.72515788062</v>
      </c>
      <c r="J92" s="561">
        <f>Synthèse!H91</f>
        <v>102645.50620120513</v>
      </c>
      <c r="K92" s="561">
        <f t="shared" si="5"/>
        <v>759.78104332451767</v>
      </c>
    </row>
    <row r="93" spans="1:11" s="244" customFormat="1" ht="15" x14ac:dyDescent="0.25">
      <c r="A93" s="85">
        <f>Données!A93</f>
        <v>5555</v>
      </c>
      <c r="B93" s="368" t="str">
        <f>Données!B93</f>
        <v>Corcelles-près-Concise</v>
      </c>
      <c r="C93" s="241">
        <v>289553.20258381299</v>
      </c>
      <c r="D93" s="556">
        <f>Synthèse!G92</f>
        <v>171982.47617379652</v>
      </c>
      <c r="E93" s="557">
        <f t="shared" si="3"/>
        <v>-117570.72641001648</v>
      </c>
      <c r="F93" s="240">
        <v>-69926.653568182373</v>
      </c>
      <c r="G93" s="559">
        <f>Synthèse!F92</f>
        <v>-91908.846050683263</v>
      </c>
      <c r="H93" s="559">
        <f t="shared" si="4"/>
        <v>-21982.19248250089</v>
      </c>
      <c r="I93" s="241">
        <v>42030.543823355052</v>
      </c>
      <c r="J93" s="561">
        <f>Synthèse!H92</f>
        <v>39773.595757349736</v>
      </c>
      <c r="K93" s="561">
        <f t="shared" si="5"/>
        <v>-2256.9480660053159</v>
      </c>
    </row>
    <row r="94" spans="1:11" s="244" customFormat="1" ht="15" x14ac:dyDescent="0.25">
      <c r="A94" s="85">
        <f>Données!A94</f>
        <v>5556</v>
      </c>
      <c r="B94" s="368" t="str">
        <f>Données!B94</f>
        <v>Fiez</v>
      </c>
      <c r="C94" s="241">
        <v>247015.7443682951</v>
      </c>
      <c r="D94" s="556">
        <f>Synthèse!G93</f>
        <v>216713.26142827154</v>
      </c>
      <c r="E94" s="557">
        <f t="shared" si="3"/>
        <v>-30302.482940023561</v>
      </c>
      <c r="F94" s="240">
        <v>56438.248383198981</v>
      </c>
      <c r="G94" s="559">
        <f>Synthèse!F93</f>
        <v>-38403.165214403212</v>
      </c>
      <c r="H94" s="559">
        <f t="shared" si="4"/>
        <v>-94841.413597602193</v>
      </c>
      <c r="I94" s="241">
        <v>43270.196102273847</v>
      </c>
      <c r="J94" s="561">
        <f>Synthèse!H93</f>
        <v>40043.048375925129</v>
      </c>
      <c r="K94" s="561">
        <f t="shared" si="5"/>
        <v>-3227.1477263487177</v>
      </c>
    </row>
    <row r="95" spans="1:11" s="244" customFormat="1" ht="15" x14ac:dyDescent="0.25">
      <c r="A95" s="85">
        <f>Données!A95</f>
        <v>5557</v>
      </c>
      <c r="B95" s="368" t="str">
        <f>Données!B95</f>
        <v>Fontaines-sur-Grandson</v>
      </c>
      <c r="C95" s="241">
        <v>118573.59441758512</v>
      </c>
      <c r="D95" s="556">
        <f>Synthèse!G94</f>
        <v>68312.927318159971</v>
      </c>
      <c r="E95" s="557">
        <f t="shared" si="3"/>
        <v>-50260.667099425147</v>
      </c>
      <c r="F95" s="240">
        <v>-1002.7421508390107</v>
      </c>
      <c r="G95" s="559">
        <f>Synthèse!F94</f>
        <v>-78719.252652202355</v>
      </c>
      <c r="H95" s="559">
        <f t="shared" si="4"/>
        <v>-77716.510501363344</v>
      </c>
      <c r="I95" s="241">
        <v>18299.124744042354</v>
      </c>
      <c r="J95" s="561">
        <f>Synthèse!H94</f>
        <v>15085.079831685169</v>
      </c>
      <c r="K95" s="561">
        <f t="shared" si="5"/>
        <v>-3214.0449123571852</v>
      </c>
    </row>
    <row r="96" spans="1:11" s="244" customFormat="1" ht="15" x14ac:dyDescent="0.25">
      <c r="A96" s="85">
        <f>Données!A96</f>
        <v>5559</v>
      </c>
      <c r="B96" s="368" t="str">
        <f>Données!B96</f>
        <v>Giez</v>
      </c>
      <c r="C96" s="241">
        <v>309804.96401705715</v>
      </c>
      <c r="D96" s="556">
        <f>Synthèse!G95</f>
        <v>306823.66293641925</v>
      </c>
      <c r="E96" s="557">
        <f t="shared" si="3"/>
        <v>-2981.3010806379025</v>
      </c>
      <c r="F96" s="240">
        <v>230163.93199873605</v>
      </c>
      <c r="G96" s="559">
        <f>Synthèse!F95</f>
        <v>310971.14759348746</v>
      </c>
      <c r="H96" s="559">
        <f t="shared" si="4"/>
        <v>80807.215594751411</v>
      </c>
      <c r="I96" s="241">
        <v>53522.905725959528</v>
      </c>
      <c r="J96" s="561">
        <f>Synthèse!H95</f>
        <v>63934.803743992539</v>
      </c>
      <c r="K96" s="561">
        <f t="shared" si="5"/>
        <v>10411.898018033011</v>
      </c>
    </row>
    <row r="97" spans="1:11" s="244" customFormat="1" ht="15" x14ac:dyDescent="0.25">
      <c r="A97" s="85">
        <f>Données!A97</f>
        <v>5560</v>
      </c>
      <c r="B97" s="368" t="str">
        <f>Données!B97</f>
        <v>Grandevent</v>
      </c>
      <c r="C97" s="241">
        <v>104110.22131957639</v>
      </c>
      <c r="D97" s="556">
        <f>Synthèse!G96</f>
        <v>131521.11887974487</v>
      </c>
      <c r="E97" s="557">
        <f t="shared" si="3"/>
        <v>27410.89756016848</v>
      </c>
      <c r="F97" s="240">
        <v>1892.7150852294581</v>
      </c>
      <c r="G97" s="559">
        <f>Synthèse!F96</f>
        <v>84370.442693679041</v>
      </c>
      <c r="H97" s="559">
        <f t="shared" si="4"/>
        <v>82477.727608449582</v>
      </c>
      <c r="I97" s="241">
        <v>19036.858906948277</v>
      </c>
      <c r="J97" s="561">
        <f>Synthèse!H96</f>
        <v>27340.827848965979</v>
      </c>
      <c r="K97" s="561">
        <f t="shared" si="5"/>
        <v>8303.9689420177019</v>
      </c>
    </row>
    <row r="98" spans="1:11" s="244" customFormat="1" ht="15" x14ac:dyDescent="0.25">
      <c r="A98" s="85">
        <f>Données!A98</f>
        <v>5561</v>
      </c>
      <c r="B98" s="368" t="str">
        <f>Données!B98</f>
        <v>Grandson</v>
      </c>
      <c r="C98" s="241">
        <v>2129687.5848870459</v>
      </c>
      <c r="D98" s="556">
        <f>Synthèse!G97</f>
        <v>1984896.4703841964</v>
      </c>
      <c r="E98" s="557">
        <f t="shared" si="3"/>
        <v>-144791.11450284952</v>
      </c>
      <c r="F98" s="240">
        <v>-580638.54823936056</v>
      </c>
      <c r="G98" s="559">
        <f>Synthèse!F97</f>
        <v>-39656.694612636697</v>
      </c>
      <c r="H98" s="559">
        <f t="shared" si="4"/>
        <v>540981.85362672387</v>
      </c>
      <c r="I98" s="241">
        <v>358464.23651516088</v>
      </c>
      <c r="J98" s="561">
        <f>Synthèse!H97</f>
        <v>400571.08417405013</v>
      </c>
      <c r="K98" s="561">
        <f t="shared" si="5"/>
        <v>42106.847658889252</v>
      </c>
    </row>
    <row r="99" spans="1:11" s="244" customFormat="1" ht="15" x14ac:dyDescent="0.25">
      <c r="A99" s="85">
        <f>Données!A99</f>
        <v>5562</v>
      </c>
      <c r="B99" s="368" t="str">
        <f>Données!B99</f>
        <v>Mauborget</v>
      </c>
      <c r="C99" s="241">
        <v>102597.1239721794</v>
      </c>
      <c r="D99" s="556">
        <f>Synthèse!G98</f>
        <v>57205.487848124147</v>
      </c>
      <c r="E99" s="557">
        <f t="shared" si="3"/>
        <v>-45391.636124055251</v>
      </c>
      <c r="F99" s="240">
        <v>94176.532234290513</v>
      </c>
      <c r="G99" s="559">
        <f>Synthèse!F98</f>
        <v>17071.760799978103</v>
      </c>
      <c r="H99" s="559">
        <f t="shared" si="4"/>
        <v>-77104.77143431241</v>
      </c>
      <c r="I99" s="241">
        <v>18688.661541725087</v>
      </c>
      <c r="J99" s="561">
        <f>Synthèse!H98</f>
        <v>13674.761320161715</v>
      </c>
      <c r="K99" s="561">
        <f t="shared" si="5"/>
        <v>-5013.9002215633718</v>
      </c>
    </row>
    <row r="100" spans="1:11" s="244" customFormat="1" ht="15" x14ac:dyDescent="0.25">
      <c r="A100" s="85">
        <f>Données!A100</f>
        <v>5563</v>
      </c>
      <c r="B100" s="368" t="str">
        <f>Données!B100</f>
        <v>Mutrux</v>
      </c>
      <c r="C100" s="241">
        <v>71287.426923780207</v>
      </c>
      <c r="D100" s="556">
        <f>Synthèse!G99</f>
        <v>57450.845490782071</v>
      </c>
      <c r="E100" s="557">
        <f t="shared" si="3"/>
        <v>-13836.581432998137</v>
      </c>
      <c r="F100" s="240">
        <v>-59942.994035507567</v>
      </c>
      <c r="G100" s="559">
        <f>Synthèse!F99</f>
        <v>-120937.95705328209</v>
      </c>
      <c r="H100" s="559">
        <f t="shared" si="4"/>
        <v>-60994.963017774528</v>
      </c>
      <c r="I100" s="241">
        <v>12856.402139344638</v>
      </c>
      <c r="J100" s="561">
        <f>Synthèse!H99</f>
        <v>6696.173511508935</v>
      </c>
      <c r="K100" s="561">
        <f t="shared" si="5"/>
        <v>-6160.2286278357033</v>
      </c>
    </row>
    <row r="101" spans="1:11" s="244" customFormat="1" ht="15" x14ac:dyDescent="0.25">
      <c r="A101" s="85">
        <f>Données!A101</f>
        <v>5564</v>
      </c>
      <c r="B101" s="368" t="str">
        <f>Données!B101</f>
        <v>Novalles</v>
      </c>
      <c r="C101" s="241">
        <v>43958.44952782194</v>
      </c>
      <c r="D101" s="556">
        <f>Synthèse!G100</f>
        <v>29713.498371560217</v>
      </c>
      <c r="E101" s="557">
        <f t="shared" si="3"/>
        <v>-14244.951156261723</v>
      </c>
      <c r="F101" s="240">
        <v>-32525.692237321731</v>
      </c>
      <c r="G101" s="559">
        <f>Synthèse!F100</f>
        <v>-50694.315462694452</v>
      </c>
      <c r="H101" s="559">
        <f t="shared" si="4"/>
        <v>-18168.623225372721</v>
      </c>
      <c r="I101" s="241">
        <v>6528.0905781521487</v>
      </c>
      <c r="J101" s="561">
        <f>Synthèse!H100</f>
        <v>7730.8255285147497</v>
      </c>
      <c r="K101" s="561">
        <f t="shared" si="5"/>
        <v>1202.734950362601</v>
      </c>
    </row>
    <row r="102" spans="1:11" s="244" customFormat="1" ht="15" x14ac:dyDescent="0.25">
      <c r="A102" s="85">
        <f>Données!A102</f>
        <v>5565</v>
      </c>
      <c r="B102" s="368" t="str">
        <f>Données!B102</f>
        <v>Onnens</v>
      </c>
      <c r="C102" s="241">
        <v>319160.8382021992</v>
      </c>
      <c r="D102" s="556">
        <f>Synthèse!G101</f>
        <v>174561.46319766343</v>
      </c>
      <c r="E102" s="557">
        <f t="shared" si="3"/>
        <v>-144599.37500453577</v>
      </c>
      <c r="F102" s="240">
        <v>208507.16382258781</v>
      </c>
      <c r="G102" s="559">
        <f>Synthèse!F101</f>
        <v>-178394.88356404458</v>
      </c>
      <c r="H102" s="559">
        <f t="shared" si="4"/>
        <v>-386902.04738663242</v>
      </c>
      <c r="I102" s="241">
        <v>59671.490888720364</v>
      </c>
      <c r="J102" s="561">
        <f>Synthèse!H101</f>
        <v>32201.673732620977</v>
      </c>
      <c r="K102" s="561">
        <f t="shared" si="5"/>
        <v>-27469.817156099387</v>
      </c>
    </row>
    <row r="103" spans="1:11" s="244" customFormat="1" ht="15" x14ac:dyDescent="0.25">
      <c r="A103" s="85">
        <f>Données!A103</f>
        <v>5566</v>
      </c>
      <c r="B103" s="368" t="str">
        <f>Données!B103</f>
        <v>Provence</v>
      </c>
      <c r="C103" s="241">
        <v>188389.84945102801</v>
      </c>
      <c r="D103" s="556">
        <f>Synthèse!G102</f>
        <v>138362.14878143714</v>
      </c>
      <c r="E103" s="557">
        <f t="shared" si="3"/>
        <v>-50027.700669590879</v>
      </c>
      <c r="F103" s="240">
        <v>-504033.10900161997</v>
      </c>
      <c r="G103" s="559">
        <f>Synthèse!F102</f>
        <v>-507083.11264620919</v>
      </c>
      <c r="H103" s="559">
        <f t="shared" si="4"/>
        <v>-3050.0036445892183</v>
      </c>
      <c r="I103" s="241">
        <v>23595.513736950485</v>
      </c>
      <c r="J103" s="561">
        <f>Synthèse!H102</f>
        <v>25591.901098727292</v>
      </c>
      <c r="K103" s="561">
        <f t="shared" si="5"/>
        <v>1996.3873617768077</v>
      </c>
    </row>
    <row r="104" spans="1:11" s="244" customFormat="1" ht="15" x14ac:dyDescent="0.25">
      <c r="A104" s="85">
        <f>Données!A104</f>
        <v>5568</v>
      </c>
      <c r="B104" s="368" t="str">
        <f>Données!B104</f>
        <v>Sainte-Croix</v>
      </c>
      <c r="C104" s="241">
        <v>2609041.0266124979</v>
      </c>
      <c r="D104" s="556">
        <f>Synthèse!G103</f>
        <v>2312135.1556124985</v>
      </c>
      <c r="E104" s="557">
        <f t="shared" si="3"/>
        <v>-296905.87099999934</v>
      </c>
      <c r="F104" s="240">
        <v>-3573921.7272255518</v>
      </c>
      <c r="G104" s="559">
        <f>Synthèse!F103</f>
        <v>-4194209.7700502407</v>
      </c>
      <c r="H104" s="559">
        <f t="shared" si="4"/>
        <v>-620288.04282468883</v>
      </c>
      <c r="I104" s="241">
        <v>330997.5720133076</v>
      </c>
      <c r="J104" s="561">
        <f>Synthèse!H103</f>
        <v>317074.96904206031</v>
      </c>
      <c r="K104" s="561">
        <f t="shared" si="5"/>
        <v>-13922.602971247281</v>
      </c>
    </row>
    <row r="105" spans="1:11" s="244" customFormat="1" ht="15" x14ac:dyDescent="0.25">
      <c r="A105" s="85">
        <f>Données!A105</f>
        <v>5571</v>
      </c>
      <c r="B105" s="368" t="str">
        <f>Données!B105</f>
        <v>Tévenon</v>
      </c>
      <c r="C105" s="241">
        <v>387375.32579187653</v>
      </c>
      <c r="D105" s="556">
        <f>Synthèse!G104</f>
        <v>358760.96345260704</v>
      </c>
      <c r="E105" s="557">
        <f t="shared" si="3"/>
        <v>-28614.362339269486</v>
      </c>
      <c r="F105" s="240">
        <v>-266776.81441485084</v>
      </c>
      <c r="G105" s="559">
        <f>Synthèse!F104</f>
        <v>-124886.76620798541</v>
      </c>
      <c r="H105" s="559">
        <f t="shared" si="4"/>
        <v>141890.04820686544</v>
      </c>
      <c r="I105" s="241">
        <v>65495.747496009339</v>
      </c>
      <c r="J105" s="561">
        <f>Synthèse!H104</f>
        <v>77369.566532263387</v>
      </c>
      <c r="K105" s="561">
        <f t="shared" si="5"/>
        <v>11873.819036254048</v>
      </c>
    </row>
    <row r="106" spans="1:11" s="244" customFormat="1" ht="15" x14ac:dyDescent="0.25">
      <c r="A106" s="85">
        <f>Données!A106</f>
        <v>5581</v>
      </c>
      <c r="B106" s="368" t="str">
        <f>Données!B106</f>
        <v>Belmont-sur-Lausanne</v>
      </c>
      <c r="C106" s="241">
        <v>4508431.0701831514</v>
      </c>
      <c r="D106" s="556">
        <f>Synthèse!G105</f>
        <v>4107979.4038744201</v>
      </c>
      <c r="E106" s="557">
        <f t="shared" si="3"/>
        <v>-400451.66630873131</v>
      </c>
      <c r="F106" s="240">
        <v>2149070.8274573367</v>
      </c>
      <c r="G106" s="559">
        <f>Synthèse!F105</f>
        <v>2108876.0403068876</v>
      </c>
      <c r="H106" s="559">
        <f t="shared" si="4"/>
        <v>-40194.78715044912</v>
      </c>
      <c r="I106" s="241">
        <v>274708.44910061703</v>
      </c>
      <c r="J106" s="561">
        <f>Synthèse!H105</f>
        <v>275812.96962912142</v>
      </c>
      <c r="K106" s="561">
        <f t="shared" si="5"/>
        <v>1104.5205285043921</v>
      </c>
    </row>
    <row r="107" spans="1:11" s="244" customFormat="1" ht="15" x14ac:dyDescent="0.25">
      <c r="A107" s="85">
        <f>Données!A107</f>
        <v>5582</v>
      </c>
      <c r="B107" s="368" t="str">
        <f>Données!B107</f>
        <v>Cheseaux-sur-Lausanne</v>
      </c>
      <c r="C107" s="241">
        <v>2830160.8174522817</v>
      </c>
      <c r="D107" s="556">
        <f>Synthèse!G106</f>
        <v>2432726.5386212962</v>
      </c>
      <c r="E107" s="557">
        <f t="shared" si="3"/>
        <v>-397434.27883098554</v>
      </c>
      <c r="F107" s="240">
        <v>418540.99285068316</v>
      </c>
      <c r="G107" s="559">
        <f>Synthèse!F106</f>
        <v>99698.51434728317</v>
      </c>
      <c r="H107" s="559">
        <f t="shared" si="4"/>
        <v>-318842.47850339999</v>
      </c>
      <c r="I107" s="241">
        <v>511513.94145306601</v>
      </c>
      <c r="J107" s="561">
        <f>Synthèse!H106</f>
        <v>511347.07597490342</v>
      </c>
      <c r="K107" s="561">
        <f t="shared" si="5"/>
        <v>-166.86547816259554</v>
      </c>
    </row>
    <row r="108" spans="1:11" s="244" customFormat="1" ht="15" x14ac:dyDescent="0.25">
      <c r="A108" s="85">
        <f>Données!A108</f>
        <v>5583</v>
      </c>
      <c r="B108" s="368" t="str">
        <f>Données!B108</f>
        <v>Crissier</v>
      </c>
      <c r="C108" s="241">
        <v>6794092.2903066073</v>
      </c>
      <c r="D108" s="556">
        <f>Synthèse!G107</f>
        <v>6177830.2051361669</v>
      </c>
      <c r="E108" s="557">
        <f t="shared" si="3"/>
        <v>-616262.08517044038</v>
      </c>
      <c r="F108" s="240">
        <v>-299997.8628248712</v>
      </c>
      <c r="G108" s="559">
        <f>Synthèse!F107</f>
        <v>-3188420.7809566287</v>
      </c>
      <c r="H108" s="559">
        <f t="shared" si="4"/>
        <v>-2888422.9181317575</v>
      </c>
      <c r="I108" s="241">
        <v>473938.11611141101</v>
      </c>
      <c r="J108" s="561">
        <f>Synthèse!H107</f>
        <v>401904.30787762854</v>
      </c>
      <c r="K108" s="561">
        <f t="shared" si="5"/>
        <v>-72033.808233782474</v>
      </c>
    </row>
    <row r="109" spans="1:11" s="244" customFormat="1" ht="15" x14ac:dyDescent="0.25">
      <c r="A109" s="85">
        <f>Données!A109</f>
        <v>5584</v>
      </c>
      <c r="B109" s="368" t="str">
        <f>Données!B109</f>
        <v>Epalinges</v>
      </c>
      <c r="C109" s="241">
        <v>9302899.1973805334</v>
      </c>
      <c r="D109" s="556">
        <f>Synthèse!G108</f>
        <v>8342732.7727836175</v>
      </c>
      <c r="E109" s="557">
        <f t="shared" si="3"/>
        <v>-960166.42459691595</v>
      </c>
      <c r="F109" s="240">
        <v>1023226.5709095597</v>
      </c>
      <c r="G109" s="559">
        <f>Synthèse!F108</f>
        <v>-110566.1771800369</v>
      </c>
      <c r="H109" s="559">
        <f t="shared" si="4"/>
        <v>-1133792.7480895966</v>
      </c>
      <c r="I109" s="241">
        <v>1452456.1267690849</v>
      </c>
      <c r="J109" s="561">
        <f>Synthèse!H108</f>
        <v>1455613.2974624631</v>
      </c>
      <c r="K109" s="561">
        <f t="shared" si="5"/>
        <v>3157.170693378197</v>
      </c>
    </row>
    <row r="110" spans="1:11" s="244" customFormat="1" ht="15" x14ac:dyDescent="0.25">
      <c r="A110" s="85">
        <f>Données!A110</f>
        <v>5585</v>
      </c>
      <c r="B110" s="368" t="str">
        <f>Données!B110</f>
        <v>Jouxtens-Mézery</v>
      </c>
      <c r="C110" s="241">
        <v>6943119.2766043246</v>
      </c>
      <c r="D110" s="556">
        <f>Synthèse!G109</f>
        <v>8198715.2579786964</v>
      </c>
      <c r="E110" s="557">
        <f t="shared" si="3"/>
        <v>1255595.9813743718</v>
      </c>
      <c r="F110" s="240">
        <v>3323469.6324131312</v>
      </c>
      <c r="G110" s="559">
        <f>Synthèse!F109</f>
        <v>4310605.6290551983</v>
      </c>
      <c r="H110" s="559">
        <f t="shared" si="4"/>
        <v>987135.9966420671</v>
      </c>
      <c r="I110" s="241">
        <v>381799.61755008192</v>
      </c>
      <c r="J110" s="561">
        <f>Synthèse!H109</f>
        <v>429679.11193712876</v>
      </c>
      <c r="K110" s="561">
        <f t="shared" si="5"/>
        <v>47879.494387046841</v>
      </c>
    </row>
    <row r="111" spans="1:11" s="244" customFormat="1" ht="15" x14ac:dyDescent="0.25">
      <c r="A111" s="85">
        <f>Données!A111</f>
        <v>5586</v>
      </c>
      <c r="B111" s="368" t="str">
        <f>Données!B111</f>
        <v>Lausanne</v>
      </c>
      <c r="C111" s="241">
        <v>112382604.52569373</v>
      </c>
      <c r="D111" s="556">
        <f>Synthèse!G110</f>
        <v>100982636.01705033</v>
      </c>
      <c r="E111" s="557">
        <f t="shared" si="3"/>
        <v>-11399968.508643404</v>
      </c>
      <c r="F111" s="240">
        <v>-76461918.766157076</v>
      </c>
      <c r="G111" s="559">
        <f>Synthèse!F110</f>
        <v>-72955805.201904997</v>
      </c>
      <c r="H111" s="559">
        <f t="shared" si="4"/>
        <v>3506113.5642520785</v>
      </c>
      <c r="I111" s="241">
        <v>7951405.7547911694</v>
      </c>
      <c r="J111" s="561">
        <f>Synthèse!H110</f>
        <v>7875254.7770756604</v>
      </c>
      <c r="K111" s="561">
        <f t="shared" si="5"/>
        <v>-76150.977715509012</v>
      </c>
    </row>
    <row r="112" spans="1:11" s="244" customFormat="1" ht="15" x14ac:dyDescent="0.25">
      <c r="A112" s="85">
        <f>Données!A112</f>
        <v>5587</v>
      </c>
      <c r="B112" s="368" t="str">
        <f>Données!B112</f>
        <v>Le Mont-sur-Lausanne</v>
      </c>
      <c r="C112" s="241">
        <v>8500622.6095892452</v>
      </c>
      <c r="D112" s="556">
        <f>Synthèse!G111</f>
        <v>8481998.7288462278</v>
      </c>
      <c r="E112" s="557">
        <f t="shared" si="3"/>
        <v>-18623.88074301742</v>
      </c>
      <c r="F112" s="240">
        <v>2005117.3789488226</v>
      </c>
      <c r="G112" s="559">
        <f>Synthèse!F111</f>
        <v>2236874.304494597</v>
      </c>
      <c r="H112" s="559">
        <f t="shared" si="4"/>
        <v>231756.9255457744</v>
      </c>
      <c r="I112" s="241">
        <v>1348689.2128261311</v>
      </c>
      <c r="J112" s="561">
        <f>Synthèse!H111</f>
        <v>1401708.2907326734</v>
      </c>
      <c r="K112" s="561">
        <f t="shared" si="5"/>
        <v>53019.077906542225</v>
      </c>
    </row>
    <row r="113" spans="1:11" s="244" customFormat="1" ht="15" x14ac:dyDescent="0.25">
      <c r="A113" s="85">
        <f>Données!A113</f>
        <v>5588</v>
      </c>
      <c r="B113" s="368" t="str">
        <f>Données!B113</f>
        <v>Paudex</v>
      </c>
      <c r="C113" s="241">
        <v>3628918.5643534325</v>
      </c>
      <c r="D113" s="556">
        <f>Synthèse!G112</f>
        <v>3208387.4755205088</v>
      </c>
      <c r="E113" s="557">
        <f t="shared" si="3"/>
        <v>-420531.08883292368</v>
      </c>
      <c r="F113" s="240">
        <v>2281556.797147247</v>
      </c>
      <c r="G113" s="559">
        <f>Synthèse!F112</f>
        <v>2302150.5805620537</v>
      </c>
      <c r="H113" s="559">
        <f t="shared" si="4"/>
        <v>20593.783414806705</v>
      </c>
      <c r="I113" s="241">
        <v>175024.5157385151</v>
      </c>
      <c r="J113" s="561">
        <f>Synthèse!H112</f>
        <v>162364.50938977004</v>
      </c>
      <c r="K113" s="561">
        <f t="shared" si="5"/>
        <v>-12660.006348745053</v>
      </c>
    </row>
    <row r="114" spans="1:11" s="244" customFormat="1" ht="15" x14ac:dyDescent="0.25">
      <c r="A114" s="85">
        <f>Données!A114</f>
        <v>5589</v>
      </c>
      <c r="B114" s="368" t="str">
        <f>Données!B114</f>
        <v>Prilly</v>
      </c>
      <c r="C114" s="241">
        <v>7937922.3432843229</v>
      </c>
      <c r="D114" s="556">
        <f>Synthèse!G113</f>
        <v>6456669.0108329579</v>
      </c>
      <c r="E114" s="557">
        <f t="shared" si="3"/>
        <v>-1481253.332451365</v>
      </c>
      <c r="F114" s="240">
        <v>-3521665.6140714549</v>
      </c>
      <c r="G114" s="559">
        <f>Synthèse!F113</f>
        <v>-7044588.273168141</v>
      </c>
      <c r="H114" s="559">
        <f t="shared" si="4"/>
        <v>-3522922.6590966862</v>
      </c>
      <c r="I114" s="241">
        <v>586098.44348803372</v>
      </c>
      <c r="J114" s="561">
        <f>Synthèse!H113</f>
        <v>477119.07864314085</v>
      </c>
      <c r="K114" s="561">
        <f t="shared" si="5"/>
        <v>-108979.36484489287</v>
      </c>
    </row>
    <row r="115" spans="1:11" s="244" customFormat="1" ht="15" x14ac:dyDescent="0.25">
      <c r="A115" s="85">
        <f>Données!A115</f>
        <v>5590</v>
      </c>
      <c r="B115" s="368" t="str">
        <f>Données!B115</f>
        <v>Pully</v>
      </c>
      <c r="C115" s="241">
        <v>37361203.214299612</v>
      </c>
      <c r="D115" s="556">
        <f>Synthèse!G114</f>
        <v>28388059.446311399</v>
      </c>
      <c r="E115" s="557">
        <f t="shared" si="3"/>
        <v>-8973143.7679882124</v>
      </c>
      <c r="F115" s="240">
        <v>12382915.364185125</v>
      </c>
      <c r="G115" s="559">
        <f>Synthèse!F114</f>
        <v>7802737.2409381494</v>
      </c>
      <c r="H115" s="559">
        <f t="shared" si="4"/>
        <v>-4580178.1232469752</v>
      </c>
      <c r="I115" s="241">
        <v>1909300.0561161842</v>
      </c>
      <c r="J115" s="561">
        <f>Synthèse!H114</f>
        <v>1648322.6821225951</v>
      </c>
      <c r="K115" s="561">
        <f t="shared" si="5"/>
        <v>-260977.37399358908</v>
      </c>
    </row>
    <row r="116" spans="1:11" s="244" customFormat="1" ht="15" x14ac:dyDescent="0.25">
      <c r="A116" s="85">
        <f>Données!A116</f>
        <v>5591</v>
      </c>
      <c r="B116" s="368" t="str">
        <f>Données!B116</f>
        <v>Renens</v>
      </c>
      <c r="C116" s="241">
        <v>11589107.377554236</v>
      </c>
      <c r="D116" s="556">
        <f>Synthèse!G115</f>
        <v>9859914.1487965938</v>
      </c>
      <c r="E116" s="557">
        <f t="shared" si="3"/>
        <v>-1729193.2287576422</v>
      </c>
      <c r="F116" s="240">
        <v>-18886987.651447773</v>
      </c>
      <c r="G116" s="559">
        <f>Synthèse!F115</f>
        <v>-22079953.867182486</v>
      </c>
      <c r="H116" s="559">
        <f t="shared" si="4"/>
        <v>-3192966.2157347128</v>
      </c>
      <c r="I116" s="241">
        <v>769391.72779291647</v>
      </c>
      <c r="J116" s="561">
        <f>Synthèse!H115</f>
        <v>699837.27103365946</v>
      </c>
      <c r="K116" s="561">
        <f t="shared" si="5"/>
        <v>-69554.456759257009</v>
      </c>
    </row>
    <row r="117" spans="1:11" s="244" customFormat="1" ht="15" x14ac:dyDescent="0.25">
      <c r="A117" s="85">
        <f>Données!A117</f>
        <v>5592</v>
      </c>
      <c r="B117" s="368" t="str">
        <f>Données!B117</f>
        <v>Romanel-sur-Lausanne</v>
      </c>
      <c r="C117" s="241">
        <v>2041241.5809071308</v>
      </c>
      <c r="D117" s="556">
        <f>Synthèse!G116</f>
        <v>2108349.6267858315</v>
      </c>
      <c r="E117" s="557">
        <f t="shared" si="3"/>
        <v>67108.045878700679</v>
      </c>
      <c r="F117" s="240">
        <v>602921.11410852987</v>
      </c>
      <c r="G117" s="559">
        <f>Synthèse!F116</f>
        <v>-819308.90773659199</v>
      </c>
      <c r="H117" s="559">
        <f t="shared" si="4"/>
        <v>-1422230.0218451219</v>
      </c>
      <c r="I117" s="241">
        <v>375637.38506876933</v>
      </c>
      <c r="J117" s="561">
        <f>Synthèse!H116</f>
        <v>333565.17027108697</v>
      </c>
      <c r="K117" s="561">
        <f t="shared" si="5"/>
        <v>-42072.214797682362</v>
      </c>
    </row>
    <row r="118" spans="1:11" s="244" customFormat="1" ht="15" x14ac:dyDescent="0.25">
      <c r="A118" s="85">
        <f>Données!A118</f>
        <v>5601</v>
      </c>
      <c r="B118" s="368" t="str">
        <f>Données!B118</f>
        <v>Chexbres</v>
      </c>
      <c r="C118" s="241">
        <v>2278339.0209278627</v>
      </c>
      <c r="D118" s="556">
        <f>Synthèse!G117</f>
        <v>1695605.917324842</v>
      </c>
      <c r="E118" s="557">
        <f t="shared" si="3"/>
        <v>-582733.10360302078</v>
      </c>
      <c r="F118" s="240">
        <v>850515.59109608317</v>
      </c>
      <c r="G118" s="559">
        <f>Synthèse!F117</f>
        <v>1094846.7383288997</v>
      </c>
      <c r="H118" s="559">
        <f t="shared" si="4"/>
        <v>244331.14723281655</v>
      </c>
      <c r="I118" s="241">
        <v>126817.38672762954</v>
      </c>
      <c r="J118" s="561">
        <f>Synthèse!H117</f>
        <v>125134.90808039161</v>
      </c>
      <c r="K118" s="561">
        <f t="shared" si="5"/>
        <v>-1682.4786472379201</v>
      </c>
    </row>
    <row r="119" spans="1:11" s="244" customFormat="1" ht="15" x14ac:dyDescent="0.25">
      <c r="A119" s="85">
        <f>Données!A119</f>
        <v>5604</v>
      </c>
      <c r="B119" s="368" t="str">
        <f>Données!B119</f>
        <v>Forel (Lavaux)</v>
      </c>
      <c r="C119" s="241">
        <v>1229540.0906798062</v>
      </c>
      <c r="D119" s="556">
        <f>Synthèse!G118</f>
        <v>1055649.8838492734</v>
      </c>
      <c r="E119" s="557">
        <f t="shared" si="3"/>
        <v>-173890.20683053276</v>
      </c>
      <c r="F119" s="240">
        <v>71841.61996581452</v>
      </c>
      <c r="G119" s="559">
        <f>Synthèse!F118</f>
        <v>-135206.11422883486</v>
      </c>
      <c r="H119" s="559">
        <f t="shared" si="4"/>
        <v>-207047.73419464938</v>
      </c>
      <c r="I119" s="241">
        <v>222367.8100671352</v>
      </c>
      <c r="J119" s="561">
        <f>Synthèse!H118</f>
        <v>212590.6090020875</v>
      </c>
      <c r="K119" s="561">
        <f t="shared" si="5"/>
        <v>-9777.2010650477023</v>
      </c>
    </row>
    <row r="120" spans="1:11" s="244" customFormat="1" ht="15" x14ac:dyDescent="0.25">
      <c r="A120" s="85">
        <f>Données!A120</f>
        <v>5606</v>
      </c>
      <c r="B120" s="368" t="str">
        <f>Données!B120</f>
        <v>Lutry</v>
      </c>
      <c r="C120" s="241">
        <v>22204993.771073379</v>
      </c>
      <c r="D120" s="556">
        <f>Synthèse!G119</f>
        <v>31297245.895735573</v>
      </c>
      <c r="E120" s="557">
        <f t="shared" si="3"/>
        <v>9092252.1246621944</v>
      </c>
      <c r="F120" s="240">
        <v>9177948.9569218531</v>
      </c>
      <c r="G120" s="559">
        <f>Synthèse!F119</f>
        <v>16525631.401156805</v>
      </c>
      <c r="H120" s="559">
        <f t="shared" si="4"/>
        <v>7347682.4442349523</v>
      </c>
      <c r="I120" s="241">
        <v>1130646.2999570495</v>
      </c>
      <c r="J120" s="561">
        <f>Synthèse!H119</f>
        <v>1430783.4987283684</v>
      </c>
      <c r="K120" s="561">
        <f t="shared" si="5"/>
        <v>300137.19877131889</v>
      </c>
    </row>
    <row r="121" spans="1:11" s="244" customFormat="1" ht="15" x14ac:dyDescent="0.25">
      <c r="A121" s="85">
        <f>Données!A121</f>
        <v>5607</v>
      </c>
      <c r="B121" s="368" t="str">
        <f>Données!B121</f>
        <v>Puidoux</v>
      </c>
      <c r="C121" s="241">
        <v>2145727.3239635308</v>
      </c>
      <c r="D121" s="556">
        <f>Synthèse!G120</f>
        <v>2046678.2582422923</v>
      </c>
      <c r="E121" s="557">
        <f t="shared" si="3"/>
        <v>-99049.065721238498</v>
      </c>
      <c r="F121" s="240">
        <v>-247943.38836217136</v>
      </c>
      <c r="G121" s="559">
        <f>Synthèse!F120</f>
        <v>-180918.5127856438</v>
      </c>
      <c r="H121" s="559">
        <f t="shared" si="4"/>
        <v>67024.875576527556</v>
      </c>
      <c r="I121" s="241">
        <v>132890.5397720199</v>
      </c>
      <c r="J121" s="561">
        <f>Synthèse!H120</f>
        <v>138686.17989978247</v>
      </c>
      <c r="K121" s="561">
        <f t="shared" si="5"/>
        <v>5795.64012776257</v>
      </c>
    </row>
    <row r="122" spans="1:11" s="244" customFormat="1" ht="15" x14ac:dyDescent="0.25">
      <c r="A122" s="85">
        <f>Données!A122</f>
        <v>5609</v>
      </c>
      <c r="B122" s="368" t="str">
        <f>Données!B122</f>
        <v>Rivaz</v>
      </c>
      <c r="C122" s="241">
        <v>273017.42767679057</v>
      </c>
      <c r="D122" s="556">
        <f>Synthèse!G121</f>
        <v>244636.09882289509</v>
      </c>
      <c r="E122" s="557">
        <f t="shared" si="3"/>
        <v>-28381.32885389548</v>
      </c>
      <c r="F122" s="240">
        <v>241331.61953758518</v>
      </c>
      <c r="G122" s="559">
        <f>Synthèse!F121</f>
        <v>149831.67887112245</v>
      </c>
      <c r="H122" s="559">
        <f t="shared" si="4"/>
        <v>-91499.940666462731</v>
      </c>
      <c r="I122" s="241">
        <v>20752.858182107535</v>
      </c>
      <c r="J122" s="561">
        <f>Synthèse!H121</f>
        <v>17622.828899304273</v>
      </c>
      <c r="K122" s="561">
        <f t="shared" si="5"/>
        <v>-3130.0292828032616</v>
      </c>
    </row>
    <row r="123" spans="1:11" s="244" customFormat="1" ht="15" x14ac:dyDescent="0.25">
      <c r="A123" s="85">
        <f>Données!A123</f>
        <v>5610</v>
      </c>
      <c r="B123" s="368" t="str">
        <f>Données!B123</f>
        <v>St-Saphorin (Lavaux)</v>
      </c>
      <c r="C123" s="241">
        <v>363108.24312537053</v>
      </c>
      <c r="D123" s="556">
        <f>Synthèse!G122</f>
        <v>312638.21956460341</v>
      </c>
      <c r="E123" s="557">
        <f t="shared" si="3"/>
        <v>-50470.02356076712</v>
      </c>
      <c r="F123" s="240">
        <v>313919.2361171752</v>
      </c>
      <c r="G123" s="559">
        <f>Synthèse!F122</f>
        <v>348847.89721967088</v>
      </c>
      <c r="H123" s="559">
        <f t="shared" si="4"/>
        <v>34928.66110249568</v>
      </c>
      <c r="I123" s="241">
        <v>24848.122996035247</v>
      </c>
      <c r="J123" s="561">
        <f>Synthèse!H122</f>
        <v>25172.896913758294</v>
      </c>
      <c r="K123" s="561">
        <f t="shared" si="5"/>
        <v>324.77391772304691</v>
      </c>
    </row>
    <row r="124" spans="1:11" s="244" customFormat="1" ht="15" x14ac:dyDescent="0.25">
      <c r="A124" s="85">
        <f>Données!A124</f>
        <v>5611</v>
      </c>
      <c r="B124" s="368" t="str">
        <f>Données!B124</f>
        <v>Savigny</v>
      </c>
      <c r="C124" s="241">
        <v>2521383.072858599</v>
      </c>
      <c r="D124" s="556">
        <f>Synthèse!G123</f>
        <v>2084035.5736282219</v>
      </c>
      <c r="E124" s="557">
        <f t="shared" si="3"/>
        <v>-437347.49923037714</v>
      </c>
      <c r="F124" s="240">
        <v>770836.11244589416</v>
      </c>
      <c r="G124" s="559">
        <f>Synthèse!F123</f>
        <v>345410.85704159411</v>
      </c>
      <c r="H124" s="559">
        <f t="shared" si="4"/>
        <v>-425425.25540430006</v>
      </c>
      <c r="I124" s="241">
        <v>176674.56054750236</v>
      </c>
      <c r="J124" s="561">
        <f>Synthèse!H123</f>
        <v>164811.5580659541</v>
      </c>
      <c r="K124" s="561">
        <f t="shared" si="5"/>
        <v>-11863.002481548261</v>
      </c>
    </row>
    <row r="125" spans="1:11" s="244" customFormat="1" ht="15" x14ac:dyDescent="0.25">
      <c r="A125" s="85">
        <f>Données!A125</f>
        <v>5613</v>
      </c>
      <c r="B125" s="368" t="str">
        <f>Données!B125</f>
        <v>Bourg-en-Lavaux</v>
      </c>
      <c r="C125" s="241">
        <v>7342829.2923065331</v>
      </c>
      <c r="D125" s="556">
        <f>Synthèse!G124</f>
        <v>7682707.9796963297</v>
      </c>
      <c r="E125" s="557">
        <f t="shared" si="3"/>
        <v>339878.6873897966</v>
      </c>
      <c r="F125" s="240">
        <v>4543029.8307760488</v>
      </c>
      <c r="G125" s="559">
        <f>Synthèse!F124</f>
        <v>4895762.3290728778</v>
      </c>
      <c r="H125" s="559">
        <f t="shared" si="4"/>
        <v>352732.49829682894</v>
      </c>
      <c r="I125" s="241">
        <v>444584.66174512019</v>
      </c>
      <c r="J125" s="561">
        <f>Synthèse!H124</f>
        <v>433431.17295686749</v>
      </c>
      <c r="K125" s="561">
        <f t="shared" si="5"/>
        <v>-11153.488788252696</v>
      </c>
    </row>
    <row r="126" spans="1:11" s="244" customFormat="1" ht="15" x14ac:dyDescent="0.25">
      <c r="A126" s="85">
        <f>Données!A126</f>
        <v>5621</v>
      </c>
      <c r="B126" s="368" t="str">
        <f>Données!B126</f>
        <v>Aclens</v>
      </c>
      <c r="C126" s="241">
        <v>733565.42153005151</v>
      </c>
      <c r="D126" s="556">
        <f>Synthèse!G125</f>
        <v>821535.37155916216</v>
      </c>
      <c r="E126" s="557">
        <f t="shared" si="3"/>
        <v>87969.950029110652</v>
      </c>
      <c r="F126" s="240">
        <v>512865.39877705183</v>
      </c>
      <c r="G126" s="559">
        <f>Synthèse!F125</f>
        <v>677637.2641976818</v>
      </c>
      <c r="H126" s="559">
        <f t="shared" si="4"/>
        <v>164771.86542062997</v>
      </c>
      <c r="I126" s="241">
        <v>86613.575099435606</v>
      </c>
      <c r="J126" s="561">
        <f>Synthèse!H125</f>
        <v>96021.679323537581</v>
      </c>
      <c r="K126" s="561">
        <f t="shared" si="5"/>
        <v>9408.104224101975</v>
      </c>
    </row>
    <row r="127" spans="1:11" s="244" customFormat="1" ht="15" x14ac:dyDescent="0.25">
      <c r="A127" s="85">
        <f>Données!A127</f>
        <v>5622</v>
      </c>
      <c r="B127" s="368" t="str">
        <f>Données!B127</f>
        <v>Bremblens</v>
      </c>
      <c r="C127" s="241">
        <v>472942.35450274311</v>
      </c>
      <c r="D127" s="556">
        <f>Synthèse!G126</f>
        <v>539070.4777394823</v>
      </c>
      <c r="E127" s="557">
        <f t="shared" si="3"/>
        <v>66128.123236739193</v>
      </c>
      <c r="F127" s="240">
        <v>460234.70862913551</v>
      </c>
      <c r="G127" s="559">
        <f>Synthèse!F126</f>
        <v>511927.43485736486</v>
      </c>
      <c r="H127" s="559">
        <f t="shared" si="4"/>
        <v>51692.726228229352</v>
      </c>
      <c r="I127" s="241">
        <v>85515.127355067641</v>
      </c>
      <c r="J127" s="561">
        <f>Synthèse!H126</f>
        <v>90363.183934800341</v>
      </c>
      <c r="K127" s="561">
        <f t="shared" si="5"/>
        <v>4848.0565797326999</v>
      </c>
    </row>
    <row r="128" spans="1:11" s="244" customFormat="1" ht="15" x14ac:dyDescent="0.25">
      <c r="A128" s="85">
        <f>Données!A128</f>
        <v>5623</v>
      </c>
      <c r="B128" s="368" t="str">
        <f>Données!B128</f>
        <v>Buchillon</v>
      </c>
      <c r="C128" s="241">
        <v>2858664.6580319172</v>
      </c>
      <c r="D128" s="556">
        <f>Synthèse!G127</f>
        <v>2288209.7862809179</v>
      </c>
      <c r="E128" s="557">
        <f t="shared" si="3"/>
        <v>-570454.87175099924</v>
      </c>
      <c r="F128" s="240">
        <v>1725311.3921048369</v>
      </c>
      <c r="G128" s="559">
        <f>Synthèse!F127</f>
        <v>1603686.7281737931</v>
      </c>
      <c r="H128" s="559">
        <f t="shared" si="4"/>
        <v>-121624.66393104382</v>
      </c>
      <c r="I128" s="241">
        <v>122229.31017966951</v>
      </c>
      <c r="J128" s="561">
        <f>Synthèse!H127</f>
        <v>104346.37484514626</v>
      </c>
      <c r="K128" s="561">
        <f t="shared" si="5"/>
        <v>-17882.935334523252</v>
      </c>
    </row>
    <row r="129" spans="1:11" s="244" customFormat="1" ht="15" x14ac:dyDescent="0.25">
      <c r="A129" s="85">
        <f>Données!A129</f>
        <v>5624</v>
      </c>
      <c r="B129" s="368" t="str">
        <f>Données!B129</f>
        <v>Bussigny</v>
      </c>
      <c r="C129" s="241">
        <v>6823706.896998967</v>
      </c>
      <c r="D129" s="556">
        <f>Synthèse!G128</f>
        <v>7859393.2155531719</v>
      </c>
      <c r="E129" s="557">
        <f t="shared" si="3"/>
        <v>1035686.3185542049</v>
      </c>
      <c r="F129" s="240">
        <v>-783425.98239400052</v>
      </c>
      <c r="G129" s="559">
        <f>Synthèse!F128</f>
        <v>2534518.4534597285</v>
      </c>
      <c r="H129" s="559">
        <f t="shared" si="4"/>
        <v>3317944.435853729</v>
      </c>
      <c r="I129" s="241">
        <v>453860.08938170422</v>
      </c>
      <c r="J129" s="561">
        <f>Synthèse!H128</f>
        <v>616638.12313213339</v>
      </c>
      <c r="K129" s="561">
        <f t="shared" si="5"/>
        <v>162778.03375042917</v>
      </c>
    </row>
    <row r="130" spans="1:11" s="244" customFormat="1" ht="15" x14ac:dyDescent="0.25">
      <c r="A130" s="85">
        <f>Données!A130</f>
        <v>5627</v>
      </c>
      <c r="B130" s="368" t="str">
        <f>Données!B130</f>
        <v>Chavannes-près-Renens</v>
      </c>
      <c r="C130" s="241">
        <v>2886282.6323666954</v>
      </c>
      <c r="D130" s="556">
        <f>Synthèse!G129</f>
        <v>3192089.5856697252</v>
      </c>
      <c r="E130" s="557">
        <f t="shared" si="3"/>
        <v>305806.95330302976</v>
      </c>
      <c r="F130" s="240">
        <v>-5672811.8325387388</v>
      </c>
      <c r="G130" s="559">
        <f>Synthèse!F129</f>
        <v>-7023143.0963794012</v>
      </c>
      <c r="H130" s="559">
        <f t="shared" si="4"/>
        <v>-1350331.2638406623</v>
      </c>
      <c r="I130" s="241">
        <v>210075.46148605985</v>
      </c>
      <c r="J130" s="561">
        <f>Synthèse!H129</f>
        <v>222720.69612408907</v>
      </c>
      <c r="K130" s="561">
        <f t="shared" si="5"/>
        <v>12645.234638029215</v>
      </c>
    </row>
    <row r="131" spans="1:11" s="244" customFormat="1" ht="15" x14ac:dyDescent="0.25">
      <c r="A131" s="85">
        <f>Données!A131</f>
        <v>5628</v>
      </c>
      <c r="B131" s="368" t="str">
        <f>Données!B131</f>
        <v>Chigny</v>
      </c>
      <c r="C131" s="241">
        <v>519482.50395227998</v>
      </c>
      <c r="D131" s="556">
        <f>Synthèse!G130</f>
        <v>531864.88748397247</v>
      </c>
      <c r="E131" s="557">
        <f t="shared" si="3"/>
        <v>12382.383531692496</v>
      </c>
      <c r="F131" s="240">
        <v>422574.71377101768</v>
      </c>
      <c r="G131" s="559">
        <f>Synthèse!F130</f>
        <v>474132.48053748254</v>
      </c>
      <c r="H131" s="559">
        <f t="shared" si="4"/>
        <v>51557.766766464862</v>
      </c>
      <c r="I131" s="241">
        <v>65509.989552208215</v>
      </c>
      <c r="J131" s="561">
        <f>Synthèse!H130</f>
        <v>70032.85518650616</v>
      </c>
      <c r="K131" s="561">
        <f t="shared" si="5"/>
        <v>4522.8656342979448</v>
      </c>
    </row>
    <row r="132" spans="1:11" s="244" customFormat="1" ht="15" x14ac:dyDescent="0.25">
      <c r="A132" s="85">
        <f>Données!A132</f>
        <v>5629</v>
      </c>
      <c r="B132" s="368" t="str">
        <f>Données!B132</f>
        <v>Clarmont</v>
      </c>
      <c r="C132" s="241">
        <v>126436.04486567902</v>
      </c>
      <c r="D132" s="556">
        <f>Synthèse!G131</f>
        <v>132229.79792485887</v>
      </c>
      <c r="E132" s="557">
        <f t="shared" si="3"/>
        <v>5793.7530591798422</v>
      </c>
      <c r="F132" s="240">
        <v>85217.323168193107</v>
      </c>
      <c r="G132" s="559">
        <f>Synthèse!F131</f>
        <v>102355.72824008127</v>
      </c>
      <c r="H132" s="559">
        <f t="shared" si="4"/>
        <v>17138.405071888163</v>
      </c>
      <c r="I132" s="241">
        <v>27020.265813103739</v>
      </c>
      <c r="J132" s="561">
        <f>Synthèse!H131</f>
        <v>30600.289167634699</v>
      </c>
      <c r="K132" s="561">
        <f t="shared" si="5"/>
        <v>3580.0233545309602</v>
      </c>
    </row>
    <row r="133" spans="1:11" s="244" customFormat="1" ht="15" x14ac:dyDescent="0.25">
      <c r="A133" s="85">
        <f>Données!A133</f>
        <v>5631</v>
      </c>
      <c r="B133" s="368" t="str">
        <f>Données!B133</f>
        <v>Denens</v>
      </c>
      <c r="C133" s="241">
        <v>965612.23281878571</v>
      </c>
      <c r="D133" s="556">
        <f>Synthèse!G132</f>
        <v>722178.6387754227</v>
      </c>
      <c r="E133" s="557">
        <f t="shared" si="3"/>
        <v>-243433.594043363</v>
      </c>
      <c r="F133" s="240">
        <v>740218.15192775778</v>
      </c>
      <c r="G133" s="559">
        <f>Synthèse!F132</f>
        <v>704879.73144640122</v>
      </c>
      <c r="H133" s="559">
        <f t="shared" si="4"/>
        <v>-35338.420481356559</v>
      </c>
      <c r="I133" s="241">
        <v>119266.31038373506</v>
      </c>
      <c r="J133" s="561">
        <f>Synthèse!H132</f>
        <v>113073.9347999069</v>
      </c>
      <c r="K133" s="561">
        <f t="shared" si="5"/>
        <v>-6192.375583828165</v>
      </c>
    </row>
    <row r="134" spans="1:11" s="244" customFormat="1" ht="15" x14ac:dyDescent="0.25">
      <c r="A134" s="85">
        <f>Données!A134</f>
        <v>5632</v>
      </c>
      <c r="B134" s="368" t="str">
        <f>Données!B134</f>
        <v>Denges</v>
      </c>
      <c r="C134" s="241">
        <v>1327962.9399480049</v>
      </c>
      <c r="D134" s="556">
        <f>Synthèse!G133</f>
        <v>1291155.8960150238</v>
      </c>
      <c r="E134" s="557">
        <f t="shared" si="3"/>
        <v>-36807.043932981091</v>
      </c>
      <c r="F134" s="240">
        <v>936023.24060788972</v>
      </c>
      <c r="G134" s="559">
        <f>Synthèse!F133</f>
        <v>907582.7438514214</v>
      </c>
      <c r="H134" s="559">
        <f t="shared" si="4"/>
        <v>-28440.496756468317</v>
      </c>
      <c r="I134" s="241">
        <v>239596.90444148597</v>
      </c>
      <c r="J134" s="561">
        <f>Synthèse!H133</f>
        <v>246058.70570694466</v>
      </c>
      <c r="K134" s="561">
        <f t="shared" si="5"/>
        <v>6461.8012654586928</v>
      </c>
    </row>
    <row r="135" spans="1:11" s="244" customFormat="1" ht="15" x14ac:dyDescent="0.25">
      <c r="A135" s="85">
        <f>Données!A135</f>
        <v>5633</v>
      </c>
      <c r="B135" s="368" t="str">
        <f>Données!B135</f>
        <v>Echandens</v>
      </c>
      <c r="C135" s="241">
        <v>3211753.5120655773</v>
      </c>
      <c r="D135" s="556">
        <f>Synthèse!G134</f>
        <v>2419619.318224804</v>
      </c>
      <c r="E135" s="557">
        <f t="shared" ref="E135:E198" si="6">D135-C135</f>
        <v>-792134.19384077331</v>
      </c>
      <c r="F135" s="240">
        <v>1481572.3816568996</v>
      </c>
      <c r="G135" s="559">
        <f>Synthèse!F134</f>
        <v>1207468.54924348</v>
      </c>
      <c r="H135" s="559">
        <f t="shared" ref="H135:H198" si="7">G135-F135</f>
        <v>-274103.83241341962</v>
      </c>
      <c r="I135" s="241">
        <v>425007.97139821463</v>
      </c>
      <c r="J135" s="561">
        <f>Synthèse!H134</f>
        <v>435067.17518361576</v>
      </c>
      <c r="K135" s="561">
        <f t="shared" ref="K135:K198" si="8">J135-I135</f>
        <v>10059.203785401129</v>
      </c>
    </row>
    <row r="136" spans="1:11" s="244" customFormat="1" ht="15" x14ac:dyDescent="0.25">
      <c r="A136" s="85">
        <f>Données!A136</f>
        <v>5634</v>
      </c>
      <c r="B136" s="368" t="str">
        <f>Données!B136</f>
        <v>Echichens</v>
      </c>
      <c r="C136" s="241">
        <v>3081010.0315313796</v>
      </c>
      <c r="D136" s="556">
        <f>Synthèse!G135</f>
        <v>3418655.5141573832</v>
      </c>
      <c r="E136" s="557">
        <f t="shared" si="6"/>
        <v>337645.48262600368</v>
      </c>
      <c r="F136" s="240">
        <v>2261475.5449975068</v>
      </c>
      <c r="G136" s="559">
        <f>Synthèse!F135</f>
        <v>2477204.9359077318</v>
      </c>
      <c r="H136" s="559">
        <f t="shared" si="7"/>
        <v>215729.39091022499</v>
      </c>
      <c r="I136" s="241">
        <v>478019.7397896481</v>
      </c>
      <c r="J136" s="561">
        <f>Synthèse!H135</f>
        <v>502956.21897010144</v>
      </c>
      <c r="K136" s="561">
        <f t="shared" si="8"/>
        <v>24936.479180453345</v>
      </c>
    </row>
    <row r="137" spans="1:11" s="244" customFormat="1" ht="15" x14ac:dyDescent="0.25">
      <c r="A137" s="85">
        <f>Données!A137</f>
        <v>5635</v>
      </c>
      <c r="B137" s="368" t="str">
        <f>Données!B137</f>
        <v>Ecublens</v>
      </c>
      <c r="C137" s="241">
        <v>9534243.082332138</v>
      </c>
      <c r="D137" s="556">
        <f>Synthèse!G136</f>
        <v>8304575.746760604</v>
      </c>
      <c r="E137" s="557">
        <f t="shared" si="6"/>
        <v>-1229667.335571534</v>
      </c>
      <c r="F137" s="240">
        <v>-3025958.4280536994</v>
      </c>
      <c r="G137" s="559">
        <f>Synthèse!F136</f>
        <v>-3884257.0029076133</v>
      </c>
      <c r="H137" s="559">
        <f t="shared" si="7"/>
        <v>-858298.57485391386</v>
      </c>
      <c r="I137" s="241">
        <v>649479.06949014403</v>
      </c>
      <c r="J137" s="561">
        <f>Synthèse!H136</f>
        <v>609254.72067110275</v>
      </c>
      <c r="K137" s="561">
        <f t="shared" si="8"/>
        <v>-40224.348819041275</v>
      </c>
    </row>
    <row r="138" spans="1:11" s="244" customFormat="1" ht="15" x14ac:dyDescent="0.25">
      <c r="A138" s="85">
        <f>Données!A138</f>
        <v>5636</v>
      </c>
      <c r="B138" s="368" t="str">
        <f>Données!B138</f>
        <v>Etoy</v>
      </c>
      <c r="C138" s="241">
        <v>3644227.3182986523</v>
      </c>
      <c r="D138" s="556">
        <f>Synthèse!G137</f>
        <v>3809232.5694502983</v>
      </c>
      <c r="E138" s="557">
        <f t="shared" si="6"/>
        <v>165005.25115164602</v>
      </c>
      <c r="F138" s="240">
        <v>2473332.6320391335</v>
      </c>
      <c r="G138" s="559">
        <f>Synthèse!F137</f>
        <v>2792995.6106607532</v>
      </c>
      <c r="H138" s="559">
        <f t="shared" si="7"/>
        <v>319662.97862161975</v>
      </c>
      <c r="I138" s="241">
        <v>467405.34148726275</v>
      </c>
      <c r="J138" s="561">
        <f>Synthèse!H137</f>
        <v>486033.89469746267</v>
      </c>
      <c r="K138" s="561">
        <f t="shared" si="8"/>
        <v>18628.553210199927</v>
      </c>
    </row>
    <row r="139" spans="1:11" s="244" customFormat="1" ht="15" x14ac:dyDescent="0.25">
      <c r="A139" s="85">
        <f>Données!A139</f>
        <v>5637</v>
      </c>
      <c r="B139" s="368" t="str">
        <f>Données!B139</f>
        <v>Lavigny</v>
      </c>
      <c r="C139" s="241">
        <v>780248.20227217372</v>
      </c>
      <c r="D139" s="556">
        <f>Synthèse!G138</f>
        <v>616047.04297139298</v>
      </c>
      <c r="E139" s="557">
        <f t="shared" si="6"/>
        <v>-164201.15930078074</v>
      </c>
      <c r="F139" s="240">
        <v>400526.24882418627</v>
      </c>
      <c r="G139" s="559">
        <f>Synthèse!F138</f>
        <v>-18431.995163763524</v>
      </c>
      <c r="H139" s="559">
        <f t="shared" si="7"/>
        <v>-418958.2439879498</v>
      </c>
      <c r="I139" s="241">
        <v>130203.51980319442</v>
      </c>
      <c r="J139" s="561">
        <f>Synthèse!H138</f>
        <v>109727.41771240122</v>
      </c>
      <c r="K139" s="561">
        <f t="shared" si="8"/>
        <v>-20476.102090793196</v>
      </c>
    </row>
    <row r="140" spans="1:11" s="244" customFormat="1" ht="15" x14ac:dyDescent="0.25">
      <c r="A140" s="85">
        <f>Données!A140</f>
        <v>5638</v>
      </c>
      <c r="B140" s="368" t="str">
        <f>Données!B140</f>
        <v>Lonay</v>
      </c>
      <c r="C140" s="241">
        <v>3511348.9098939458</v>
      </c>
      <c r="D140" s="556">
        <f>Synthèse!G139</f>
        <v>5208022.0310178017</v>
      </c>
      <c r="E140" s="557">
        <f t="shared" si="6"/>
        <v>1696673.1211238559</v>
      </c>
      <c r="F140" s="240">
        <v>1613026.8120389972</v>
      </c>
      <c r="G140" s="559">
        <f>Synthèse!F139</f>
        <v>1716233.5414772867</v>
      </c>
      <c r="H140" s="559">
        <f t="shared" si="7"/>
        <v>103206.72943828953</v>
      </c>
      <c r="I140" s="241">
        <v>415890.97845156374</v>
      </c>
      <c r="J140" s="561">
        <f>Synthèse!H139</f>
        <v>420565.59006684413</v>
      </c>
      <c r="K140" s="561">
        <f t="shared" si="8"/>
        <v>4674.6116152803879</v>
      </c>
    </row>
    <row r="141" spans="1:11" s="244" customFormat="1" ht="15" x14ac:dyDescent="0.25">
      <c r="A141" s="85">
        <f>Données!A141</f>
        <v>5639</v>
      </c>
      <c r="B141" s="368" t="str">
        <f>Données!B141</f>
        <v>Lully</v>
      </c>
      <c r="C141" s="241">
        <v>842034.985906124</v>
      </c>
      <c r="D141" s="556">
        <f>Synthèse!G140</f>
        <v>901492.74969928304</v>
      </c>
      <c r="E141" s="557">
        <f t="shared" si="6"/>
        <v>59457.763793159043</v>
      </c>
      <c r="F141" s="240">
        <v>773859.25404235278</v>
      </c>
      <c r="G141" s="559">
        <f>Synthèse!F140</f>
        <v>892346.21270290855</v>
      </c>
      <c r="H141" s="559">
        <f t="shared" si="7"/>
        <v>118486.95866055577</v>
      </c>
      <c r="I141" s="241">
        <v>129288.35459483763</v>
      </c>
      <c r="J141" s="561">
        <f>Synthèse!H140</f>
        <v>135348.71865316518</v>
      </c>
      <c r="K141" s="561">
        <f t="shared" si="8"/>
        <v>6060.3640583275555</v>
      </c>
    </row>
    <row r="142" spans="1:11" s="244" customFormat="1" ht="15" x14ac:dyDescent="0.25">
      <c r="A142" s="85">
        <f>Données!A142</f>
        <v>5640</v>
      </c>
      <c r="B142" s="368" t="str">
        <f>Données!B142</f>
        <v>Lussy-sur-Morges</v>
      </c>
      <c r="C142" s="241">
        <v>1479876.2594191132</v>
      </c>
      <c r="D142" s="556">
        <f>Synthèse!G141</f>
        <v>3238522.2614371646</v>
      </c>
      <c r="E142" s="557">
        <f t="shared" si="6"/>
        <v>1758646.0020180515</v>
      </c>
      <c r="F142" s="240">
        <v>1002822.8384643286</v>
      </c>
      <c r="G142" s="559">
        <f>Synthèse!F141</f>
        <v>1010315.7127702542</v>
      </c>
      <c r="H142" s="559">
        <f t="shared" si="7"/>
        <v>7492.8743059256813</v>
      </c>
      <c r="I142" s="241">
        <v>73751.036796036453</v>
      </c>
      <c r="J142" s="561">
        <f>Synthèse!H141</f>
        <v>68190.447640162325</v>
      </c>
      <c r="K142" s="561">
        <f t="shared" si="8"/>
        <v>-5560.5891558741278</v>
      </c>
    </row>
    <row r="143" spans="1:11" s="244" customFormat="1" ht="15" x14ac:dyDescent="0.25">
      <c r="A143" s="85">
        <f>Données!A143</f>
        <v>5642</v>
      </c>
      <c r="B143" s="368" t="str">
        <f>Données!B143</f>
        <v>Morges</v>
      </c>
      <c r="C143" s="241">
        <v>17586631.790163998</v>
      </c>
      <c r="D143" s="556">
        <f>Synthèse!G142</f>
        <v>16723730.148998016</v>
      </c>
      <c r="E143" s="557">
        <f t="shared" si="6"/>
        <v>-862901.64116598107</v>
      </c>
      <c r="F143" s="240">
        <v>5195607.1196833029</v>
      </c>
      <c r="G143" s="559">
        <f>Synthèse!F142</f>
        <v>4609172.4158352651</v>
      </c>
      <c r="H143" s="559">
        <f t="shared" si="7"/>
        <v>-586434.70384803787</v>
      </c>
      <c r="I143" s="241">
        <v>1128494.1716929551</v>
      </c>
      <c r="J143" s="561">
        <f>Synthèse!H142</f>
        <v>1157386.6575218195</v>
      </c>
      <c r="K143" s="561">
        <f t="shared" si="8"/>
        <v>28892.485828864388</v>
      </c>
    </row>
    <row r="144" spans="1:11" s="244" customFormat="1" ht="15" x14ac:dyDescent="0.25">
      <c r="A144" s="85">
        <f>Données!A144</f>
        <v>5643</v>
      </c>
      <c r="B144" s="368" t="str">
        <f>Données!B144</f>
        <v>Préverenges</v>
      </c>
      <c r="C144" s="241">
        <v>4548923.8565151021</v>
      </c>
      <c r="D144" s="556">
        <f>Synthèse!G143</f>
        <v>3565636.2299253973</v>
      </c>
      <c r="E144" s="557">
        <f t="shared" si="6"/>
        <v>-983287.62658970477</v>
      </c>
      <c r="F144" s="240">
        <v>3068638.6568656797</v>
      </c>
      <c r="G144" s="559">
        <f>Synthèse!F143</f>
        <v>2818517.5687182616</v>
      </c>
      <c r="H144" s="559">
        <f t="shared" si="7"/>
        <v>-250121.08814741811</v>
      </c>
      <c r="I144" s="241">
        <v>339092.25354644656</v>
      </c>
      <c r="J144" s="561">
        <f>Synthèse!H143</f>
        <v>298302.64783117146</v>
      </c>
      <c r="K144" s="561">
        <f t="shared" si="8"/>
        <v>-40789.605715275102</v>
      </c>
    </row>
    <row r="145" spans="1:11" s="244" customFormat="1" ht="15" x14ac:dyDescent="0.25">
      <c r="A145" s="85">
        <f>Données!A145</f>
        <v>5645</v>
      </c>
      <c r="B145" s="368" t="str">
        <f>Données!B145</f>
        <v>Romanel-sur-Morges</v>
      </c>
      <c r="C145" s="241">
        <v>572533.94817352865</v>
      </c>
      <c r="D145" s="556">
        <f>Synthèse!G144</f>
        <v>356091.47922072682</v>
      </c>
      <c r="E145" s="557">
        <f t="shared" si="6"/>
        <v>-216442.46895280184</v>
      </c>
      <c r="F145" s="240">
        <v>395415.22718300519</v>
      </c>
      <c r="G145" s="559">
        <f>Synthèse!F144</f>
        <v>368091.86210183159</v>
      </c>
      <c r="H145" s="559">
        <f t="shared" si="7"/>
        <v>-27323.365081173601</v>
      </c>
      <c r="I145" s="241">
        <v>74938.554115090737</v>
      </c>
      <c r="J145" s="561">
        <f>Synthèse!H144</f>
        <v>68961.904088781899</v>
      </c>
      <c r="K145" s="561">
        <f t="shared" si="8"/>
        <v>-5976.6500263088383</v>
      </c>
    </row>
    <row r="146" spans="1:11" s="244" customFormat="1" ht="15" x14ac:dyDescent="0.25">
      <c r="A146" s="85">
        <f>Données!A146</f>
        <v>5646</v>
      </c>
      <c r="B146" s="368" t="str">
        <f>Données!B146</f>
        <v>Saint-Prex</v>
      </c>
      <c r="C146" s="241">
        <v>14113190.298794772</v>
      </c>
      <c r="D146" s="556">
        <f>Synthèse!G145</f>
        <v>12690325.748767952</v>
      </c>
      <c r="E146" s="557">
        <f t="shared" si="6"/>
        <v>-1422864.550026821</v>
      </c>
      <c r="F146" s="240">
        <v>7959023.3445189679</v>
      </c>
      <c r="G146" s="559">
        <f>Synthèse!F145</f>
        <v>7430801.3547494411</v>
      </c>
      <c r="H146" s="559">
        <f t="shared" si="7"/>
        <v>-528221.98976952676</v>
      </c>
      <c r="I146" s="241">
        <v>694346.83962782728</v>
      </c>
      <c r="J146" s="561">
        <f>Synthèse!H145</f>
        <v>608561.60914622515</v>
      </c>
      <c r="K146" s="561">
        <f t="shared" si="8"/>
        <v>-85785.230481602135</v>
      </c>
    </row>
    <row r="147" spans="1:11" s="244" customFormat="1" ht="15" x14ac:dyDescent="0.25">
      <c r="A147" s="85">
        <f>Données!A147</f>
        <v>5648</v>
      </c>
      <c r="B147" s="368" t="str">
        <f>Données!B147</f>
        <v>Saint-Sulpice</v>
      </c>
      <c r="C147" s="241">
        <v>9492655.9432728905</v>
      </c>
      <c r="D147" s="556">
        <f>Synthèse!G146</f>
        <v>8603235.8630696572</v>
      </c>
      <c r="E147" s="557">
        <f t="shared" si="6"/>
        <v>-889420.08020323329</v>
      </c>
      <c r="F147" s="240">
        <v>5819418.2087976206</v>
      </c>
      <c r="G147" s="559">
        <f>Synthèse!F146</f>
        <v>6065600.4764098506</v>
      </c>
      <c r="H147" s="559">
        <f t="shared" si="7"/>
        <v>246182.26761223003</v>
      </c>
      <c r="I147" s="241">
        <v>512082.79534340196</v>
      </c>
      <c r="J147" s="561">
        <f>Synthèse!H146</f>
        <v>492252.72430270677</v>
      </c>
      <c r="K147" s="561">
        <f t="shared" si="8"/>
        <v>-19830.071040695184</v>
      </c>
    </row>
    <row r="148" spans="1:11" s="244" customFormat="1" ht="15" x14ac:dyDescent="0.25">
      <c r="A148" s="85">
        <f>Données!A148</f>
        <v>5649</v>
      </c>
      <c r="B148" s="368" t="str">
        <f>Données!B148</f>
        <v>Tolochenaz</v>
      </c>
      <c r="C148" s="241">
        <v>5865059.6546472777</v>
      </c>
      <c r="D148" s="556">
        <f>Synthèse!G147</f>
        <v>4211982.4553817827</v>
      </c>
      <c r="E148" s="557">
        <f t="shared" si="6"/>
        <v>-1653077.1992654949</v>
      </c>
      <c r="F148" s="240">
        <v>3352639.9646676499</v>
      </c>
      <c r="G148" s="559">
        <f>Synthèse!F147</f>
        <v>2865817.333667892</v>
      </c>
      <c r="H148" s="559">
        <f t="shared" si="7"/>
        <v>-486822.63099975791</v>
      </c>
      <c r="I148" s="241">
        <v>255567.53987605905</v>
      </c>
      <c r="J148" s="561">
        <f>Synthèse!H147</f>
        <v>204747.89248605716</v>
      </c>
      <c r="K148" s="561">
        <f t="shared" si="8"/>
        <v>-50819.64739000189</v>
      </c>
    </row>
    <row r="149" spans="1:11" s="244" customFormat="1" ht="15" x14ac:dyDescent="0.25">
      <c r="A149" s="85">
        <f>Données!A149</f>
        <v>5650</v>
      </c>
      <c r="B149" s="368" t="str">
        <f>Données!B149</f>
        <v>Vaux-sur-Morges</v>
      </c>
      <c r="C149" s="241">
        <v>2569409.5449203802</v>
      </c>
      <c r="D149" s="556">
        <f>Synthèse!G148</f>
        <v>3620809.810675378</v>
      </c>
      <c r="E149" s="557">
        <f t="shared" si="6"/>
        <v>1051400.2657549977</v>
      </c>
      <c r="F149" s="240">
        <v>473945.5836024672</v>
      </c>
      <c r="G149" s="559">
        <f>Synthèse!F148</f>
        <v>735035.35789605102</v>
      </c>
      <c r="H149" s="559">
        <f t="shared" si="7"/>
        <v>261089.77429358382</v>
      </c>
      <c r="I149" s="241">
        <v>97974.148292201091</v>
      </c>
      <c r="J149" s="561">
        <f>Synthèse!H148</f>
        <v>123235.96890001647</v>
      </c>
      <c r="K149" s="561">
        <f t="shared" si="8"/>
        <v>25261.820607815374</v>
      </c>
    </row>
    <row r="150" spans="1:11" s="244" customFormat="1" ht="15" x14ac:dyDescent="0.25">
      <c r="A150" s="85">
        <f>Données!A150</f>
        <v>5651</v>
      </c>
      <c r="B150" s="368" t="str">
        <f>Données!B150</f>
        <v>Villars-Sainte-Croix</v>
      </c>
      <c r="C150" s="241">
        <v>1161718.6180156013</v>
      </c>
      <c r="D150" s="556">
        <f>Synthèse!G149</f>
        <v>969234.95280618488</v>
      </c>
      <c r="E150" s="557">
        <f t="shared" si="6"/>
        <v>-192483.66520941642</v>
      </c>
      <c r="F150" s="240">
        <v>946494.51751774526</v>
      </c>
      <c r="G150" s="559">
        <f>Synthèse!F149</f>
        <v>847022.86751711625</v>
      </c>
      <c r="H150" s="559">
        <f t="shared" si="7"/>
        <v>-99471.650000629015</v>
      </c>
      <c r="I150" s="241">
        <v>71923.661665707899</v>
      </c>
      <c r="J150" s="561">
        <f>Synthèse!H149</f>
        <v>66109.086932978025</v>
      </c>
      <c r="K150" s="561">
        <f t="shared" si="8"/>
        <v>-5814.5747327298741</v>
      </c>
    </row>
    <row r="151" spans="1:11" s="244" customFormat="1" ht="15" x14ac:dyDescent="0.25">
      <c r="A151" s="85">
        <f>Données!A151</f>
        <v>5652</v>
      </c>
      <c r="B151" s="368" t="str">
        <f>Données!B151</f>
        <v>Villars-sous-Yens</v>
      </c>
      <c r="C151" s="241">
        <v>459143.63218379719</v>
      </c>
      <c r="D151" s="556">
        <f>Synthèse!G150</f>
        <v>548257.60125921899</v>
      </c>
      <c r="E151" s="557">
        <f t="shared" si="6"/>
        <v>89113.969075421803</v>
      </c>
      <c r="F151" s="240">
        <v>337977.31413260847</v>
      </c>
      <c r="G151" s="559">
        <f>Synthèse!F150</f>
        <v>139000.19812896318</v>
      </c>
      <c r="H151" s="559">
        <f t="shared" si="7"/>
        <v>-198977.11600364529</v>
      </c>
      <c r="I151" s="241">
        <v>81581.770372391722</v>
      </c>
      <c r="J151" s="561">
        <f>Synthèse!H150</f>
        <v>79457.370163752305</v>
      </c>
      <c r="K151" s="561">
        <f t="shared" si="8"/>
        <v>-2124.4002086394175</v>
      </c>
    </row>
    <row r="152" spans="1:11" s="244" customFormat="1" ht="15" x14ac:dyDescent="0.25">
      <c r="A152" s="85">
        <f>Données!A152</f>
        <v>5653</v>
      </c>
      <c r="B152" s="368" t="str">
        <f>Données!B152</f>
        <v>Vufflens-le-Château</v>
      </c>
      <c r="C152" s="241">
        <v>1688863.7481970934</v>
      </c>
      <c r="D152" s="556">
        <f>Synthèse!G151</f>
        <v>1504559.7942003419</v>
      </c>
      <c r="E152" s="557">
        <f t="shared" si="6"/>
        <v>-184303.95399675146</v>
      </c>
      <c r="F152" s="240">
        <v>1209445.8645951236</v>
      </c>
      <c r="G152" s="559">
        <f>Synthèse!F151</f>
        <v>1249988.5463660264</v>
      </c>
      <c r="H152" s="559">
        <f t="shared" si="7"/>
        <v>40542.681770902826</v>
      </c>
      <c r="I152" s="241">
        <v>162899.68970179715</v>
      </c>
      <c r="J152" s="561">
        <f>Synthèse!H151</f>
        <v>163168.6010849599</v>
      </c>
      <c r="K152" s="561">
        <f t="shared" si="8"/>
        <v>268.91138316274737</v>
      </c>
    </row>
    <row r="153" spans="1:11" s="244" customFormat="1" ht="15" x14ac:dyDescent="0.25">
      <c r="A153" s="85">
        <f>Données!A153</f>
        <v>5654</v>
      </c>
      <c r="B153" s="368" t="str">
        <f>Données!B153</f>
        <v>Vullierens</v>
      </c>
      <c r="C153" s="241">
        <v>362282.50624319946</v>
      </c>
      <c r="D153" s="556">
        <f>Synthèse!G152</f>
        <v>283341.18353027682</v>
      </c>
      <c r="E153" s="557">
        <f t="shared" si="6"/>
        <v>-78941.322712922643</v>
      </c>
      <c r="F153" s="240">
        <v>143708.51811581175</v>
      </c>
      <c r="G153" s="559">
        <f>Synthèse!F152</f>
        <v>129370.72849521501</v>
      </c>
      <c r="H153" s="559">
        <f t="shared" si="7"/>
        <v>-14337.789620596741</v>
      </c>
      <c r="I153" s="241">
        <v>60599.890341733735</v>
      </c>
      <c r="J153" s="561">
        <f>Synthèse!H152</f>
        <v>62884.661674815543</v>
      </c>
      <c r="K153" s="561">
        <f t="shared" si="8"/>
        <v>2284.7713330818078</v>
      </c>
    </row>
    <row r="154" spans="1:11" s="244" customFormat="1" ht="15" x14ac:dyDescent="0.25">
      <c r="A154" s="85">
        <f>Données!A154</f>
        <v>5655</v>
      </c>
      <c r="B154" s="368" t="str">
        <f>Données!B154</f>
        <v>Yens</v>
      </c>
      <c r="C154" s="241">
        <v>1946243.5550514266</v>
      </c>
      <c r="D154" s="556">
        <f>Synthèse!G153</f>
        <v>1411595.9288069308</v>
      </c>
      <c r="E154" s="557">
        <f t="shared" si="6"/>
        <v>-534647.62624449586</v>
      </c>
      <c r="F154" s="240">
        <v>1449716.5510541876</v>
      </c>
      <c r="G154" s="559">
        <f>Synthèse!F153</f>
        <v>1243586.1494288547</v>
      </c>
      <c r="H154" s="559">
        <f t="shared" si="7"/>
        <v>-206130.40162533289</v>
      </c>
      <c r="I154" s="241">
        <v>243318.07104068864</v>
      </c>
      <c r="J154" s="561">
        <f>Synthèse!H153</f>
        <v>231318.45076357792</v>
      </c>
      <c r="K154" s="561">
        <f t="shared" si="8"/>
        <v>-11999.62027711072</v>
      </c>
    </row>
    <row r="155" spans="1:11" s="244" customFormat="1" ht="15" x14ac:dyDescent="0.25">
      <c r="A155" s="85">
        <f>Données!A155</f>
        <v>5656</v>
      </c>
      <c r="B155" s="368" t="str">
        <f>Données!B155</f>
        <v>Hautemorges</v>
      </c>
      <c r="C155" s="241">
        <v>2684605.0820646812</v>
      </c>
      <c r="D155" s="556">
        <f>Synthèse!G154</f>
        <v>2576593.9580944884</v>
      </c>
      <c r="E155" s="557">
        <f t="shared" si="6"/>
        <v>-108011.12397019286</v>
      </c>
      <c r="F155" s="240">
        <v>1098187.0081773514</v>
      </c>
      <c r="G155" s="559">
        <f>Synthèse!F154</f>
        <v>-41260.473782968707</v>
      </c>
      <c r="H155" s="559">
        <f t="shared" si="7"/>
        <v>-1139447.4819603201</v>
      </c>
      <c r="I155" s="241">
        <v>506227.3184634652</v>
      </c>
      <c r="J155" s="561">
        <f>Synthèse!H154</f>
        <v>512017.47799820022</v>
      </c>
      <c r="K155" s="561">
        <f t="shared" si="8"/>
        <v>5790.159534735023</v>
      </c>
    </row>
    <row r="156" spans="1:11" s="244" customFormat="1" ht="15" x14ac:dyDescent="0.25">
      <c r="A156" s="85">
        <f>Données!A156</f>
        <v>5661</v>
      </c>
      <c r="B156" s="368" t="str">
        <f>Données!B156</f>
        <v>Boulens</v>
      </c>
      <c r="C156" s="241">
        <v>165538.90959085574</v>
      </c>
      <c r="D156" s="556">
        <f>Synthèse!G155</f>
        <v>141729.97462479427</v>
      </c>
      <c r="E156" s="557">
        <f t="shared" si="6"/>
        <v>-23808.934966061468</v>
      </c>
      <c r="F156" s="240">
        <v>-5132.0539024042373</v>
      </c>
      <c r="G156" s="559">
        <f>Synthèse!F155</f>
        <v>-7947.6699750245898</v>
      </c>
      <c r="H156" s="559">
        <f t="shared" si="7"/>
        <v>-2815.6160726203525</v>
      </c>
      <c r="I156" s="241">
        <v>31842.580082052707</v>
      </c>
      <c r="J156" s="561">
        <f>Synthèse!H155</f>
        <v>33317.41651550548</v>
      </c>
      <c r="K156" s="561">
        <f t="shared" si="8"/>
        <v>1474.8364334527723</v>
      </c>
    </row>
    <row r="157" spans="1:11" s="244" customFormat="1" ht="15" x14ac:dyDescent="0.25">
      <c r="A157" s="85">
        <f>Données!A157</f>
        <v>5663</v>
      </c>
      <c r="B157" s="368" t="str">
        <f>Données!B157</f>
        <v>Bussy-sur-Moudon</v>
      </c>
      <c r="C157" s="241">
        <v>89541.576711647896</v>
      </c>
      <c r="D157" s="556">
        <f>Synthèse!G156</f>
        <v>95957.798614425905</v>
      </c>
      <c r="E157" s="557">
        <f t="shared" si="6"/>
        <v>6416.2219027780084</v>
      </c>
      <c r="F157" s="240">
        <v>-43900.530871367286</v>
      </c>
      <c r="G157" s="559">
        <f>Synthèse!F156</f>
        <v>-42768.45451069015</v>
      </c>
      <c r="H157" s="559">
        <f t="shared" si="7"/>
        <v>1132.0763606771361</v>
      </c>
      <c r="I157" s="241">
        <v>16961.562033504397</v>
      </c>
      <c r="J157" s="561">
        <f>Synthèse!H156</f>
        <v>19653.766627695641</v>
      </c>
      <c r="K157" s="561">
        <f t="shared" si="8"/>
        <v>2692.2045941912438</v>
      </c>
    </row>
    <row r="158" spans="1:11" s="244" customFormat="1" ht="15" x14ac:dyDescent="0.25">
      <c r="A158" s="85">
        <f>Données!A158</f>
        <v>5665</v>
      </c>
      <c r="B158" s="368" t="str">
        <f>Données!B158</f>
        <v>Chavannes-sur-Moudon</v>
      </c>
      <c r="C158" s="241">
        <v>126258.1157893144</v>
      </c>
      <c r="D158" s="556">
        <f>Synthèse!G157</f>
        <v>93706.771376136836</v>
      </c>
      <c r="E158" s="557">
        <f t="shared" si="6"/>
        <v>-32551.344413177561</v>
      </c>
      <c r="F158" s="240">
        <v>27266.333847350557</v>
      </c>
      <c r="G158" s="559">
        <f>Synthèse!F157</f>
        <v>-36286.111845314241</v>
      </c>
      <c r="H158" s="559">
        <f t="shared" si="7"/>
        <v>-63552.445692664798</v>
      </c>
      <c r="I158" s="241">
        <v>21807.973221910092</v>
      </c>
      <c r="J158" s="561">
        <f>Synthèse!H157</f>
        <v>17585.563993264295</v>
      </c>
      <c r="K158" s="561">
        <f t="shared" si="8"/>
        <v>-4222.4092286457962</v>
      </c>
    </row>
    <row r="159" spans="1:11" s="244" customFormat="1" ht="15" x14ac:dyDescent="0.25">
      <c r="A159" s="85">
        <f>Données!A159</f>
        <v>5669</v>
      </c>
      <c r="B159" s="368" t="str">
        <f>Données!B159</f>
        <v>Curtilles</v>
      </c>
      <c r="C159" s="241">
        <v>166320.73149084058</v>
      </c>
      <c r="D159" s="556">
        <f>Synthèse!G158</f>
        <v>103424.81638557377</v>
      </c>
      <c r="E159" s="557">
        <f t="shared" si="6"/>
        <v>-62895.915105266817</v>
      </c>
      <c r="F159" s="240">
        <v>82771.59787266003</v>
      </c>
      <c r="G159" s="559">
        <f>Synthèse!F158</f>
        <v>-810.42575152494828</v>
      </c>
      <c r="H159" s="559">
        <f t="shared" si="7"/>
        <v>-83582.023624184978</v>
      </c>
      <c r="I159" s="241">
        <v>32540.008700464481</v>
      </c>
      <c r="J159" s="561">
        <f>Synthèse!H158</f>
        <v>25470.785185798228</v>
      </c>
      <c r="K159" s="561">
        <f t="shared" si="8"/>
        <v>-7069.2235146662533</v>
      </c>
    </row>
    <row r="160" spans="1:11" s="244" customFormat="1" ht="15" x14ac:dyDescent="0.25">
      <c r="A160" s="85">
        <f>Données!A160</f>
        <v>5671</v>
      </c>
      <c r="B160" s="368" t="str">
        <f>Données!B160</f>
        <v>Dompierre</v>
      </c>
      <c r="C160" s="241">
        <v>117234.89317069808</v>
      </c>
      <c r="D160" s="556">
        <f>Synthèse!G159</f>
        <v>87958.514074913779</v>
      </c>
      <c r="E160" s="557">
        <f t="shared" si="6"/>
        <v>-29276.379095784301</v>
      </c>
      <c r="F160" s="240">
        <v>-90072.221800040308</v>
      </c>
      <c r="G160" s="559">
        <f>Synthèse!F159</f>
        <v>-41898.898578527936</v>
      </c>
      <c r="H160" s="559">
        <f t="shared" si="7"/>
        <v>48173.323221512372</v>
      </c>
      <c r="I160" s="241">
        <v>19042.26414741611</v>
      </c>
      <c r="J160" s="561">
        <f>Synthèse!H159</f>
        <v>20513.868854815708</v>
      </c>
      <c r="K160" s="561">
        <f t="shared" si="8"/>
        <v>1471.6047073995978</v>
      </c>
    </row>
    <row r="161" spans="1:11" s="244" customFormat="1" ht="15" x14ac:dyDescent="0.25">
      <c r="A161" s="85">
        <f>Données!A161</f>
        <v>5673</v>
      </c>
      <c r="B161" s="368" t="str">
        <f>Données!B161</f>
        <v>Hermenches</v>
      </c>
      <c r="C161" s="241">
        <v>169405.70061167711</v>
      </c>
      <c r="D161" s="556">
        <f>Synthèse!G160</f>
        <v>145826.73857582427</v>
      </c>
      <c r="E161" s="557">
        <f t="shared" si="6"/>
        <v>-23578.962035852834</v>
      </c>
      <c r="F161" s="240">
        <v>-51390.096209361014</v>
      </c>
      <c r="G161" s="559">
        <f>Synthèse!F160</f>
        <v>-120240.74535411547</v>
      </c>
      <c r="H161" s="559">
        <f t="shared" si="7"/>
        <v>-68850.649144754454</v>
      </c>
      <c r="I161" s="241">
        <v>33678.781997751961</v>
      </c>
      <c r="J161" s="561">
        <f>Synthèse!H160</f>
        <v>29359.370636919266</v>
      </c>
      <c r="K161" s="561">
        <f t="shared" si="8"/>
        <v>-4319.4113608326952</v>
      </c>
    </row>
    <row r="162" spans="1:11" s="244" customFormat="1" ht="15" x14ac:dyDescent="0.25">
      <c r="A162" s="85">
        <f>Données!A162</f>
        <v>5674</v>
      </c>
      <c r="B162" s="368" t="str">
        <f>Données!B162</f>
        <v>Lovatens</v>
      </c>
      <c r="C162" s="241">
        <v>87852.748682190344</v>
      </c>
      <c r="D162" s="556">
        <f>Synthèse!G161</f>
        <v>60230.36601057701</v>
      </c>
      <c r="E162" s="557">
        <f t="shared" si="6"/>
        <v>-27622.382671613334</v>
      </c>
      <c r="F162" s="240">
        <v>-51926.737010841549</v>
      </c>
      <c r="G162" s="559">
        <f>Synthèse!F161</f>
        <v>-46262.050976958708</v>
      </c>
      <c r="H162" s="559">
        <f t="shared" si="7"/>
        <v>5664.686033882841</v>
      </c>
      <c r="I162" s="241">
        <v>10788.829694596419</v>
      </c>
      <c r="J162" s="561">
        <f>Synthèse!H161</f>
        <v>10688.170654621961</v>
      </c>
      <c r="K162" s="561">
        <f t="shared" si="8"/>
        <v>-100.65903997445821</v>
      </c>
    </row>
    <row r="163" spans="1:11" s="244" customFormat="1" ht="15" x14ac:dyDescent="0.25">
      <c r="A163" s="85">
        <f>Données!A163</f>
        <v>5675</v>
      </c>
      <c r="B163" s="368" t="str">
        <f>Données!B163</f>
        <v>Lucens</v>
      </c>
      <c r="C163" s="241">
        <v>1675352.3905264048</v>
      </c>
      <c r="D163" s="556">
        <f>Synthèse!G162</f>
        <v>1473495.1604347974</v>
      </c>
      <c r="E163" s="557">
        <f t="shared" si="6"/>
        <v>-201857.23009160743</v>
      </c>
      <c r="F163" s="240">
        <v>-2049348.3217367916</v>
      </c>
      <c r="G163" s="559">
        <f>Synthèse!F162</f>
        <v>-2819601.2607334815</v>
      </c>
      <c r="H163" s="559">
        <f t="shared" si="7"/>
        <v>-770252.93899668986</v>
      </c>
      <c r="I163" s="241">
        <v>301316.75809257105</v>
      </c>
      <c r="J163" s="561">
        <f>Synthèse!H162</f>
        <v>274228.06624445529</v>
      </c>
      <c r="K163" s="561">
        <f t="shared" si="8"/>
        <v>-27088.691848115763</v>
      </c>
    </row>
    <row r="164" spans="1:11" s="244" customFormat="1" ht="15" x14ac:dyDescent="0.25">
      <c r="A164" s="85">
        <f>Données!A164</f>
        <v>5678</v>
      </c>
      <c r="B164" s="368" t="str">
        <f>Données!B164</f>
        <v>Moudon</v>
      </c>
      <c r="C164" s="241">
        <v>2481390.1108723674</v>
      </c>
      <c r="D164" s="556">
        <f>Synthèse!G163</f>
        <v>2095217.9306400404</v>
      </c>
      <c r="E164" s="557">
        <f t="shared" si="6"/>
        <v>-386172.18023232697</v>
      </c>
      <c r="F164" s="240">
        <v>-4604002.3123175437</v>
      </c>
      <c r="G164" s="559">
        <f>Synthèse!F163</f>
        <v>-4478931.4139503855</v>
      </c>
      <c r="H164" s="559">
        <f t="shared" si="7"/>
        <v>125070.89836715814</v>
      </c>
      <c r="I164" s="241">
        <v>385871.54969137773</v>
      </c>
      <c r="J164" s="561">
        <f>Synthèse!H163</f>
        <v>388697.57649973303</v>
      </c>
      <c r="K164" s="561">
        <f t="shared" si="8"/>
        <v>2826.0268083552946</v>
      </c>
    </row>
    <row r="165" spans="1:11" s="244" customFormat="1" ht="15" x14ac:dyDescent="0.25">
      <c r="A165" s="85">
        <f>Données!A165</f>
        <v>5680</v>
      </c>
      <c r="B165" s="368" t="str">
        <f>Données!B165</f>
        <v>Ogens</v>
      </c>
      <c r="C165" s="241">
        <v>178098.7488247368</v>
      </c>
      <c r="D165" s="556">
        <f>Synthèse!G164</f>
        <v>192425.72181682385</v>
      </c>
      <c r="E165" s="557">
        <f t="shared" si="6"/>
        <v>14326.972992087045</v>
      </c>
      <c r="F165" s="240">
        <v>-4315.3178403073107</v>
      </c>
      <c r="G165" s="559">
        <f>Synthèse!F164</f>
        <v>-445.0951728647924</v>
      </c>
      <c r="H165" s="559">
        <f t="shared" si="7"/>
        <v>3870.2226674425183</v>
      </c>
      <c r="I165" s="241">
        <v>27242.934845607921</v>
      </c>
      <c r="J165" s="561">
        <f>Synthèse!H164</f>
        <v>30599.977790331606</v>
      </c>
      <c r="K165" s="561">
        <f t="shared" si="8"/>
        <v>3357.0429447236857</v>
      </c>
    </row>
    <row r="166" spans="1:11" s="244" customFormat="1" ht="15" x14ac:dyDescent="0.25">
      <c r="A166" s="85">
        <f>Données!A166</f>
        <v>5683</v>
      </c>
      <c r="B166" s="368" t="str">
        <f>Données!B166</f>
        <v>Prévonloup</v>
      </c>
      <c r="C166" s="241">
        <v>75340.259733132334</v>
      </c>
      <c r="D166" s="556">
        <f>Synthèse!G165</f>
        <v>65962.909165392688</v>
      </c>
      <c r="E166" s="557">
        <f t="shared" si="6"/>
        <v>-9377.3505677396461</v>
      </c>
      <c r="F166" s="240">
        <v>-19712.416694342071</v>
      </c>
      <c r="G166" s="559">
        <f>Synthèse!F165</f>
        <v>-194398.14809141535</v>
      </c>
      <c r="H166" s="559">
        <f t="shared" si="7"/>
        <v>-174685.73139707328</v>
      </c>
      <c r="I166" s="241">
        <v>15652.663707240448</v>
      </c>
      <c r="J166" s="561">
        <f>Synthèse!H165</f>
        <v>15544.53766455199</v>
      </c>
      <c r="K166" s="561">
        <f t="shared" si="8"/>
        <v>-108.12604268845826</v>
      </c>
    </row>
    <row r="167" spans="1:11" s="244" customFormat="1" ht="15" x14ac:dyDescent="0.25">
      <c r="A167" s="85">
        <f>Données!A167</f>
        <v>5684</v>
      </c>
      <c r="B167" s="368" t="str">
        <f>Données!B167</f>
        <v>Rossenges</v>
      </c>
      <c r="C167" s="241">
        <v>70151.70695673392</v>
      </c>
      <c r="D167" s="556">
        <f>Synthèse!G166</f>
        <v>140554.38016171375</v>
      </c>
      <c r="E167" s="557">
        <f t="shared" si="6"/>
        <v>70402.67320497983</v>
      </c>
      <c r="F167" s="240">
        <v>72634.190429177936</v>
      </c>
      <c r="G167" s="559">
        <f>Synthèse!F166</f>
        <v>122467.05702278322</v>
      </c>
      <c r="H167" s="559">
        <f t="shared" si="7"/>
        <v>49832.866593605286</v>
      </c>
      <c r="I167" s="241">
        <v>12748.089939742567</v>
      </c>
      <c r="J167" s="561">
        <f>Synthèse!H166</f>
        <v>16608.041614059948</v>
      </c>
      <c r="K167" s="561">
        <f t="shared" si="8"/>
        <v>3859.9516743173808</v>
      </c>
    </row>
    <row r="168" spans="1:11" s="244" customFormat="1" ht="15" x14ac:dyDescent="0.25">
      <c r="A168" s="85">
        <f>Données!A168</f>
        <v>5688</v>
      </c>
      <c r="B168" s="368" t="str">
        <f>Données!B168</f>
        <v>Syens</v>
      </c>
      <c r="C168" s="241">
        <v>74349.357403892689</v>
      </c>
      <c r="D168" s="556">
        <f>Synthèse!G167</f>
        <v>74533.144276989478</v>
      </c>
      <c r="E168" s="557">
        <f t="shared" si="6"/>
        <v>183.78687309678935</v>
      </c>
      <c r="F168" s="240">
        <v>-30835.367986794838</v>
      </c>
      <c r="G168" s="559">
        <f>Synthèse!F167</f>
        <v>16474.073820840902</v>
      </c>
      <c r="H168" s="559">
        <f t="shared" si="7"/>
        <v>47309.44180763574</v>
      </c>
      <c r="I168" s="241">
        <v>16134.89810007983</v>
      </c>
      <c r="J168" s="561">
        <f>Synthèse!H167</f>
        <v>16022.318770392998</v>
      </c>
      <c r="K168" s="561">
        <f t="shared" si="8"/>
        <v>-112.57932968683235</v>
      </c>
    </row>
    <row r="169" spans="1:11" s="244" customFormat="1" ht="15" x14ac:dyDescent="0.25">
      <c r="A169" s="85">
        <f>Données!A169</f>
        <v>5690</v>
      </c>
      <c r="B169" s="368" t="str">
        <f>Données!B169</f>
        <v>Villars-le-Comte</v>
      </c>
      <c r="C169" s="241">
        <v>68639.39157445656</v>
      </c>
      <c r="D169" s="556">
        <f>Synthèse!G168</f>
        <v>67673.383675828896</v>
      </c>
      <c r="E169" s="557">
        <f t="shared" si="6"/>
        <v>-966.00789862766396</v>
      </c>
      <c r="F169" s="240">
        <v>1869.1739376087717</v>
      </c>
      <c r="G169" s="559">
        <f>Synthèse!F168</f>
        <v>18833.284484312404</v>
      </c>
      <c r="H169" s="559">
        <f t="shared" si="7"/>
        <v>16964.110546703632</v>
      </c>
      <c r="I169" s="241">
        <v>10854.386961284243</v>
      </c>
      <c r="J169" s="561">
        <f>Synthèse!H168</f>
        <v>13131.834109156935</v>
      </c>
      <c r="K169" s="561">
        <f t="shared" si="8"/>
        <v>2277.4471478726919</v>
      </c>
    </row>
    <row r="170" spans="1:11" s="244" customFormat="1" ht="15" x14ac:dyDescent="0.25">
      <c r="A170" s="85">
        <f>Données!A170</f>
        <v>5692</v>
      </c>
      <c r="B170" s="368" t="str">
        <f>Données!B170</f>
        <v>Vucherens</v>
      </c>
      <c r="C170" s="241">
        <v>318143.67453716288</v>
      </c>
      <c r="D170" s="556">
        <f>Synthèse!G169</f>
        <v>312001.33834069839</v>
      </c>
      <c r="E170" s="557">
        <f t="shared" si="6"/>
        <v>-6142.3361964644864</v>
      </c>
      <c r="F170" s="240">
        <v>-56535.305803458847</v>
      </c>
      <c r="G170" s="559">
        <f>Synthèse!F169</f>
        <v>-100769.74718299584</v>
      </c>
      <c r="H170" s="559">
        <f t="shared" si="7"/>
        <v>-44234.441379536991</v>
      </c>
      <c r="I170" s="241">
        <v>56920.69355403581</v>
      </c>
      <c r="J170" s="561">
        <f>Synthèse!H169</f>
        <v>57297.107054389198</v>
      </c>
      <c r="K170" s="561">
        <f t="shared" si="8"/>
        <v>376.41350035338837</v>
      </c>
    </row>
    <row r="171" spans="1:11" s="244" customFormat="1" ht="15" x14ac:dyDescent="0.25">
      <c r="A171" s="85">
        <f>Données!A171</f>
        <v>5693</v>
      </c>
      <c r="B171" s="368" t="str">
        <f>Données!B171</f>
        <v>Montanaire</v>
      </c>
      <c r="C171" s="241">
        <v>1296239.0725904636</v>
      </c>
      <c r="D171" s="556">
        <f>Synthèse!G170</f>
        <v>1153834.8980014685</v>
      </c>
      <c r="E171" s="557">
        <f t="shared" si="6"/>
        <v>-142404.17458899505</v>
      </c>
      <c r="F171" s="240">
        <v>-1001239.5183654095</v>
      </c>
      <c r="G171" s="559">
        <f>Synthèse!F170</f>
        <v>-1008376.2471887073</v>
      </c>
      <c r="H171" s="559">
        <f t="shared" si="7"/>
        <v>-7136.7288232978899</v>
      </c>
      <c r="I171" s="241">
        <v>222153.23799858073</v>
      </c>
      <c r="J171" s="561">
        <f>Synthèse!H170</f>
        <v>241675.7706899913</v>
      </c>
      <c r="K171" s="561">
        <f t="shared" si="8"/>
        <v>19522.532691410568</v>
      </c>
    </row>
    <row r="172" spans="1:11" s="244" customFormat="1" ht="15" x14ac:dyDescent="0.25">
      <c r="A172" s="85">
        <f>Données!A172</f>
        <v>5701</v>
      </c>
      <c r="B172" s="368" t="str">
        <f>Données!B172</f>
        <v>Arnex-sur-Nyon</v>
      </c>
      <c r="C172" s="241">
        <v>282071.66140201013</v>
      </c>
      <c r="D172" s="556">
        <f>Synthèse!G171</f>
        <v>376776.08880897111</v>
      </c>
      <c r="E172" s="557">
        <f t="shared" si="6"/>
        <v>94704.427406960982</v>
      </c>
      <c r="F172" s="240">
        <v>211183.58606215392</v>
      </c>
      <c r="G172" s="559">
        <f>Synthèse!F171</f>
        <v>217513.81599837003</v>
      </c>
      <c r="H172" s="559">
        <f t="shared" si="7"/>
        <v>6330.2299362161139</v>
      </c>
      <c r="I172" s="241">
        <v>36670.042825390032</v>
      </c>
      <c r="J172" s="561">
        <f>Synthèse!H171</f>
        <v>36776.349255316942</v>
      </c>
      <c r="K172" s="561">
        <f t="shared" si="8"/>
        <v>106.30642992690991</v>
      </c>
    </row>
    <row r="173" spans="1:11" s="244" customFormat="1" ht="15" x14ac:dyDescent="0.25">
      <c r="A173" s="85">
        <f>Données!A173</f>
        <v>5702</v>
      </c>
      <c r="B173" s="368" t="str">
        <f>Données!B173</f>
        <v>Arzier-Le Muids</v>
      </c>
      <c r="C173" s="241">
        <v>3408830.711279138</v>
      </c>
      <c r="D173" s="556">
        <f>Synthèse!G172</f>
        <v>3711682.2213705503</v>
      </c>
      <c r="E173" s="557">
        <f t="shared" si="6"/>
        <v>302851.51009141235</v>
      </c>
      <c r="F173" s="240">
        <v>1985693.1581535353</v>
      </c>
      <c r="G173" s="559">
        <f>Synthèse!F172</f>
        <v>2221284.7794198389</v>
      </c>
      <c r="H173" s="559">
        <f t="shared" si="7"/>
        <v>235591.62126630358</v>
      </c>
      <c r="I173" s="241">
        <v>464471.21961010707</v>
      </c>
      <c r="J173" s="561">
        <f>Synthèse!H172</f>
        <v>485723.2242891413</v>
      </c>
      <c r="K173" s="561">
        <f t="shared" si="8"/>
        <v>21252.004679034231</v>
      </c>
    </row>
    <row r="174" spans="1:11" s="244" customFormat="1" ht="15" x14ac:dyDescent="0.25">
      <c r="A174" s="85">
        <f>Données!A174</f>
        <v>5703</v>
      </c>
      <c r="B174" s="368" t="str">
        <f>Données!B174</f>
        <v>Bassins</v>
      </c>
      <c r="C174" s="241">
        <v>1239744.6209273827</v>
      </c>
      <c r="D174" s="556">
        <f>Synthèse!G173</f>
        <v>1002239.2184449555</v>
      </c>
      <c r="E174" s="557">
        <f t="shared" si="6"/>
        <v>-237505.40248242719</v>
      </c>
      <c r="F174" s="240">
        <v>690081.86281446216</v>
      </c>
      <c r="G174" s="559">
        <f>Synthèse!F173</f>
        <v>819209.44734492199</v>
      </c>
      <c r="H174" s="559">
        <f t="shared" si="7"/>
        <v>129127.58453045983</v>
      </c>
      <c r="I174" s="241">
        <v>211231.18594864561</v>
      </c>
      <c r="J174" s="561">
        <f>Synthèse!H173</f>
        <v>198619.75866719976</v>
      </c>
      <c r="K174" s="561">
        <f t="shared" si="8"/>
        <v>-12611.427281445853</v>
      </c>
    </row>
    <row r="175" spans="1:11" s="244" customFormat="1" ht="15" x14ac:dyDescent="0.25">
      <c r="A175" s="85">
        <f>Données!A175</f>
        <v>5704</v>
      </c>
      <c r="B175" s="368" t="str">
        <f>Données!B175</f>
        <v>Begnins</v>
      </c>
      <c r="C175" s="241">
        <v>3205612.0778321456</v>
      </c>
      <c r="D175" s="556">
        <f>Synthèse!G174</f>
        <v>3381553.4777956856</v>
      </c>
      <c r="E175" s="557">
        <f t="shared" si="6"/>
        <v>175941.39996354003</v>
      </c>
      <c r="F175" s="240">
        <v>2265012.7859861697</v>
      </c>
      <c r="G175" s="559">
        <f>Synthèse!F174</f>
        <v>2012348.4287586932</v>
      </c>
      <c r="H175" s="559">
        <f t="shared" si="7"/>
        <v>-252664.35722747655</v>
      </c>
      <c r="I175" s="241">
        <v>346949.84027604543</v>
      </c>
      <c r="J175" s="561">
        <f>Synthèse!H174</f>
        <v>326218.82030718669</v>
      </c>
      <c r="K175" s="561">
        <f t="shared" si="8"/>
        <v>-20731.019968858745</v>
      </c>
    </row>
    <row r="176" spans="1:11" s="244" customFormat="1" ht="15" x14ac:dyDescent="0.25">
      <c r="A176" s="85">
        <f>Données!A176</f>
        <v>5705</v>
      </c>
      <c r="B176" s="368" t="str">
        <f>Données!B176</f>
        <v>Bogis-Bossey</v>
      </c>
      <c r="C176" s="241">
        <v>1361932.4000406049</v>
      </c>
      <c r="D176" s="556">
        <f>Synthèse!G175</f>
        <v>1035905.6192119578</v>
      </c>
      <c r="E176" s="557">
        <f t="shared" si="6"/>
        <v>-326026.78082864708</v>
      </c>
      <c r="F176" s="240">
        <v>971964.75071373559</v>
      </c>
      <c r="G176" s="559">
        <f>Synthèse!F175</f>
        <v>856795.93555186584</v>
      </c>
      <c r="H176" s="559">
        <f t="shared" si="7"/>
        <v>-115168.81516186974</v>
      </c>
      <c r="I176" s="241">
        <v>143597.4989130249</v>
      </c>
      <c r="J176" s="561">
        <f>Synthèse!H175</f>
        <v>142687.40062770672</v>
      </c>
      <c r="K176" s="561">
        <f t="shared" si="8"/>
        <v>-910.09828531817766</v>
      </c>
    </row>
    <row r="177" spans="1:11" s="244" customFormat="1" ht="15" x14ac:dyDescent="0.25">
      <c r="A177" s="85">
        <f>Données!A177</f>
        <v>5706</v>
      </c>
      <c r="B177" s="368" t="str">
        <f>Données!B177</f>
        <v>Borex</v>
      </c>
      <c r="C177" s="241">
        <v>1843836.4427200868</v>
      </c>
      <c r="D177" s="556">
        <f>Synthèse!G176</f>
        <v>4402683.9450686155</v>
      </c>
      <c r="E177" s="557">
        <f t="shared" si="6"/>
        <v>2558847.5023485287</v>
      </c>
      <c r="F177" s="240">
        <v>1431806.8495294359</v>
      </c>
      <c r="G177" s="559">
        <f>Synthèse!F176</f>
        <v>2822536.5171410977</v>
      </c>
      <c r="H177" s="559">
        <f t="shared" si="7"/>
        <v>1390729.6676116618</v>
      </c>
      <c r="I177" s="241">
        <v>207079.1660445325</v>
      </c>
      <c r="J177" s="561">
        <f>Synthèse!H176</f>
        <v>286162.10232683766</v>
      </c>
      <c r="K177" s="561">
        <f t="shared" si="8"/>
        <v>79082.936282305163</v>
      </c>
    </row>
    <row r="178" spans="1:11" s="244" customFormat="1" ht="15" x14ac:dyDescent="0.25">
      <c r="A178" s="85">
        <f>Données!A178</f>
        <v>5707</v>
      </c>
      <c r="B178" s="368" t="str">
        <f>Données!B178</f>
        <v>Chavannes-de-Bogis</v>
      </c>
      <c r="C178" s="241">
        <v>1897575.182123397</v>
      </c>
      <c r="D178" s="556">
        <f>Synthèse!G177</f>
        <v>1867446.7225178424</v>
      </c>
      <c r="E178" s="557">
        <f t="shared" si="6"/>
        <v>-30128.459605554584</v>
      </c>
      <c r="F178" s="240">
        <v>1327631.810727864</v>
      </c>
      <c r="G178" s="559">
        <f>Synthèse!F177</f>
        <v>1417102.4499517253</v>
      </c>
      <c r="H178" s="559">
        <f t="shared" si="7"/>
        <v>89470.639223861275</v>
      </c>
      <c r="I178" s="241">
        <v>218699.25985080714</v>
      </c>
      <c r="J178" s="561">
        <f>Synthèse!H177</f>
        <v>219818.90863040538</v>
      </c>
      <c r="K178" s="561">
        <f t="shared" si="8"/>
        <v>1119.6487795982393</v>
      </c>
    </row>
    <row r="179" spans="1:11" s="244" customFormat="1" ht="15" x14ac:dyDescent="0.25">
      <c r="A179" s="85">
        <f>Données!A179</f>
        <v>5708</v>
      </c>
      <c r="B179" s="368" t="str">
        <f>Données!B179</f>
        <v>Chavannes-des-Bois</v>
      </c>
      <c r="C179" s="241">
        <v>1490019.8612924663</v>
      </c>
      <c r="D179" s="556">
        <f>Synthèse!G178</f>
        <v>1254939.1430438117</v>
      </c>
      <c r="E179" s="557">
        <f t="shared" si="6"/>
        <v>-235080.71824865462</v>
      </c>
      <c r="F179" s="240">
        <v>1159681.358488939</v>
      </c>
      <c r="G179" s="559">
        <f>Synthèse!F178</f>
        <v>1179592.717205449</v>
      </c>
      <c r="H179" s="559">
        <f t="shared" si="7"/>
        <v>19911.358716510003</v>
      </c>
      <c r="I179" s="241">
        <v>173089.33774590254</v>
      </c>
      <c r="J179" s="561">
        <f>Synthèse!H178</f>
        <v>172227.78248564724</v>
      </c>
      <c r="K179" s="561">
        <f t="shared" si="8"/>
        <v>-861.55526025529252</v>
      </c>
    </row>
    <row r="180" spans="1:11" s="244" customFormat="1" ht="15" x14ac:dyDescent="0.25">
      <c r="A180" s="85">
        <f>Données!A180</f>
        <v>5709</v>
      </c>
      <c r="B180" s="368" t="str">
        <f>Données!B180</f>
        <v>Chéserex</v>
      </c>
      <c r="C180" s="241">
        <v>2334860.2494772333</v>
      </c>
      <c r="D180" s="556">
        <f>Synthèse!G179</f>
        <v>1796564.8456367224</v>
      </c>
      <c r="E180" s="557">
        <f t="shared" si="6"/>
        <v>-538295.40384051087</v>
      </c>
      <c r="F180" s="240">
        <v>1655030.5697666907</v>
      </c>
      <c r="G180" s="559">
        <f>Synthèse!F179</f>
        <v>1519766.8220563137</v>
      </c>
      <c r="H180" s="559">
        <f t="shared" si="7"/>
        <v>-135263.74771037698</v>
      </c>
      <c r="I180" s="241">
        <v>232019.42549546569</v>
      </c>
      <c r="J180" s="561">
        <f>Synthèse!H179</f>
        <v>219125.25978778515</v>
      </c>
      <c r="K180" s="561">
        <f t="shared" si="8"/>
        <v>-12894.165707680542</v>
      </c>
    </row>
    <row r="181" spans="1:11" s="244" customFormat="1" ht="15" x14ac:dyDescent="0.25">
      <c r="A181" s="85">
        <f>Données!A181</f>
        <v>5710</v>
      </c>
      <c r="B181" s="368" t="str">
        <f>Données!B181</f>
        <v>Coinsins</v>
      </c>
      <c r="C181" s="241">
        <v>918932.73207075871</v>
      </c>
      <c r="D181" s="556">
        <f>Synthèse!G180</f>
        <v>617345.2310406632</v>
      </c>
      <c r="E181" s="557">
        <f t="shared" si="6"/>
        <v>-301587.5010300955</v>
      </c>
      <c r="F181" s="240">
        <v>724016.4308966049</v>
      </c>
      <c r="G181" s="559">
        <f>Synthèse!F180</f>
        <v>577035.31901926582</v>
      </c>
      <c r="H181" s="559">
        <f t="shared" si="7"/>
        <v>-146981.11187733908</v>
      </c>
      <c r="I181" s="241">
        <v>96414.36953873036</v>
      </c>
      <c r="J181" s="561">
        <f>Synthèse!H180</f>
        <v>84168.381467941537</v>
      </c>
      <c r="K181" s="561">
        <f t="shared" si="8"/>
        <v>-12245.988070788822</v>
      </c>
    </row>
    <row r="182" spans="1:11" s="244" customFormat="1" ht="15" x14ac:dyDescent="0.25">
      <c r="A182" s="85">
        <f>Données!A182</f>
        <v>5711</v>
      </c>
      <c r="B182" s="368" t="str">
        <f>Données!B182</f>
        <v>Commugny</v>
      </c>
      <c r="C182" s="241">
        <v>6333781.8447166737</v>
      </c>
      <c r="D182" s="556">
        <f>Synthèse!G181</f>
        <v>7935139.3026794111</v>
      </c>
      <c r="E182" s="557">
        <f t="shared" si="6"/>
        <v>1601357.4579627374</v>
      </c>
      <c r="F182" s="240">
        <v>4024462.613488025</v>
      </c>
      <c r="G182" s="559">
        <f>Synthèse!F181</f>
        <v>4994535.1150824595</v>
      </c>
      <c r="H182" s="559">
        <f t="shared" si="7"/>
        <v>970072.50159443449</v>
      </c>
      <c r="I182" s="241">
        <v>581675.37560503138</v>
      </c>
      <c r="J182" s="561">
        <f>Synthèse!H181</f>
        <v>626976.63428318966</v>
      </c>
      <c r="K182" s="561">
        <f t="shared" si="8"/>
        <v>45301.25867815828</v>
      </c>
    </row>
    <row r="183" spans="1:11" s="244" customFormat="1" ht="15" x14ac:dyDescent="0.25">
      <c r="A183" s="85">
        <f>Données!A183</f>
        <v>5712</v>
      </c>
      <c r="B183" s="368" t="str">
        <f>Données!B183</f>
        <v>Coppet</v>
      </c>
      <c r="C183" s="241">
        <v>11219717.200227924</v>
      </c>
      <c r="D183" s="556">
        <f>Synthèse!G182</f>
        <v>12173500.540017433</v>
      </c>
      <c r="E183" s="557">
        <f t="shared" si="6"/>
        <v>953783.33978950977</v>
      </c>
      <c r="F183" s="240">
        <v>6375633.8999275565</v>
      </c>
      <c r="G183" s="559">
        <f>Synthèse!F182</f>
        <v>7136440.8630260983</v>
      </c>
      <c r="H183" s="559">
        <f t="shared" si="7"/>
        <v>760806.96309854183</v>
      </c>
      <c r="I183" s="241">
        <v>770011.54630811303</v>
      </c>
      <c r="J183" s="561">
        <f>Synthèse!H182</f>
        <v>783409.08270685538</v>
      </c>
      <c r="K183" s="561">
        <f t="shared" si="8"/>
        <v>13397.536398742348</v>
      </c>
    </row>
    <row r="184" spans="1:11" s="244" customFormat="1" ht="15" x14ac:dyDescent="0.25">
      <c r="A184" s="85">
        <f>Données!A184</f>
        <v>5713</v>
      </c>
      <c r="B184" s="368" t="str">
        <f>Données!B184</f>
        <v>Crans</v>
      </c>
      <c r="C184" s="241">
        <v>10081474.694292963</v>
      </c>
      <c r="D184" s="556">
        <f>Synthèse!G183</f>
        <v>8029883.56855499</v>
      </c>
      <c r="E184" s="557">
        <f t="shared" si="6"/>
        <v>-2051591.1257379726</v>
      </c>
      <c r="F184" s="240">
        <v>5323484.1983901476</v>
      </c>
      <c r="G184" s="559">
        <f>Synthèse!F183</f>
        <v>4815531.2594652222</v>
      </c>
      <c r="H184" s="559">
        <f t="shared" si="7"/>
        <v>-507952.9389249254</v>
      </c>
      <c r="I184" s="241">
        <v>399203.02056560176</v>
      </c>
      <c r="J184" s="561">
        <f>Synthèse!H183</f>
        <v>335536.46071685059</v>
      </c>
      <c r="K184" s="561">
        <f t="shared" si="8"/>
        <v>-63666.559848751174</v>
      </c>
    </row>
    <row r="185" spans="1:11" s="244" customFormat="1" ht="15" x14ac:dyDescent="0.25">
      <c r="A185" s="85">
        <f>Données!A185</f>
        <v>5714</v>
      </c>
      <c r="B185" s="368" t="str">
        <f>Données!B185</f>
        <v>Crassier</v>
      </c>
      <c r="C185" s="241">
        <v>945454.66101497714</v>
      </c>
      <c r="D185" s="556">
        <f>Synthèse!G184</f>
        <v>1036962.4154366794</v>
      </c>
      <c r="E185" s="557">
        <f t="shared" si="6"/>
        <v>91507.754421702237</v>
      </c>
      <c r="F185" s="240">
        <v>829892.57119813445</v>
      </c>
      <c r="G185" s="559">
        <f>Synthèse!F184</f>
        <v>982177.11207417818</v>
      </c>
      <c r="H185" s="559">
        <f t="shared" si="7"/>
        <v>152284.54087604373</v>
      </c>
      <c r="I185" s="241">
        <v>167688.47367701901</v>
      </c>
      <c r="J185" s="561">
        <f>Synthèse!H184</f>
        <v>183926.1015253464</v>
      </c>
      <c r="K185" s="561">
        <f t="shared" si="8"/>
        <v>16237.627848327393</v>
      </c>
    </row>
    <row r="186" spans="1:11" s="244" customFormat="1" ht="15" x14ac:dyDescent="0.25">
      <c r="A186" s="85">
        <f>Données!A186</f>
        <v>5715</v>
      </c>
      <c r="B186" s="368" t="str">
        <f>Données!B186</f>
        <v>Duillier</v>
      </c>
      <c r="C186" s="241">
        <v>1261988.3420303704</v>
      </c>
      <c r="D186" s="556">
        <f>Synthèse!G185</f>
        <v>1010903.329833156</v>
      </c>
      <c r="E186" s="557">
        <f t="shared" si="6"/>
        <v>-251085.01219721441</v>
      </c>
      <c r="F186" s="240">
        <v>1010869.8397344159</v>
      </c>
      <c r="G186" s="559">
        <f>Synthèse!F185</f>
        <v>986695.17297150404</v>
      </c>
      <c r="H186" s="559">
        <f t="shared" si="7"/>
        <v>-24174.666762911831</v>
      </c>
      <c r="I186" s="241">
        <v>175514.03428472922</v>
      </c>
      <c r="J186" s="561">
        <f>Synthèse!H185</f>
        <v>171145.6124162394</v>
      </c>
      <c r="K186" s="561">
        <f t="shared" si="8"/>
        <v>-4368.4218684898224</v>
      </c>
    </row>
    <row r="187" spans="1:11" s="244" customFormat="1" ht="15" x14ac:dyDescent="0.25">
      <c r="A187" s="85">
        <f>Données!A187</f>
        <v>5716</v>
      </c>
      <c r="B187" s="368" t="str">
        <f>Données!B187</f>
        <v>Eysins</v>
      </c>
      <c r="C187" s="241">
        <v>11674278.049262691</v>
      </c>
      <c r="D187" s="556">
        <f>Synthèse!G186</f>
        <v>6647195.6828143299</v>
      </c>
      <c r="E187" s="557">
        <f t="shared" si="6"/>
        <v>-5027082.3664483614</v>
      </c>
      <c r="F187" s="240">
        <v>3929309.9844964948</v>
      </c>
      <c r="G187" s="559">
        <f>Synthèse!F186</f>
        <v>4039660.3156006578</v>
      </c>
      <c r="H187" s="559">
        <f t="shared" si="7"/>
        <v>110350.33110416308</v>
      </c>
      <c r="I187" s="241">
        <v>545690.58751438418</v>
      </c>
      <c r="J187" s="561">
        <f>Synthèse!H186</f>
        <v>432406.90373472532</v>
      </c>
      <c r="K187" s="561">
        <f t="shared" si="8"/>
        <v>-113283.68377965887</v>
      </c>
    </row>
    <row r="188" spans="1:11" s="244" customFormat="1" ht="15" x14ac:dyDescent="0.25">
      <c r="A188" s="85">
        <f>Données!A188</f>
        <v>5717</v>
      </c>
      <c r="B188" s="368" t="str">
        <f>Données!B188</f>
        <v>Founex</v>
      </c>
      <c r="C188" s="241">
        <v>11064973.791168669</v>
      </c>
      <c r="D188" s="556">
        <f>Synthèse!G187</f>
        <v>9445056.4434970096</v>
      </c>
      <c r="E188" s="557">
        <f t="shared" si="6"/>
        <v>-1619917.3476716597</v>
      </c>
      <c r="F188" s="240">
        <v>6176896.4659748096</v>
      </c>
      <c r="G188" s="559">
        <f>Synthèse!F187</f>
        <v>5667577.0683769686</v>
      </c>
      <c r="H188" s="559">
        <f t="shared" si="7"/>
        <v>-509319.39759784099</v>
      </c>
      <c r="I188" s="241">
        <v>826151.31629396393</v>
      </c>
      <c r="J188" s="561">
        <f>Synthèse!H187</f>
        <v>762885.5823601007</v>
      </c>
      <c r="K188" s="561">
        <f t="shared" si="8"/>
        <v>-63265.73393386323</v>
      </c>
    </row>
    <row r="189" spans="1:11" s="244" customFormat="1" ht="15" x14ac:dyDescent="0.25">
      <c r="A189" s="85">
        <f>Données!A189</f>
        <v>5718</v>
      </c>
      <c r="B189" s="368" t="str">
        <f>Données!B189</f>
        <v>Genolier</v>
      </c>
      <c r="C189" s="241">
        <v>7409671.5203520022</v>
      </c>
      <c r="D189" s="556">
        <f>Synthèse!G188</f>
        <v>5351420.1497688936</v>
      </c>
      <c r="E189" s="557">
        <f t="shared" si="6"/>
        <v>-2058251.3705831086</v>
      </c>
      <c r="F189" s="240">
        <v>4222649.8199557848</v>
      </c>
      <c r="G189" s="559">
        <f>Synthèse!F188</f>
        <v>3566801.9755453975</v>
      </c>
      <c r="H189" s="559">
        <f t="shared" si="7"/>
        <v>-655847.84441038733</v>
      </c>
      <c r="I189" s="241">
        <v>486496.64615846251</v>
      </c>
      <c r="J189" s="561">
        <f>Synthèse!H188</f>
        <v>432011.0222220571</v>
      </c>
      <c r="K189" s="561">
        <f t="shared" si="8"/>
        <v>-54485.623936405405</v>
      </c>
    </row>
    <row r="190" spans="1:11" s="244" customFormat="1" ht="15" x14ac:dyDescent="0.25">
      <c r="A190" s="85">
        <f>Données!A190</f>
        <v>5719</v>
      </c>
      <c r="B190" s="368" t="str">
        <f>Données!B190</f>
        <v>Gingins</v>
      </c>
      <c r="C190" s="241">
        <v>4280301.644943784</v>
      </c>
      <c r="D190" s="556">
        <f>Synthèse!G189</f>
        <v>3131249.4123099246</v>
      </c>
      <c r="E190" s="557">
        <f t="shared" si="6"/>
        <v>-1149052.2326338594</v>
      </c>
      <c r="F190" s="240">
        <v>2575574.5154160252</v>
      </c>
      <c r="G190" s="559">
        <f>Synthèse!F189</f>
        <v>2066567.6038695485</v>
      </c>
      <c r="H190" s="559">
        <f t="shared" si="7"/>
        <v>-509006.91154647665</v>
      </c>
      <c r="I190" s="241">
        <v>295147.07538810244</v>
      </c>
      <c r="J190" s="561">
        <f>Synthèse!H189</f>
        <v>255004.7154179436</v>
      </c>
      <c r="K190" s="561">
        <f t="shared" si="8"/>
        <v>-40142.359970158839</v>
      </c>
    </row>
    <row r="191" spans="1:11" s="244" customFormat="1" ht="15" x14ac:dyDescent="0.25">
      <c r="A191" s="85">
        <f>Données!A191</f>
        <v>5720</v>
      </c>
      <c r="B191" s="368" t="str">
        <f>Données!B191</f>
        <v>Givrins</v>
      </c>
      <c r="C191" s="241">
        <v>2268223.5406372417</v>
      </c>
      <c r="D191" s="556">
        <f>Synthèse!G190</f>
        <v>1921014.3607888138</v>
      </c>
      <c r="E191" s="557">
        <f t="shared" si="6"/>
        <v>-347209.17984842788</v>
      </c>
      <c r="F191" s="240">
        <v>1423037.7949029428</v>
      </c>
      <c r="G191" s="559">
        <f>Synthèse!F190</f>
        <v>1465659.238444923</v>
      </c>
      <c r="H191" s="559">
        <f t="shared" si="7"/>
        <v>42621.443541980116</v>
      </c>
      <c r="I191" s="241">
        <v>196491.91998520738</v>
      </c>
      <c r="J191" s="561">
        <f>Synthèse!H190</f>
        <v>191632.71257967275</v>
      </c>
      <c r="K191" s="561">
        <f t="shared" si="8"/>
        <v>-4859.2074055346311</v>
      </c>
    </row>
    <row r="192" spans="1:11" s="244" customFormat="1" ht="15" x14ac:dyDescent="0.25">
      <c r="A192" s="85">
        <f>Données!A192</f>
        <v>5721</v>
      </c>
      <c r="B192" s="368" t="str">
        <f>Données!B192</f>
        <v>Gland</v>
      </c>
      <c r="C192" s="241">
        <v>12159687.610017009</v>
      </c>
      <c r="D192" s="556">
        <f>Synthèse!G191</f>
        <v>10883016.431647103</v>
      </c>
      <c r="E192" s="557">
        <f t="shared" si="6"/>
        <v>-1276671.1783699058</v>
      </c>
      <c r="F192" s="240">
        <v>4493425.5885315351</v>
      </c>
      <c r="G192" s="559">
        <f>Synthèse!F191</f>
        <v>4438967.9651054423</v>
      </c>
      <c r="H192" s="559">
        <f t="shared" si="7"/>
        <v>-54457.623426092789</v>
      </c>
      <c r="I192" s="241">
        <v>1966162.4949911768</v>
      </c>
      <c r="J192" s="561">
        <f>Synthèse!H191</f>
        <v>2035605.8989713411</v>
      </c>
      <c r="K192" s="561">
        <f t="shared" si="8"/>
        <v>69443.403980164323</v>
      </c>
    </row>
    <row r="193" spans="1:11" s="244" customFormat="1" ht="15" x14ac:dyDescent="0.25">
      <c r="A193" s="85">
        <f>Données!A193</f>
        <v>5722</v>
      </c>
      <c r="B193" s="368" t="str">
        <f>Données!B193</f>
        <v>Grens</v>
      </c>
      <c r="C193" s="241">
        <v>490272.25694843056</v>
      </c>
      <c r="D193" s="556">
        <f>Synthèse!G192</f>
        <v>376607.13444235985</v>
      </c>
      <c r="E193" s="557">
        <f t="shared" si="6"/>
        <v>-113665.12250607071</v>
      </c>
      <c r="F193" s="240">
        <v>438690.25298884802</v>
      </c>
      <c r="G193" s="559">
        <f>Synthèse!F192</f>
        <v>348209.89899582049</v>
      </c>
      <c r="H193" s="559">
        <f t="shared" si="7"/>
        <v>-90480.353993027529</v>
      </c>
      <c r="I193" s="241">
        <v>67438.489030912257</v>
      </c>
      <c r="J193" s="561">
        <f>Synthèse!H192</f>
        <v>60410.243508226333</v>
      </c>
      <c r="K193" s="561">
        <f t="shared" si="8"/>
        <v>-7028.2455226859238</v>
      </c>
    </row>
    <row r="194" spans="1:11" s="244" customFormat="1" ht="15" x14ac:dyDescent="0.25">
      <c r="A194" s="85">
        <f>Données!A194</f>
        <v>5723</v>
      </c>
      <c r="B194" s="368" t="str">
        <f>Données!B194</f>
        <v>Mies</v>
      </c>
      <c r="C194" s="241">
        <v>5191955.1528673219</v>
      </c>
      <c r="D194" s="556">
        <f>Synthèse!G193</f>
        <v>6852338.5667457171</v>
      </c>
      <c r="E194" s="557">
        <f t="shared" si="6"/>
        <v>1660383.4138783952</v>
      </c>
      <c r="F194" s="240">
        <v>3255754.7040794585</v>
      </c>
      <c r="G194" s="559">
        <f>Synthèse!F193</f>
        <v>4279782.1784529407</v>
      </c>
      <c r="H194" s="559">
        <f t="shared" si="7"/>
        <v>1024027.4743734822</v>
      </c>
      <c r="I194" s="241">
        <v>440302.99999892304</v>
      </c>
      <c r="J194" s="561">
        <f>Synthèse!H193</f>
        <v>498353.20257096493</v>
      </c>
      <c r="K194" s="561">
        <f t="shared" si="8"/>
        <v>58050.20257204189</v>
      </c>
    </row>
    <row r="195" spans="1:11" s="244" customFormat="1" ht="15" x14ac:dyDescent="0.25">
      <c r="A195" s="85">
        <f>Données!A195</f>
        <v>5724</v>
      </c>
      <c r="B195" s="368" t="str">
        <f>Données!B195</f>
        <v>Nyon</v>
      </c>
      <c r="C195" s="241">
        <v>34899702.043974683</v>
      </c>
      <c r="D195" s="556">
        <f>Synthèse!G194</f>
        <v>30080761.047865339</v>
      </c>
      <c r="E195" s="557">
        <f t="shared" si="6"/>
        <v>-4818940.9961093441</v>
      </c>
      <c r="F195" s="240">
        <v>9189659.7164719068</v>
      </c>
      <c r="G195" s="559">
        <f>Synthèse!F194</f>
        <v>9408480.3121871538</v>
      </c>
      <c r="H195" s="559">
        <f t="shared" si="7"/>
        <v>218820.59571524709</v>
      </c>
      <c r="I195" s="241">
        <v>1827341.6107557134</v>
      </c>
      <c r="J195" s="561">
        <f>Synthèse!H194</f>
        <v>1794303.8803194449</v>
      </c>
      <c r="K195" s="561">
        <f t="shared" si="8"/>
        <v>-33037.730436268495</v>
      </c>
    </row>
    <row r="196" spans="1:11" s="244" customFormat="1" ht="15" x14ac:dyDescent="0.25">
      <c r="A196" s="85">
        <f>Données!A196</f>
        <v>5725</v>
      </c>
      <c r="B196" s="368" t="str">
        <f>Données!B196</f>
        <v>Prangins</v>
      </c>
      <c r="C196" s="241">
        <v>7443262.6507568508</v>
      </c>
      <c r="D196" s="556">
        <f>Synthèse!G195</f>
        <v>8849437.9208041336</v>
      </c>
      <c r="E196" s="557">
        <f t="shared" si="6"/>
        <v>1406175.2700472828</v>
      </c>
      <c r="F196" s="240">
        <v>4620506.769096775</v>
      </c>
      <c r="G196" s="559">
        <f>Synthèse!F195</f>
        <v>5925691.5165629815</v>
      </c>
      <c r="H196" s="559">
        <f t="shared" si="7"/>
        <v>1305184.7474662066</v>
      </c>
      <c r="I196" s="241">
        <v>404079.90383210359</v>
      </c>
      <c r="J196" s="561">
        <f>Synthèse!H195</f>
        <v>459106.85029212339</v>
      </c>
      <c r="K196" s="561">
        <f t="shared" si="8"/>
        <v>55026.946460019797</v>
      </c>
    </row>
    <row r="197" spans="1:11" s="244" customFormat="1" ht="15" x14ac:dyDescent="0.25">
      <c r="A197" s="85">
        <f>Données!A197</f>
        <v>5726</v>
      </c>
      <c r="B197" s="368" t="str">
        <f>Données!B197</f>
        <v>La Rippe</v>
      </c>
      <c r="C197" s="241">
        <v>1451181.9323535189</v>
      </c>
      <c r="D197" s="556">
        <f>Synthèse!G196</f>
        <v>1176885.6564336033</v>
      </c>
      <c r="E197" s="557">
        <f t="shared" si="6"/>
        <v>-274296.27591991564</v>
      </c>
      <c r="F197" s="240">
        <v>1100874.6841948302</v>
      </c>
      <c r="G197" s="559">
        <f>Synthèse!F196</f>
        <v>1134006.9754809313</v>
      </c>
      <c r="H197" s="559">
        <f t="shared" si="7"/>
        <v>33132.291286101099</v>
      </c>
      <c r="I197" s="241">
        <v>181916.16887230088</v>
      </c>
      <c r="J197" s="561">
        <f>Synthèse!H196</f>
        <v>189281.57348920123</v>
      </c>
      <c r="K197" s="561">
        <f t="shared" si="8"/>
        <v>7365.4046169003414</v>
      </c>
    </row>
    <row r="198" spans="1:11" s="244" customFormat="1" ht="15" x14ac:dyDescent="0.25">
      <c r="A198" s="85">
        <f>Données!A198</f>
        <v>5727</v>
      </c>
      <c r="B198" s="368" t="str">
        <f>Données!B198</f>
        <v>Saint-Cergue</v>
      </c>
      <c r="C198" s="241">
        <v>1916900.3183614374</v>
      </c>
      <c r="D198" s="556">
        <f>Synthèse!G197</f>
        <v>2009254.2772073124</v>
      </c>
      <c r="E198" s="557">
        <f t="shared" si="6"/>
        <v>92353.958845874993</v>
      </c>
      <c r="F198" s="240">
        <v>782762.79382194323</v>
      </c>
      <c r="G198" s="559">
        <f>Synthèse!F197</f>
        <v>433973.95850624586</v>
      </c>
      <c r="H198" s="559">
        <f t="shared" si="7"/>
        <v>-348788.83531569736</v>
      </c>
      <c r="I198" s="241">
        <v>329846.74504204118</v>
      </c>
      <c r="J198" s="561">
        <f>Synthèse!H197</f>
        <v>322999.75763105229</v>
      </c>
      <c r="K198" s="561">
        <f t="shared" si="8"/>
        <v>-6846.9874109888915</v>
      </c>
    </row>
    <row r="199" spans="1:11" s="244" customFormat="1" ht="15" x14ac:dyDescent="0.25">
      <c r="A199" s="85">
        <f>Données!A199</f>
        <v>5728</v>
      </c>
      <c r="B199" s="368" t="str">
        <f>Données!B199</f>
        <v>Signy-Avenex</v>
      </c>
      <c r="C199" s="241">
        <v>1243068.534763773</v>
      </c>
      <c r="D199" s="556">
        <f>Synthèse!G198</f>
        <v>1750849.8663462726</v>
      </c>
      <c r="E199" s="557">
        <f t="shared" ref="E199:E262" si="9">D199-C199</f>
        <v>507781.33158249967</v>
      </c>
      <c r="F199" s="240">
        <v>867183.96652269817</v>
      </c>
      <c r="G199" s="559">
        <f>Synthèse!F198</f>
        <v>1186613.3773872987</v>
      </c>
      <c r="H199" s="559">
        <f t="shared" ref="H199:H262" si="10">G199-F199</f>
        <v>319429.41086460056</v>
      </c>
      <c r="I199" s="241">
        <v>112804.01297756916</v>
      </c>
      <c r="J199" s="561">
        <f>Synthèse!H198</f>
        <v>129974.42978369573</v>
      </c>
      <c r="K199" s="561">
        <f t="shared" ref="K199:K262" si="11">J199-I199</f>
        <v>17170.416806126566</v>
      </c>
    </row>
    <row r="200" spans="1:11" s="244" customFormat="1" ht="15" x14ac:dyDescent="0.25">
      <c r="A200" s="85">
        <f>Données!A200</f>
        <v>5729</v>
      </c>
      <c r="B200" s="368" t="str">
        <f>Données!B200</f>
        <v>Tannay</v>
      </c>
      <c r="C200" s="241">
        <v>3489446.4958239212</v>
      </c>
      <c r="D200" s="556">
        <f>Synthèse!G199</f>
        <v>5454408.6804066533</v>
      </c>
      <c r="E200" s="557">
        <f t="shared" si="9"/>
        <v>1964962.1845827322</v>
      </c>
      <c r="F200" s="240">
        <v>2159040.1868395973</v>
      </c>
      <c r="G200" s="559">
        <f>Synthèse!F199</f>
        <v>3225898.2482613372</v>
      </c>
      <c r="H200" s="559">
        <f t="shared" si="10"/>
        <v>1066858.0614217399</v>
      </c>
      <c r="I200" s="241">
        <v>308127.2514564158</v>
      </c>
      <c r="J200" s="561">
        <f>Synthèse!H199</f>
        <v>376808.69011320564</v>
      </c>
      <c r="K200" s="561">
        <f t="shared" si="11"/>
        <v>68681.438656789833</v>
      </c>
    </row>
    <row r="201" spans="1:11" s="244" customFormat="1" ht="15" x14ac:dyDescent="0.25">
      <c r="A201" s="85">
        <f>Données!A201</f>
        <v>5730</v>
      </c>
      <c r="B201" s="368" t="str">
        <f>Données!B201</f>
        <v>Trélex</v>
      </c>
      <c r="C201" s="241">
        <v>2775662.6266026115</v>
      </c>
      <c r="D201" s="556">
        <f>Synthèse!G200</f>
        <v>2859276.6767647909</v>
      </c>
      <c r="E201" s="557">
        <f t="shared" si="9"/>
        <v>83614.050162179396</v>
      </c>
      <c r="F201" s="240">
        <v>1860039.0470820188</v>
      </c>
      <c r="G201" s="559">
        <f>Synthèse!F200</f>
        <v>2037972.6946410926</v>
      </c>
      <c r="H201" s="559">
        <f t="shared" si="10"/>
        <v>177933.64755907375</v>
      </c>
      <c r="I201" s="241">
        <v>267225.68013529084</v>
      </c>
      <c r="J201" s="561">
        <f>Synthèse!H200</f>
        <v>270763.49614184839</v>
      </c>
      <c r="K201" s="561">
        <f t="shared" si="11"/>
        <v>3537.8160065575503</v>
      </c>
    </row>
    <row r="202" spans="1:11" s="244" customFormat="1" ht="15" x14ac:dyDescent="0.25">
      <c r="A202" s="85">
        <f>Données!A202</f>
        <v>5731</v>
      </c>
      <c r="B202" s="368" t="str">
        <f>Données!B202</f>
        <v>Le Vaud</v>
      </c>
      <c r="C202" s="241">
        <v>1098604.1296442212</v>
      </c>
      <c r="D202" s="556">
        <f>Synthèse!G201</f>
        <v>954130.7982954866</v>
      </c>
      <c r="E202" s="557">
        <f t="shared" si="9"/>
        <v>-144473.33134873456</v>
      </c>
      <c r="F202" s="240">
        <v>925904.98777951568</v>
      </c>
      <c r="G202" s="559">
        <f>Synthèse!F201</f>
        <v>1028199.7980791682</v>
      </c>
      <c r="H202" s="559">
        <f t="shared" si="10"/>
        <v>102294.81029965251</v>
      </c>
      <c r="I202" s="241">
        <v>198821.08544720651</v>
      </c>
      <c r="J202" s="561">
        <f>Synthèse!H201</f>
        <v>208187.98234536656</v>
      </c>
      <c r="K202" s="561">
        <f t="shared" si="11"/>
        <v>9366.8968981600483</v>
      </c>
    </row>
    <row r="203" spans="1:11" s="244" customFormat="1" ht="15" x14ac:dyDescent="0.25">
      <c r="A203" s="85">
        <f>Données!A203</f>
        <v>5732</v>
      </c>
      <c r="B203" s="368" t="str">
        <f>Données!B203</f>
        <v>Vich</v>
      </c>
      <c r="C203" s="241">
        <v>1603595.047832564</v>
      </c>
      <c r="D203" s="556">
        <f>Synthèse!G202</f>
        <v>1490770.191624132</v>
      </c>
      <c r="E203" s="557">
        <f t="shared" si="9"/>
        <v>-112824.856208432</v>
      </c>
      <c r="F203" s="240">
        <v>1181893.060161435</v>
      </c>
      <c r="G203" s="559">
        <f>Synthèse!F202</f>
        <v>1340008.3930251694</v>
      </c>
      <c r="H203" s="559">
        <f t="shared" si="10"/>
        <v>158115.33286373434</v>
      </c>
      <c r="I203" s="241">
        <v>190097.49621205183</v>
      </c>
      <c r="J203" s="561">
        <f>Synthèse!H202</f>
        <v>197869.90025668195</v>
      </c>
      <c r="K203" s="561">
        <f t="shared" si="11"/>
        <v>7772.4040446301224</v>
      </c>
    </row>
    <row r="204" spans="1:11" s="244" customFormat="1" ht="15" x14ac:dyDescent="0.25">
      <c r="A204" s="85">
        <f>Données!A204</f>
        <v>5741</v>
      </c>
      <c r="B204" s="368" t="str">
        <f>Données!B204</f>
        <v>L'Abergement</v>
      </c>
      <c r="C204" s="241">
        <v>132819.2592563942</v>
      </c>
      <c r="D204" s="556">
        <f>Synthèse!G203</f>
        <v>143325.86698451426</v>
      </c>
      <c r="E204" s="557">
        <f t="shared" si="9"/>
        <v>10506.607728120056</v>
      </c>
      <c r="F204" s="240">
        <v>-114875.95198427862</v>
      </c>
      <c r="G204" s="559">
        <f>Synthèse!F203</f>
        <v>14587.42159951129</v>
      </c>
      <c r="H204" s="559">
        <f t="shared" si="10"/>
        <v>129463.37358378991</v>
      </c>
      <c r="I204" s="241">
        <v>23244.773866722393</v>
      </c>
      <c r="J204" s="561">
        <f>Synthèse!H203</f>
        <v>33363.487965100896</v>
      </c>
      <c r="K204" s="561">
        <f t="shared" si="11"/>
        <v>10118.714098378503</v>
      </c>
    </row>
    <row r="205" spans="1:11" s="244" customFormat="1" ht="15" x14ac:dyDescent="0.25">
      <c r="A205" s="85">
        <f>Données!A205</f>
        <v>5742</v>
      </c>
      <c r="B205" s="368" t="str">
        <f>Données!B205</f>
        <v>Agiez</v>
      </c>
      <c r="C205" s="241">
        <v>146772.05986695393</v>
      </c>
      <c r="D205" s="556">
        <f>Synthèse!G204</f>
        <v>106395.68209741016</v>
      </c>
      <c r="E205" s="557">
        <f t="shared" si="9"/>
        <v>-40376.377769543775</v>
      </c>
      <c r="F205" s="240">
        <v>-105043.00472767954</v>
      </c>
      <c r="G205" s="559">
        <f>Synthèse!F204</f>
        <v>-135106.39526926537</v>
      </c>
      <c r="H205" s="559">
        <f t="shared" si="10"/>
        <v>-30063.390541585832</v>
      </c>
      <c r="I205" s="241">
        <v>28258.024097036745</v>
      </c>
      <c r="J205" s="561">
        <f>Synthèse!H204</f>
        <v>27129.140004896632</v>
      </c>
      <c r="K205" s="561">
        <f t="shared" si="11"/>
        <v>-1128.8840921401134</v>
      </c>
    </row>
    <row r="206" spans="1:11" s="244" customFormat="1" ht="15" x14ac:dyDescent="0.25">
      <c r="A206" s="85">
        <f>Données!A206</f>
        <v>5743</v>
      </c>
      <c r="B206" s="368" t="str">
        <f>Données!B206</f>
        <v>Arnex-sur-Orbe</v>
      </c>
      <c r="C206" s="241">
        <v>333022.58569844265</v>
      </c>
      <c r="D206" s="556">
        <f>Synthèse!G205</f>
        <v>315421.15826170938</v>
      </c>
      <c r="E206" s="557">
        <f t="shared" si="9"/>
        <v>-17601.427436733269</v>
      </c>
      <c r="F206" s="240">
        <v>51300.717220740858</v>
      </c>
      <c r="G206" s="559">
        <f>Synthèse!F205</f>
        <v>-94117.14615547884</v>
      </c>
      <c r="H206" s="559">
        <f t="shared" si="10"/>
        <v>-145417.8633762197</v>
      </c>
      <c r="I206" s="241">
        <v>65220.108332497381</v>
      </c>
      <c r="J206" s="561">
        <f>Synthèse!H205</f>
        <v>59189.117750812075</v>
      </c>
      <c r="K206" s="561">
        <f t="shared" si="11"/>
        <v>-6030.9905816853061</v>
      </c>
    </row>
    <row r="207" spans="1:11" s="244" customFormat="1" ht="15" x14ac:dyDescent="0.25">
      <c r="A207" s="85">
        <f>Données!A207</f>
        <v>5744</v>
      </c>
      <c r="B207" s="368" t="str">
        <f>Données!B207</f>
        <v>Ballaigues</v>
      </c>
      <c r="C207" s="241">
        <v>1048243.5154280323</v>
      </c>
      <c r="D207" s="556">
        <f>Synthèse!G206</f>
        <v>1207948.4032099578</v>
      </c>
      <c r="E207" s="557">
        <f t="shared" si="9"/>
        <v>159704.8877819255</v>
      </c>
      <c r="F207" s="240">
        <v>8279.2043228180846</v>
      </c>
      <c r="G207" s="559">
        <f>Synthèse!F206</f>
        <v>502949.66139047744</v>
      </c>
      <c r="H207" s="559">
        <f t="shared" si="10"/>
        <v>494670.45706765936</v>
      </c>
      <c r="I207" s="241">
        <v>126817.33630864597</v>
      </c>
      <c r="J207" s="561">
        <f>Synthèse!H206</f>
        <v>166103.80361519157</v>
      </c>
      <c r="K207" s="561">
        <f t="shared" si="11"/>
        <v>39286.467306545601</v>
      </c>
    </row>
    <row r="208" spans="1:11" s="244" customFormat="1" ht="15" x14ac:dyDescent="0.25">
      <c r="A208" s="85">
        <f>Données!A208</f>
        <v>5745</v>
      </c>
      <c r="B208" s="368" t="str">
        <f>Données!B208</f>
        <v>Baulmes</v>
      </c>
      <c r="C208" s="241">
        <v>497500.21892909508</v>
      </c>
      <c r="D208" s="556">
        <f>Synthèse!G207</f>
        <v>459661.80397524079</v>
      </c>
      <c r="E208" s="557">
        <f t="shared" si="9"/>
        <v>-37838.414953854284</v>
      </c>
      <c r="F208" s="240">
        <v>-586172.06335506914</v>
      </c>
      <c r="G208" s="559">
        <f>Synthèse!F207</f>
        <v>-653066.34943599242</v>
      </c>
      <c r="H208" s="559">
        <f t="shared" si="10"/>
        <v>-66894.286080923281</v>
      </c>
      <c r="I208" s="241">
        <v>84775.700401628448</v>
      </c>
      <c r="J208" s="561">
        <f>Synthèse!H207</f>
        <v>83993.786686396226</v>
      </c>
      <c r="K208" s="561">
        <f t="shared" si="11"/>
        <v>-781.91371523222188</v>
      </c>
    </row>
    <row r="209" spans="1:11" s="244" customFormat="1" ht="15" x14ac:dyDescent="0.25">
      <c r="A209" s="85">
        <f>Données!A209</f>
        <v>5746</v>
      </c>
      <c r="B209" s="368" t="str">
        <f>Données!B209</f>
        <v>Bavois</v>
      </c>
      <c r="C209" s="241">
        <v>649828.29116897588</v>
      </c>
      <c r="D209" s="556">
        <f>Synthèse!G208</f>
        <v>471207.69728953519</v>
      </c>
      <c r="E209" s="557">
        <f t="shared" si="9"/>
        <v>-178620.59387944068</v>
      </c>
      <c r="F209" s="240">
        <v>-50054.562564339954</v>
      </c>
      <c r="G209" s="559">
        <f>Synthèse!F208</f>
        <v>-232881.01048803574</v>
      </c>
      <c r="H209" s="559">
        <f t="shared" si="10"/>
        <v>-182826.44792369578</v>
      </c>
      <c r="I209" s="241">
        <v>94926.621549108939</v>
      </c>
      <c r="J209" s="561">
        <f>Synthèse!H208</f>
        <v>87933.883362078341</v>
      </c>
      <c r="K209" s="561">
        <f t="shared" si="11"/>
        <v>-6992.7381870305981</v>
      </c>
    </row>
    <row r="210" spans="1:11" s="244" customFormat="1" ht="15" x14ac:dyDescent="0.25">
      <c r="A210" s="85">
        <f>Données!A210</f>
        <v>5747</v>
      </c>
      <c r="B210" s="368" t="str">
        <f>Données!B210</f>
        <v>Bofflens</v>
      </c>
      <c r="C210" s="241">
        <v>106178.03969691315</v>
      </c>
      <c r="D210" s="556">
        <f>Synthèse!G209</f>
        <v>107006.26408536141</v>
      </c>
      <c r="E210" s="557">
        <f t="shared" si="9"/>
        <v>828.22438844825956</v>
      </c>
      <c r="F210" s="240">
        <v>-17381.987412155853</v>
      </c>
      <c r="G210" s="559">
        <f>Synthèse!F209</f>
        <v>-14692.018931504586</v>
      </c>
      <c r="H210" s="559">
        <f t="shared" si="10"/>
        <v>2689.9684806512669</v>
      </c>
      <c r="I210" s="241">
        <v>17520.524695983389</v>
      </c>
      <c r="J210" s="561">
        <f>Synthèse!H209</f>
        <v>17381.992408160011</v>
      </c>
      <c r="K210" s="561">
        <f t="shared" si="11"/>
        <v>-138.53228782337828</v>
      </c>
    </row>
    <row r="211" spans="1:11" s="244" customFormat="1" ht="15" x14ac:dyDescent="0.25">
      <c r="A211" s="85">
        <f>Données!A211</f>
        <v>5748</v>
      </c>
      <c r="B211" s="368" t="str">
        <f>Données!B211</f>
        <v>Bretonnières</v>
      </c>
      <c r="C211" s="241">
        <v>98914.591759786228</v>
      </c>
      <c r="D211" s="556">
        <f>Synthèse!G210</f>
        <v>98833.747822146179</v>
      </c>
      <c r="E211" s="557">
        <f t="shared" si="9"/>
        <v>-80.843937640049262</v>
      </c>
      <c r="F211" s="240">
        <v>-103559.46474081805</v>
      </c>
      <c r="G211" s="559">
        <f>Synthèse!F210</f>
        <v>-106863.27008892955</v>
      </c>
      <c r="H211" s="559">
        <f t="shared" si="10"/>
        <v>-3303.8053481115057</v>
      </c>
      <c r="I211" s="241">
        <v>17941.04043864238</v>
      </c>
      <c r="J211" s="561">
        <f>Synthèse!H210</f>
        <v>20356.008127471505</v>
      </c>
      <c r="K211" s="561">
        <f t="shared" si="11"/>
        <v>2414.9676888291251</v>
      </c>
    </row>
    <row r="212" spans="1:11" s="244" customFormat="1" ht="15" x14ac:dyDescent="0.25">
      <c r="A212" s="85">
        <f>Données!A212</f>
        <v>5749</v>
      </c>
      <c r="B212" s="368" t="str">
        <f>Données!B212</f>
        <v>Chavornay</v>
      </c>
      <c r="C212" s="241">
        <v>2640462.567665712</v>
      </c>
      <c r="D212" s="556">
        <f>Synthèse!G211</f>
        <v>2117475.7608495299</v>
      </c>
      <c r="E212" s="557">
        <f t="shared" si="9"/>
        <v>-522986.8068161821</v>
      </c>
      <c r="F212" s="240">
        <v>-1873456.8785898476</v>
      </c>
      <c r="G212" s="559">
        <f>Synthèse!F211</f>
        <v>-2502623.4582627444</v>
      </c>
      <c r="H212" s="559">
        <f t="shared" si="10"/>
        <v>-629166.57967289677</v>
      </c>
      <c r="I212" s="241">
        <v>438125.72990610462</v>
      </c>
      <c r="J212" s="561">
        <f>Synthèse!H211</f>
        <v>433421.8759126761</v>
      </c>
      <c r="K212" s="561">
        <f t="shared" si="11"/>
        <v>-4703.8539934285218</v>
      </c>
    </row>
    <row r="213" spans="1:11" s="244" customFormat="1" ht="15" x14ac:dyDescent="0.25">
      <c r="A213" s="85">
        <f>Données!A213</f>
        <v>5750</v>
      </c>
      <c r="B213" s="368" t="str">
        <f>Données!B213</f>
        <v>Les Clées</v>
      </c>
      <c r="C213" s="241">
        <v>91040.701883885573</v>
      </c>
      <c r="D213" s="556">
        <f>Synthèse!G212</f>
        <v>94547.232077259949</v>
      </c>
      <c r="E213" s="557">
        <f t="shared" si="9"/>
        <v>3506.5301933743758</v>
      </c>
      <c r="F213" s="240">
        <v>-15436.607426117029</v>
      </c>
      <c r="G213" s="559">
        <f>Synthèse!F212</f>
        <v>-64551.66161050355</v>
      </c>
      <c r="H213" s="559">
        <f t="shared" si="10"/>
        <v>-49115.054184386521</v>
      </c>
      <c r="I213" s="241">
        <v>19284.943568448591</v>
      </c>
      <c r="J213" s="561">
        <f>Synthèse!H212</f>
        <v>16767.203229655264</v>
      </c>
      <c r="K213" s="561">
        <f t="shared" si="11"/>
        <v>-2517.7403387933264</v>
      </c>
    </row>
    <row r="214" spans="1:11" s="244" customFormat="1" ht="15" x14ac:dyDescent="0.25">
      <c r="A214" s="85">
        <f>Données!A214</f>
        <v>5752</v>
      </c>
      <c r="B214" s="368" t="str">
        <f>Données!B214</f>
        <v>Croy</v>
      </c>
      <c r="C214" s="241">
        <v>171564.68918571249</v>
      </c>
      <c r="D214" s="556">
        <f>Synthèse!G213</f>
        <v>144576.87374527683</v>
      </c>
      <c r="E214" s="557">
        <f t="shared" si="9"/>
        <v>-26987.815440435661</v>
      </c>
      <c r="F214" s="240">
        <v>-65865.090614797751</v>
      </c>
      <c r="G214" s="559">
        <f>Synthèse!F213</f>
        <v>-299515.17529734771</v>
      </c>
      <c r="H214" s="559">
        <f t="shared" si="10"/>
        <v>-233650.08468254996</v>
      </c>
      <c r="I214" s="241">
        <v>29342.378998817963</v>
      </c>
      <c r="J214" s="561">
        <f>Synthèse!H213</f>
        <v>30748.837078961911</v>
      </c>
      <c r="K214" s="561">
        <f t="shared" si="11"/>
        <v>1406.4580801439479</v>
      </c>
    </row>
    <row r="215" spans="1:11" s="244" customFormat="1" ht="15" x14ac:dyDescent="0.25">
      <c r="A215" s="85">
        <f>Données!A215</f>
        <v>5754</v>
      </c>
      <c r="B215" s="368" t="str">
        <f>Données!B215</f>
        <v>Juriens</v>
      </c>
      <c r="C215" s="241">
        <v>129638.52496707001</v>
      </c>
      <c r="D215" s="556">
        <f>Synthèse!G214</f>
        <v>263198.34966030857</v>
      </c>
      <c r="E215" s="557">
        <f t="shared" si="9"/>
        <v>133559.82469323854</v>
      </c>
      <c r="F215" s="240">
        <v>-137147.55426731938</v>
      </c>
      <c r="G215" s="559">
        <f>Synthèse!F214</f>
        <v>-114883.56695321898</v>
      </c>
      <c r="H215" s="559">
        <f t="shared" si="10"/>
        <v>22263.987314100406</v>
      </c>
      <c r="I215" s="241">
        <v>25388.746062189311</v>
      </c>
      <c r="J215" s="561">
        <f>Synthèse!H214</f>
        <v>26191.045335692612</v>
      </c>
      <c r="K215" s="561">
        <f t="shared" si="11"/>
        <v>802.29927350330036</v>
      </c>
    </row>
    <row r="216" spans="1:11" s="244" customFormat="1" ht="15" x14ac:dyDescent="0.25">
      <c r="A216" s="85">
        <f>Données!A216</f>
        <v>5755</v>
      </c>
      <c r="B216" s="368" t="str">
        <f>Données!B216</f>
        <v>Lignerolle</v>
      </c>
      <c r="C216" s="241">
        <v>275014.24101760483</v>
      </c>
      <c r="D216" s="556">
        <f>Synthèse!G215</f>
        <v>179105.50045150859</v>
      </c>
      <c r="E216" s="557">
        <f t="shared" si="9"/>
        <v>-95908.740566096239</v>
      </c>
      <c r="F216" s="240">
        <v>-674215.09839432943</v>
      </c>
      <c r="G216" s="559">
        <f>Synthèse!F215</f>
        <v>-236177.60592782375</v>
      </c>
      <c r="H216" s="559">
        <f t="shared" si="10"/>
        <v>438037.49246650568</v>
      </c>
      <c r="I216" s="241">
        <v>28155.095566841152</v>
      </c>
      <c r="J216" s="561">
        <f>Synthèse!H215</f>
        <v>33021.59669915853</v>
      </c>
      <c r="K216" s="561">
        <f t="shared" si="11"/>
        <v>4866.5011323173785</v>
      </c>
    </row>
    <row r="217" spans="1:11" s="244" customFormat="1" ht="15" x14ac:dyDescent="0.25">
      <c r="A217" s="85">
        <f>Données!A217</f>
        <v>5756</v>
      </c>
      <c r="B217" s="368" t="str">
        <f>Données!B217</f>
        <v>Montcherand</v>
      </c>
      <c r="C217" s="241">
        <v>284336.5170782975</v>
      </c>
      <c r="D217" s="556">
        <f>Synthèse!G216</f>
        <v>217256.12085762984</v>
      </c>
      <c r="E217" s="557">
        <f t="shared" si="9"/>
        <v>-67080.396220667666</v>
      </c>
      <c r="F217" s="240">
        <v>7955.0445800824091</v>
      </c>
      <c r="G217" s="559">
        <f>Synthèse!F216</f>
        <v>79632.845365757472</v>
      </c>
      <c r="H217" s="559">
        <f t="shared" si="10"/>
        <v>71677.800785675063</v>
      </c>
      <c r="I217" s="241">
        <v>20374.359905926198</v>
      </c>
      <c r="J217" s="561">
        <f>Synthèse!H216</f>
        <v>20660.098148463432</v>
      </c>
      <c r="K217" s="561">
        <f t="shared" si="11"/>
        <v>285.73824253723433</v>
      </c>
    </row>
    <row r="218" spans="1:11" s="244" customFormat="1" ht="15" x14ac:dyDescent="0.25">
      <c r="A218" s="85">
        <f>Données!A218</f>
        <v>5757</v>
      </c>
      <c r="B218" s="368" t="str">
        <f>Données!B218</f>
        <v>Orbe</v>
      </c>
      <c r="C218" s="241">
        <v>4448225.2603133628</v>
      </c>
      <c r="D218" s="556">
        <f>Synthèse!G217</f>
        <v>4302073.9594874326</v>
      </c>
      <c r="E218" s="557">
        <f t="shared" si="9"/>
        <v>-146151.3008259302</v>
      </c>
      <c r="F218" s="240">
        <v>-4003981.5199459298</v>
      </c>
      <c r="G218" s="559">
        <f>Synthèse!F217</f>
        <v>-4838664.7887828313</v>
      </c>
      <c r="H218" s="559">
        <f t="shared" si="10"/>
        <v>-834683.26883690152</v>
      </c>
      <c r="I218" s="241">
        <v>263169.33988608036</v>
      </c>
      <c r="J218" s="561">
        <f>Synthèse!H217</f>
        <v>257034.95418400224</v>
      </c>
      <c r="K218" s="561">
        <f t="shared" si="11"/>
        <v>-6134.3857020781143</v>
      </c>
    </row>
    <row r="219" spans="1:11" s="244" customFormat="1" ht="15" x14ac:dyDescent="0.25">
      <c r="A219" s="85">
        <f>Données!A219</f>
        <v>5758</v>
      </c>
      <c r="B219" s="368" t="str">
        <f>Données!B219</f>
        <v>La Praz</v>
      </c>
      <c r="C219" s="241">
        <v>75347.059761317345</v>
      </c>
      <c r="D219" s="556">
        <f>Synthèse!G218</f>
        <v>53661.595405181324</v>
      </c>
      <c r="E219" s="557">
        <f t="shared" si="9"/>
        <v>-21685.464356136021</v>
      </c>
      <c r="F219" s="240">
        <v>-53390.979421067561</v>
      </c>
      <c r="G219" s="559">
        <f>Synthèse!F218</f>
        <v>-124005.3920039665</v>
      </c>
      <c r="H219" s="559">
        <f t="shared" si="10"/>
        <v>-70614.412582898934</v>
      </c>
      <c r="I219" s="241">
        <v>13499.050977464547</v>
      </c>
      <c r="J219" s="561">
        <f>Synthèse!H218</f>
        <v>13558.398549850644</v>
      </c>
      <c r="K219" s="561">
        <f t="shared" si="11"/>
        <v>59.347572386097454</v>
      </c>
    </row>
    <row r="220" spans="1:11" s="244" customFormat="1" ht="15" x14ac:dyDescent="0.25">
      <c r="A220" s="85">
        <f>Données!A220</f>
        <v>5759</v>
      </c>
      <c r="B220" s="368" t="str">
        <f>Données!B220</f>
        <v>Premier</v>
      </c>
      <c r="C220" s="241">
        <v>98022.861678343761</v>
      </c>
      <c r="D220" s="556">
        <f>Synthèse!G219</f>
        <v>88010.877326621106</v>
      </c>
      <c r="E220" s="557">
        <f t="shared" si="9"/>
        <v>-10011.984351722655</v>
      </c>
      <c r="F220" s="240">
        <v>-101323.89472112508</v>
      </c>
      <c r="G220" s="559">
        <f>Synthèse!F219</f>
        <v>-103475.91624922385</v>
      </c>
      <c r="H220" s="559">
        <f t="shared" si="10"/>
        <v>-2152.0215280987759</v>
      </c>
      <c r="I220" s="241">
        <v>16704.73676016969</v>
      </c>
      <c r="J220" s="561">
        <f>Synthèse!H219</f>
        <v>17207.983514958425</v>
      </c>
      <c r="K220" s="561">
        <f t="shared" si="11"/>
        <v>503.24675478873542</v>
      </c>
    </row>
    <row r="221" spans="1:11" s="244" customFormat="1" ht="15" x14ac:dyDescent="0.25">
      <c r="A221" s="85">
        <f>Données!A221</f>
        <v>5760</v>
      </c>
      <c r="B221" s="368" t="str">
        <f>Données!B221</f>
        <v>Rances</v>
      </c>
      <c r="C221" s="241">
        <v>241722.59812888809</v>
      </c>
      <c r="D221" s="556">
        <f>Synthèse!G220</f>
        <v>261068.46887980477</v>
      </c>
      <c r="E221" s="557">
        <f t="shared" si="9"/>
        <v>19345.870750916685</v>
      </c>
      <c r="F221" s="240">
        <v>-225524.98294265015</v>
      </c>
      <c r="G221" s="559">
        <f>Synthèse!F220</f>
        <v>-118243.40540151688</v>
      </c>
      <c r="H221" s="559">
        <f t="shared" si="10"/>
        <v>107281.57754113327</v>
      </c>
      <c r="I221" s="241">
        <v>40264.345249722763</v>
      </c>
      <c r="J221" s="561">
        <f>Synthèse!H220</f>
        <v>49640.730818780285</v>
      </c>
      <c r="K221" s="561">
        <f t="shared" si="11"/>
        <v>9376.3855690575219</v>
      </c>
    </row>
    <row r="222" spans="1:11" s="244" customFormat="1" ht="15" x14ac:dyDescent="0.25">
      <c r="A222" s="85">
        <f>Données!A222</f>
        <v>5761</v>
      </c>
      <c r="B222" s="368" t="str">
        <f>Données!B222</f>
        <v>Romainmôtier-Envy</v>
      </c>
      <c r="C222" s="241">
        <v>263214.16388492344</v>
      </c>
      <c r="D222" s="556">
        <f>Synthèse!G221</f>
        <v>215946.49547960062</v>
      </c>
      <c r="E222" s="557">
        <f t="shared" si="9"/>
        <v>-47267.668405322824</v>
      </c>
      <c r="F222" s="240">
        <v>-349542.4457369335</v>
      </c>
      <c r="G222" s="559">
        <f>Synthèse!F221</f>
        <v>-320601.60301232099</v>
      </c>
      <c r="H222" s="559">
        <f t="shared" si="10"/>
        <v>28940.842724612507</v>
      </c>
      <c r="I222" s="241">
        <v>37814.187331148714</v>
      </c>
      <c r="J222" s="561">
        <f>Synthèse!H221</f>
        <v>43567.206529278978</v>
      </c>
      <c r="K222" s="561">
        <f t="shared" si="11"/>
        <v>5753.0191981302632</v>
      </c>
    </row>
    <row r="223" spans="1:11" s="244" customFormat="1" ht="15" x14ac:dyDescent="0.25">
      <c r="A223" s="85">
        <f>Données!A223</f>
        <v>5762</v>
      </c>
      <c r="B223" s="368" t="str">
        <f>Données!B223</f>
        <v>Sergey</v>
      </c>
      <c r="C223" s="241">
        <v>55071.704551880626</v>
      </c>
      <c r="D223" s="556">
        <f>Synthèse!G222</f>
        <v>50289.379042053537</v>
      </c>
      <c r="E223" s="557">
        <f t="shared" si="9"/>
        <v>-4782.3255098270893</v>
      </c>
      <c r="F223" s="240">
        <v>-43752.812680604271</v>
      </c>
      <c r="G223" s="559">
        <f>Synthèse!F222</f>
        <v>-62403.624724371883</v>
      </c>
      <c r="H223" s="559">
        <f t="shared" si="10"/>
        <v>-18650.812043767612</v>
      </c>
      <c r="I223" s="241">
        <v>11894.478480723237</v>
      </c>
      <c r="J223" s="561">
        <f>Synthèse!H222</f>
        <v>11362.650653704031</v>
      </c>
      <c r="K223" s="561">
        <f t="shared" si="11"/>
        <v>-531.82782701920587</v>
      </c>
    </row>
    <row r="224" spans="1:11" s="244" customFormat="1" ht="15" x14ac:dyDescent="0.25">
      <c r="A224" s="85">
        <f>Données!A224</f>
        <v>5763</v>
      </c>
      <c r="B224" s="368" t="str">
        <f>Données!B224</f>
        <v>Valeyres-sous-Rances</v>
      </c>
      <c r="C224" s="241">
        <v>325893.87889889599</v>
      </c>
      <c r="D224" s="556">
        <f>Synthèse!G223</f>
        <v>279943.25791639317</v>
      </c>
      <c r="E224" s="557">
        <f t="shared" si="9"/>
        <v>-45950.62098250282</v>
      </c>
      <c r="F224" s="240">
        <v>59093.479011147225</v>
      </c>
      <c r="G224" s="559">
        <f>Synthèse!F223</f>
        <v>135144.02918035781</v>
      </c>
      <c r="H224" s="559">
        <f t="shared" si="10"/>
        <v>76050.55016921059</v>
      </c>
      <c r="I224" s="241">
        <v>64620.899647146041</v>
      </c>
      <c r="J224" s="561">
        <f>Synthèse!H223</f>
        <v>68105.840077699599</v>
      </c>
      <c r="K224" s="561">
        <f t="shared" si="11"/>
        <v>3484.9404305535572</v>
      </c>
    </row>
    <row r="225" spans="1:11" s="244" customFormat="1" ht="15" x14ac:dyDescent="0.25">
      <c r="A225" s="85">
        <f>Données!A225</f>
        <v>5764</v>
      </c>
      <c r="B225" s="368" t="str">
        <f>Données!B225</f>
        <v>Vallorbe</v>
      </c>
      <c r="C225" s="241">
        <v>2101248.4702559989</v>
      </c>
      <c r="D225" s="556">
        <f>Synthèse!G224</f>
        <v>2033526.4651321298</v>
      </c>
      <c r="E225" s="557">
        <f t="shared" si="9"/>
        <v>-67722.00512386905</v>
      </c>
      <c r="F225" s="240">
        <v>-3595158.2974534612</v>
      </c>
      <c r="G225" s="559">
        <f>Synthèse!F224</f>
        <v>-4188705.4633259573</v>
      </c>
      <c r="H225" s="559">
        <f t="shared" si="10"/>
        <v>-593547.16587249609</v>
      </c>
      <c r="I225" s="241">
        <v>263219.91918322857</v>
      </c>
      <c r="J225" s="561">
        <f>Synthèse!H224</f>
        <v>250781.71592864275</v>
      </c>
      <c r="K225" s="561">
        <f t="shared" si="11"/>
        <v>-12438.203254585824</v>
      </c>
    </row>
    <row r="226" spans="1:11" s="244" customFormat="1" ht="15" x14ac:dyDescent="0.25">
      <c r="A226" s="85">
        <f>Données!A226</f>
        <v>5765</v>
      </c>
      <c r="B226" s="368" t="str">
        <f>Données!B226</f>
        <v>Vaulion</v>
      </c>
      <c r="C226" s="241">
        <v>230347.10464511072</v>
      </c>
      <c r="D226" s="556">
        <f>Synthèse!G225</f>
        <v>127728.89716476441</v>
      </c>
      <c r="E226" s="557">
        <f t="shared" si="9"/>
        <v>-102618.20748034632</v>
      </c>
      <c r="F226" s="240">
        <v>-316949.87012920808</v>
      </c>
      <c r="G226" s="559">
        <f>Synthèse!F225</f>
        <v>-377805.71028204839</v>
      </c>
      <c r="H226" s="559">
        <f t="shared" si="10"/>
        <v>-60855.840152840305</v>
      </c>
      <c r="I226" s="241">
        <v>35658.951019999069</v>
      </c>
      <c r="J226" s="561">
        <f>Synthèse!H225</f>
        <v>28965.046857400135</v>
      </c>
      <c r="K226" s="561">
        <f t="shared" si="11"/>
        <v>-6693.9041625989339</v>
      </c>
    </row>
    <row r="227" spans="1:11" s="244" customFormat="1" ht="15" x14ac:dyDescent="0.25">
      <c r="A227" s="85">
        <f>Données!A227</f>
        <v>5766</v>
      </c>
      <c r="B227" s="368" t="str">
        <f>Données!B227</f>
        <v>Vuiteboeuf</v>
      </c>
      <c r="C227" s="241">
        <v>261607.48060806651</v>
      </c>
      <c r="D227" s="556">
        <f>Synthèse!G226</f>
        <v>275060.49568964622</v>
      </c>
      <c r="E227" s="557">
        <f t="shared" si="9"/>
        <v>13453.01508157971</v>
      </c>
      <c r="F227" s="240">
        <v>-139303.48186505341</v>
      </c>
      <c r="G227" s="559">
        <f>Synthèse!F226</f>
        <v>-137157.5090143336</v>
      </c>
      <c r="H227" s="559">
        <f t="shared" si="10"/>
        <v>2145.9728507198161</v>
      </c>
      <c r="I227" s="241">
        <v>50613.450057788214</v>
      </c>
      <c r="J227" s="561">
        <f>Synthèse!H226</f>
        <v>46754.909344716216</v>
      </c>
      <c r="K227" s="561">
        <f t="shared" si="11"/>
        <v>-3858.5407130719977</v>
      </c>
    </row>
    <row r="228" spans="1:11" s="244" customFormat="1" ht="15" x14ac:dyDescent="0.25">
      <c r="A228" s="85">
        <f>Données!A228</f>
        <v>5785</v>
      </c>
      <c r="B228" s="368" t="str">
        <f>Données!B228</f>
        <v>Corcelles-le-Jorat</v>
      </c>
      <c r="C228" s="241">
        <v>321989.18625184492</v>
      </c>
      <c r="D228" s="556">
        <f>Synthèse!G227</f>
        <v>198394.12986980181</v>
      </c>
      <c r="E228" s="557">
        <f t="shared" si="9"/>
        <v>-123595.05638204311</v>
      </c>
      <c r="F228" s="240">
        <v>135894.43471057439</v>
      </c>
      <c r="G228" s="559">
        <f>Synthèse!F227</f>
        <v>-27694.101280120783</v>
      </c>
      <c r="H228" s="559">
        <f t="shared" si="10"/>
        <v>-163588.53599069518</v>
      </c>
      <c r="I228" s="241">
        <v>55693.138131055079</v>
      </c>
      <c r="J228" s="561">
        <f>Synthèse!H227</f>
        <v>47034.614424538348</v>
      </c>
      <c r="K228" s="561">
        <f t="shared" si="11"/>
        <v>-8658.5237065167312</v>
      </c>
    </row>
    <row r="229" spans="1:11" s="244" customFormat="1" ht="15" x14ac:dyDescent="0.25">
      <c r="A229" s="85">
        <f>Données!A229</f>
        <v>5790</v>
      </c>
      <c r="B229" s="368" t="str">
        <f>Données!B229</f>
        <v>Maracon</v>
      </c>
      <c r="C229" s="241">
        <v>226262.32295344945</v>
      </c>
      <c r="D229" s="556">
        <f>Synthèse!G228</f>
        <v>203520.89481981378</v>
      </c>
      <c r="E229" s="557">
        <f t="shared" si="9"/>
        <v>-22741.428133635665</v>
      </c>
      <c r="F229" s="240">
        <v>-122921.21846010647</v>
      </c>
      <c r="G229" s="559">
        <f>Synthèse!F228</f>
        <v>-36243.796569373691</v>
      </c>
      <c r="H229" s="559">
        <f t="shared" si="10"/>
        <v>86677.421890732774</v>
      </c>
      <c r="I229" s="241">
        <v>41599.874709148615</v>
      </c>
      <c r="J229" s="561">
        <f>Synthèse!H228</f>
        <v>49259.922503530019</v>
      </c>
      <c r="K229" s="561">
        <f t="shared" si="11"/>
        <v>7660.0477943814039</v>
      </c>
    </row>
    <row r="230" spans="1:11" s="244" customFormat="1" ht="15" x14ac:dyDescent="0.25">
      <c r="A230" s="85">
        <f>Données!A230</f>
        <v>5792</v>
      </c>
      <c r="B230" s="368" t="str">
        <f>Données!B230</f>
        <v>Montpreveyres</v>
      </c>
      <c r="C230" s="241">
        <v>313059.66932811058</v>
      </c>
      <c r="D230" s="556">
        <f>Synthèse!G229</f>
        <v>245248.88708897133</v>
      </c>
      <c r="E230" s="557">
        <f t="shared" si="9"/>
        <v>-67810.782239139255</v>
      </c>
      <c r="F230" s="240">
        <v>-202076.79571142222</v>
      </c>
      <c r="G230" s="559">
        <f>Synthèse!F229</f>
        <v>-164656.97196913464</v>
      </c>
      <c r="H230" s="559">
        <f t="shared" si="10"/>
        <v>37419.823742287583</v>
      </c>
      <c r="I230" s="241">
        <v>54879.643652610772</v>
      </c>
      <c r="J230" s="561">
        <f>Synthèse!H229</f>
        <v>58211.271731474029</v>
      </c>
      <c r="K230" s="561">
        <f t="shared" si="11"/>
        <v>3331.6280788632575</v>
      </c>
    </row>
    <row r="231" spans="1:11" s="244" customFormat="1" ht="15" x14ac:dyDescent="0.25">
      <c r="A231" s="85">
        <f>Données!A231</f>
        <v>5798</v>
      </c>
      <c r="B231" s="368" t="str">
        <f>Données!B231</f>
        <v>Ropraz</v>
      </c>
      <c r="C231" s="241">
        <v>271097.52636909019</v>
      </c>
      <c r="D231" s="556">
        <f>Synthèse!G230</f>
        <v>227199.90486529336</v>
      </c>
      <c r="E231" s="557">
        <f t="shared" si="9"/>
        <v>-43897.621503796836</v>
      </c>
      <c r="F231" s="240">
        <v>-27777.062285496737</v>
      </c>
      <c r="G231" s="559">
        <f>Synthèse!F230</f>
        <v>-71655.22361858224</v>
      </c>
      <c r="H231" s="559">
        <f t="shared" si="10"/>
        <v>-43878.161333085503</v>
      </c>
      <c r="I231" s="241">
        <v>49654.29208399108</v>
      </c>
      <c r="J231" s="561">
        <f>Synthèse!H230</f>
        <v>48819.777682727683</v>
      </c>
      <c r="K231" s="561">
        <f t="shared" si="11"/>
        <v>-834.5144012633973</v>
      </c>
    </row>
    <row r="232" spans="1:11" s="244" customFormat="1" ht="15" x14ac:dyDescent="0.25">
      <c r="A232" s="85">
        <f>Données!A232</f>
        <v>5799</v>
      </c>
      <c r="B232" s="368" t="str">
        <f>Données!B232</f>
        <v>Servion</v>
      </c>
      <c r="C232" s="241">
        <v>1308143.3694986226</v>
      </c>
      <c r="D232" s="556">
        <f>Synthèse!G231</f>
        <v>1275224.2392709288</v>
      </c>
      <c r="E232" s="557">
        <f t="shared" si="9"/>
        <v>-32919.130227693822</v>
      </c>
      <c r="F232" s="240">
        <v>-1206.7793164220639</v>
      </c>
      <c r="G232" s="559">
        <f>Synthèse!F231</f>
        <v>-88887.306611153996</v>
      </c>
      <c r="H232" s="559">
        <f t="shared" si="10"/>
        <v>-87680.527294731932</v>
      </c>
      <c r="I232" s="241">
        <v>216435.88500291258</v>
      </c>
      <c r="J232" s="561">
        <f>Synthèse!H231</f>
        <v>219645.67319093703</v>
      </c>
      <c r="K232" s="561">
        <f t="shared" si="11"/>
        <v>3209.7881880244531</v>
      </c>
    </row>
    <row r="233" spans="1:11" s="244" customFormat="1" ht="15" x14ac:dyDescent="0.25">
      <c r="A233" s="85">
        <f>Données!A233</f>
        <v>5803</v>
      </c>
      <c r="B233" s="368" t="str">
        <f>Données!B233</f>
        <v>Vulliens</v>
      </c>
      <c r="C233" s="241">
        <v>307851.69976177462</v>
      </c>
      <c r="D233" s="556">
        <f>Synthèse!G232</f>
        <v>261351.0589261885</v>
      </c>
      <c r="E233" s="557">
        <f t="shared" si="9"/>
        <v>-46500.64083558612</v>
      </c>
      <c r="F233" s="240">
        <v>-26991.290360599407</v>
      </c>
      <c r="G233" s="559">
        <f>Synthèse!F232</f>
        <v>-173920.91611214587</v>
      </c>
      <c r="H233" s="559">
        <f t="shared" si="10"/>
        <v>-146929.62575154647</v>
      </c>
      <c r="I233" s="241">
        <v>59402.327334770991</v>
      </c>
      <c r="J233" s="561">
        <f>Synthèse!H232</f>
        <v>49721.139793976719</v>
      </c>
      <c r="K233" s="561">
        <f t="shared" si="11"/>
        <v>-9681.1875407942716</v>
      </c>
    </row>
    <row r="234" spans="1:11" s="244" customFormat="1" ht="15" x14ac:dyDescent="0.25">
      <c r="A234" s="85">
        <f>Données!A234</f>
        <v>5804</v>
      </c>
      <c r="B234" s="368" t="str">
        <f>Données!B234</f>
        <v>Jorat-Menthue</v>
      </c>
      <c r="C234" s="241">
        <v>880076.88051528682</v>
      </c>
      <c r="D234" s="556">
        <f>Synthèse!G233</f>
        <v>630243.133269232</v>
      </c>
      <c r="E234" s="557">
        <f t="shared" si="9"/>
        <v>-249833.74724605482</v>
      </c>
      <c r="F234" s="240">
        <v>-475188.29049051867</v>
      </c>
      <c r="G234" s="559">
        <f>Synthèse!F233</f>
        <v>-503815.14837434608</v>
      </c>
      <c r="H234" s="559">
        <f t="shared" si="10"/>
        <v>-28626.857883827412</v>
      </c>
      <c r="I234" s="241">
        <v>145941.53181589875</v>
      </c>
      <c r="J234" s="561">
        <f>Synthèse!H233</f>
        <v>135401.73207032544</v>
      </c>
      <c r="K234" s="561">
        <f t="shared" si="11"/>
        <v>-10539.799745573313</v>
      </c>
    </row>
    <row r="235" spans="1:11" s="244" customFormat="1" ht="15" x14ac:dyDescent="0.25">
      <c r="A235" s="85">
        <f>Données!A235</f>
        <v>5805</v>
      </c>
      <c r="B235" s="368" t="str">
        <f>Données!B235</f>
        <v>Oron</v>
      </c>
      <c r="C235" s="241">
        <v>2910028.3620816292</v>
      </c>
      <c r="D235" s="556">
        <f>Synthèse!G234</f>
        <v>2531430.4542069864</v>
      </c>
      <c r="E235" s="557">
        <f t="shared" si="9"/>
        <v>-378597.90787464287</v>
      </c>
      <c r="F235" s="240">
        <v>-2083574.3101946255</v>
      </c>
      <c r="G235" s="559">
        <f>Synthèse!F234</f>
        <v>-2782151.1133948267</v>
      </c>
      <c r="H235" s="559">
        <f t="shared" si="10"/>
        <v>-698576.80320020113</v>
      </c>
      <c r="I235" s="241">
        <v>535088.06299504777</v>
      </c>
      <c r="J235" s="561">
        <f>Synthèse!H234</f>
        <v>522185.26677689131</v>
      </c>
      <c r="K235" s="561">
        <f t="shared" si="11"/>
        <v>-12902.796218156465</v>
      </c>
    </row>
    <row r="236" spans="1:11" s="244" customFormat="1" ht="15" x14ac:dyDescent="0.25">
      <c r="A236" s="85">
        <f>Données!A236</f>
        <v>5806</v>
      </c>
      <c r="B236" s="368" t="str">
        <f>Données!B236</f>
        <v>Jorat-Mézières</v>
      </c>
      <c r="C236" s="241">
        <v>1601932.2369976649</v>
      </c>
      <c r="D236" s="556">
        <f>Synthèse!G235</f>
        <v>1572424.5673967961</v>
      </c>
      <c r="E236" s="557">
        <f t="shared" si="9"/>
        <v>-29507.66960086883</v>
      </c>
      <c r="F236" s="240">
        <v>-453622.74598024134</v>
      </c>
      <c r="G236" s="559">
        <f>Synthèse!F235</f>
        <v>-464871.63955464889</v>
      </c>
      <c r="H236" s="559">
        <f t="shared" si="10"/>
        <v>-11248.893574407557</v>
      </c>
      <c r="I236" s="241">
        <v>285070.94840080297</v>
      </c>
      <c r="J236" s="561">
        <f>Synthèse!H235</f>
        <v>310950.48618483625</v>
      </c>
      <c r="K236" s="561">
        <f t="shared" si="11"/>
        <v>25879.53778403328</v>
      </c>
    </row>
    <row r="237" spans="1:11" s="244" customFormat="1" ht="15" x14ac:dyDescent="0.25">
      <c r="A237" s="85">
        <f>Données!A237</f>
        <v>5812</v>
      </c>
      <c r="B237" s="368" t="str">
        <f>Données!B237</f>
        <v>Champtauroz</v>
      </c>
      <c r="C237" s="241">
        <v>50001.041785326248</v>
      </c>
      <c r="D237" s="556">
        <f>Synthèse!G236</f>
        <v>65779.083656778283</v>
      </c>
      <c r="E237" s="557">
        <f t="shared" si="9"/>
        <v>15778.041871452035</v>
      </c>
      <c r="F237" s="240">
        <v>-97434.512186793494</v>
      </c>
      <c r="G237" s="559">
        <f>Synthèse!F236</f>
        <v>-98635.422052207097</v>
      </c>
      <c r="H237" s="559">
        <f t="shared" si="10"/>
        <v>-1200.9098654136033</v>
      </c>
      <c r="I237" s="241">
        <v>7732.9482427000021</v>
      </c>
      <c r="J237" s="561">
        <f>Synthèse!H236</f>
        <v>11025.499714977963</v>
      </c>
      <c r="K237" s="561">
        <f t="shared" si="11"/>
        <v>3292.5514722779608</v>
      </c>
    </row>
    <row r="238" spans="1:11" s="244" customFormat="1" ht="15" x14ac:dyDescent="0.25">
      <c r="A238" s="85">
        <f>Données!A238</f>
        <v>5813</v>
      </c>
      <c r="B238" s="368" t="str">
        <f>Données!B238</f>
        <v>Chevroux</v>
      </c>
      <c r="C238" s="241">
        <v>248130.54161162622</v>
      </c>
      <c r="D238" s="556">
        <f>Synthèse!G237</f>
        <v>285775.78437194636</v>
      </c>
      <c r="E238" s="557">
        <f t="shared" si="9"/>
        <v>37645.242760320136</v>
      </c>
      <c r="F238" s="240">
        <v>-241955.76966368087</v>
      </c>
      <c r="G238" s="559">
        <f>Synthèse!F237</f>
        <v>-48991.179600544623</v>
      </c>
      <c r="H238" s="559">
        <f t="shared" si="10"/>
        <v>192964.59006313625</v>
      </c>
      <c r="I238" s="241">
        <v>47160.072858172294</v>
      </c>
      <c r="J238" s="561">
        <f>Synthèse!H237</f>
        <v>52745.946133224788</v>
      </c>
      <c r="K238" s="561">
        <f t="shared" si="11"/>
        <v>5585.8732750524941</v>
      </c>
    </row>
    <row r="239" spans="1:11" s="244" customFormat="1" ht="15" x14ac:dyDescent="0.25">
      <c r="A239" s="85">
        <f>Données!A239</f>
        <v>5816</v>
      </c>
      <c r="B239" s="368" t="str">
        <f>Données!B239</f>
        <v>Corcelles-près-Payerne</v>
      </c>
      <c r="C239" s="241">
        <v>1061134.7584526592</v>
      </c>
      <c r="D239" s="556">
        <f>Synthèse!G238</f>
        <v>981816.27918965858</v>
      </c>
      <c r="E239" s="557">
        <f t="shared" si="9"/>
        <v>-79318.479263000656</v>
      </c>
      <c r="F239" s="240">
        <v>-1073186.12331518</v>
      </c>
      <c r="G239" s="559">
        <f>Synthèse!F238</f>
        <v>-1245046.8786265461</v>
      </c>
      <c r="H239" s="559">
        <f t="shared" si="10"/>
        <v>-171860.75531136617</v>
      </c>
      <c r="I239" s="241">
        <v>187101.38395875233</v>
      </c>
      <c r="J239" s="561">
        <f>Synthèse!H238</f>
        <v>195814.89803259738</v>
      </c>
      <c r="K239" s="561">
        <f t="shared" si="11"/>
        <v>8713.5140738450573</v>
      </c>
    </row>
    <row r="240" spans="1:11" s="244" customFormat="1" ht="15" x14ac:dyDescent="0.25">
      <c r="A240" s="85">
        <f>Données!A240</f>
        <v>5817</v>
      </c>
      <c r="B240" s="368" t="str">
        <f>Données!B240</f>
        <v>Grandcour</v>
      </c>
      <c r="C240" s="241">
        <v>346344.64855533477</v>
      </c>
      <c r="D240" s="556">
        <f>Synthèse!G239</f>
        <v>401396.81763375923</v>
      </c>
      <c r="E240" s="557">
        <f t="shared" si="9"/>
        <v>55052.169078424457</v>
      </c>
      <c r="F240" s="240">
        <v>-341095.36294642749</v>
      </c>
      <c r="G240" s="559">
        <f>Synthèse!F239</f>
        <v>-241905.68227857945</v>
      </c>
      <c r="H240" s="559">
        <f t="shared" si="10"/>
        <v>99189.680667848035</v>
      </c>
      <c r="I240" s="241">
        <v>68138.528749301884</v>
      </c>
      <c r="J240" s="561">
        <f>Synthèse!H239</f>
        <v>78449.891615630157</v>
      </c>
      <c r="K240" s="561">
        <f t="shared" si="11"/>
        <v>10311.362866328273</v>
      </c>
    </row>
    <row r="241" spans="1:11" s="244" customFormat="1" ht="15" x14ac:dyDescent="0.25">
      <c r="A241" s="85">
        <f>Données!A241</f>
        <v>5819</v>
      </c>
      <c r="B241" s="368" t="str">
        <f>Données!B241</f>
        <v>Henniez</v>
      </c>
      <c r="C241" s="241">
        <v>187920.16594741817</v>
      </c>
      <c r="D241" s="556">
        <f>Synthèse!G240</f>
        <v>210738.21101172146</v>
      </c>
      <c r="E241" s="557">
        <f t="shared" si="9"/>
        <v>22818.045064303296</v>
      </c>
      <c r="F241" s="240">
        <v>-61476.328606737661</v>
      </c>
      <c r="G241" s="559">
        <f>Synthèse!F240</f>
        <v>-146245.0713705119</v>
      </c>
      <c r="H241" s="559">
        <f t="shared" si="10"/>
        <v>-84768.742763774237</v>
      </c>
      <c r="I241" s="241">
        <v>35181.790827443117</v>
      </c>
      <c r="J241" s="561">
        <f>Synthèse!H240</f>
        <v>29956.623979405391</v>
      </c>
      <c r="K241" s="561">
        <f t="shared" si="11"/>
        <v>-5225.1668480377266</v>
      </c>
    </row>
    <row r="242" spans="1:11" s="244" customFormat="1" ht="15" x14ac:dyDescent="0.25">
      <c r="A242" s="85">
        <f>Données!A242</f>
        <v>5821</v>
      </c>
      <c r="B242" s="368" t="str">
        <f>Données!B242</f>
        <v>Missy</v>
      </c>
      <c r="C242" s="241">
        <v>130946.63685992185</v>
      </c>
      <c r="D242" s="556">
        <f>Synthèse!G241</f>
        <v>137915.69225829124</v>
      </c>
      <c r="E242" s="557">
        <f t="shared" si="9"/>
        <v>6969.0553983693826</v>
      </c>
      <c r="F242" s="240">
        <v>-103112.02665817508</v>
      </c>
      <c r="G242" s="559">
        <f>Synthèse!F241</f>
        <v>-151084.24836876526</v>
      </c>
      <c r="H242" s="559">
        <f t="shared" si="10"/>
        <v>-47972.22171059018</v>
      </c>
      <c r="I242" s="241">
        <v>24451.217086156714</v>
      </c>
      <c r="J242" s="561">
        <f>Synthèse!H241</f>
        <v>25049.308668958831</v>
      </c>
      <c r="K242" s="561">
        <f t="shared" si="11"/>
        <v>598.09158280211705</v>
      </c>
    </row>
    <row r="243" spans="1:11" s="244" customFormat="1" ht="15" x14ac:dyDescent="0.25">
      <c r="A243" s="85">
        <f>Données!A243</f>
        <v>5822</v>
      </c>
      <c r="B243" s="368" t="str">
        <f>Données!B243</f>
        <v>Payerne</v>
      </c>
      <c r="C243" s="241">
        <v>4294369.9983692151</v>
      </c>
      <c r="D243" s="556">
        <f>Synthèse!G242</f>
        <v>3667166.6237277961</v>
      </c>
      <c r="E243" s="557">
        <f t="shared" si="9"/>
        <v>-627203.37464141892</v>
      </c>
      <c r="F243" s="240">
        <v>-7160448.1142143486</v>
      </c>
      <c r="G243" s="559">
        <f>Synthèse!F242</f>
        <v>-7174722.4033168387</v>
      </c>
      <c r="H243" s="559">
        <f t="shared" si="10"/>
        <v>-14274.28910249006</v>
      </c>
      <c r="I243" s="241">
        <v>737591.27380736195</v>
      </c>
      <c r="J243" s="561">
        <f>Synthèse!H242</f>
        <v>673493.01030878886</v>
      </c>
      <c r="K243" s="561">
        <f t="shared" si="11"/>
        <v>-64098.263498573098</v>
      </c>
    </row>
    <row r="244" spans="1:11" s="244" customFormat="1" ht="15" x14ac:dyDescent="0.25">
      <c r="A244" s="85">
        <f>Données!A244</f>
        <v>5827</v>
      </c>
      <c r="B244" s="368" t="str">
        <f>Données!B244</f>
        <v>Trey</v>
      </c>
      <c r="C244" s="241">
        <v>102877.41620673917</v>
      </c>
      <c r="D244" s="556">
        <f>Synthèse!G243</f>
        <v>114577.32153530454</v>
      </c>
      <c r="E244" s="557">
        <f t="shared" si="9"/>
        <v>11699.905328565364</v>
      </c>
      <c r="F244" s="240">
        <v>-163369.37682019651</v>
      </c>
      <c r="G244" s="559">
        <f>Synthèse!F243</f>
        <v>-91018.503613513574</v>
      </c>
      <c r="H244" s="559">
        <f t="shared" si="10"/>
        <v>72350.87320668294</v>
      </c>
      <c r="I244" s="241">
        <v>19269.090970385281</v>
      </c>
      <c r="J244" s="561">
        <f>Synthèse!H243</f>
        <v>23260.616739693243</v>
      </c>
      <c r="K244" s="561">
        <f t="shared" si="11"/>
        <v>3991.525769307962</v>
      </c>
    </row>
    <row r="245" spans="1:11" s="244" customFormat="1" ht="15" x14ac:dyDescent="0.25">
      <c r="A245" s="85">
        <f>Données!A245</f>
        <v>5828</v>
      </c>
      <c r="B245" s="368" t="str">
        <f>Données!B245</f>
        <v>Treytorrens (Payerne)</v>
      </c>
      <c r="C245" s="241">
        <v>36437.252880957225</v>
      </c>
      <c r="D245" s="556">
        <f>Synthèse!G244</f>
        <v>44343.951667193513</v>
      </c>
      <c r="E245" s="557">
        <f t="shared" si="9"/>
        <v>7906.6987862362876</v>
      </c>
      <c r="F245" s="240">
        <v>-80110.423932091348</v>
      </c>
      <c r="G245" s="559">
        <f>Synthèse!F244</f>
        <v>-57903.096633689427</v>
      </c>
      <c r="H245" s="559">
        <f t="shared" si="10"/>
        <v>22207.32729840192</v>
      </c>
      <c r="I245" s="241">
        <v>7145.9201025730245</v>
      </c>
      <c r="J245" s="561">
        <f>Synthèse!H244</f>
        <v>8673.8867140021503</v>
      </c>
      <c r="K245" s="561">
        <f t="shared" si="11"/>
        <v>1527.9666114291258</v>
      </c>
    </row>
    <row r="246" spans="1:11" s="244" customFormat="1" ht="15" x14ac:dyDescent="0.25">
      <c r="A246" s="85">
        <f>Données!A246</f>
        <v>5830</v>
      </c>
      <c r="B246" s="368" t="str">
        <f>Données!B246</f>
        <v>Villarzel</v>
      </c>
      <c r="C246" s="241">
        <v>222942.56279242318</v>
      </c>
      <c r="D246" s="556">
        <f>Synthèse!G245</f>
        <v>177219.80843550578</v>
      </c>
      <c r="E246" s="557">
        <f t="shared" si="9"/>
        <v>-45722.754356917401</v>
      </c>
      <c r="F246" s="240">
        <v>-139465.37809414699</v>
      </c>
      <c r="G246" s="559">
        <f>Synthèse!F245</f>
        <v>-178636.22825388159</v>
      </c>
      <c r="H246" s="559">
        <f t="shared" si="10"/>
        <v>-39170.850159734604</v>
      </c>
      <c r="I246" s="241">
        <v>39520.561737623386</v>
      </c>
      <c r="J246" s="561">
        <f>Synthèse!H245</f>
        <v>37994.61292959001</v>
      </c>
      <c r="K246" s="561">
        <f t="shared" si="11"/>
        <v>-1525.9488080333758</v>
      </c>
    </row>
    <row r="247" spans="1:11" s="244" customFormat="1" ht="15" x14ac:dyDescent="0.25">
      <c r="A247" s="85">
        <f>Données!A247</f>
        <v>5831</v>
      </c>
      <c r="B247" s="368" t="str">
        <f>Données!B247</f>
        <v>Valbroye</v>
      </c>
      <c r="C247" s="241">
        <v>1475826.9075138685</v>
      </c>
      <c r="D247" s="556">
        <f>Synthèse!G246</f>
        <v>1736249.895080203</v>
      </c>
      <c r="E247" s="557">
        <f t="shared" si="9"/>
        <v>260422.98756633443</v>
      </c>
      <c r="F247" s="240">
        <v>-1616842.3828190553</v>
      </c>
      <c r="G247" s="559">
        <f>Synthèse!F246</f>
        <v>-1831678.1073412248</v>
      </c>
      <c r="H247" s="559">
        <f t="shared" si="10"/>
        <v>-214835.72452216945</v>
      </c>
      <c r="I247" s="241">
        <v>261109.48862425482</v>
      </c>
      <c r="J247" s="561">
        <f>Synthèse!H246</f>
        <v>262685.02532833337</v>
      </c>
      <c r="K247" s="561">
        <f t="shared" si="11"/>
        <v>1575.5367040785495</v>
      </c>
    </row>
    <row r="248" spans="1:11" s="244" customFormat="1" ht="15" x14ac:dyDescent="0.25">
      <c r="A248" s="85">
        <f>Données!A248</f>
        <v>5841</v>
      </c>
      <c r="B248" s="368" t="str">
        <f>Données!B248</f>
        <v>Château-d'Oex</v>
      </c>
      <c r="C248" s="241">
        <v>2401762.3184608277</v>
      </c>
      <c r="D248" s="556">
        <f>Synthèse!G247</f>
        <v>2560631.8825317081</v>
      </c>
      <c r="E248" s="557">
        <f t="shared" si="9"/>
        <v>158869.56407088041</v>
      </c>
      <c r="F248" s="240">
        <v>-2448689.613057741</v>
      </c>
      <c r="G248" s="559">
        <f>Synthèse!F247</f>
        <v>-2212278.1680751462</v>
      </c>
      <c r="H248" s="559">
        <f t="shared" si="10"/>
        <v>236411.44498259481</v>
      </c>
      <c r="I248" s="241">
        <v>332635.97178505512</v>
      </c>
      <c r="J248" s="561">
        <f>Synthèse!H247</f>
        <v>367761.30342499388</v>
      </c>
      <c r="K248" s="561">
        <f t="shared" si="11"/>
        <v>35125.331639938755</v>
      </c>
    </row>
    <row r="249" spans="1:11" s="244" customFormat="1" ht="15" x14ac:dyDescent="0.25">
      <c r="A249" s="85">
        <f>Données!A249</f>
        <v>5842</v>
      </c>
      <c r="B249" s="368" t="str">
        <f>Données!B249</f>
        <v>Rossinière</v>
      </c>
      <c r="C249" s="241">
        <v>247881.84913167791</v>
      </c>
      <c r="D249" s="556">
        <f>Synthèse!G248</f>
        <v>242417.67232519324</v>
      </c>
      <c r="E249" s="557">
        <f t="shared" si="9"/>
        <v>-5464.1768064846692</v>
      </c>
      <c r="F249" s="240">
        <v>-439331.01040622295</v>
      </c>
      <c r="G249" s="559">
        <f>Synthèse!F248</f>
        <v>-320032.17473595339</v>
      </c>
      <c r="H249" s="559">
        <f t="shared" si="10"/>
        <v>119298.83567026956</v>
      </c>
      <c r="I249" s="241">
        <v>45355.391899022026</v>
      </c>
      <c r="J249" s="561">
        <f>Synthèse!H248</f>
        <v>49975.441124579957</v>
      </c>
      <c r="K249" s="561">
        <f t="shared" si="11"/>
        <v>4620.0492255579302</v>
      </c>
    </row>
    <row r="250" spans="1:11" s="244" customFormat="1" ht="15" x14ac:dyDescent="0.25">
      <c r="A250" s="85">
        <f>Données!A250</f>
        <v>5843</v>
      </c>
      <c r="B250" s="368" t="str">
        <f>Données!B250</f>
        <v>Rougemont</v>
      </c>
      <c r="C250" s="241">
        <v>3844645.3763237428</v>
      </c>
      <c r="D250" s="556">
        <f>Synthèse!G249</f>
        <v>3419525.5724560078</v>
      </c>
      <c r="E250" s="557">
        <f t="shared" si="9"/>
        <v>-425119.80386773497</v>
      </c>
      <c r="F250" s="240">
        <v>1613916.4438868575</v>
      </c>
      <c r="G250" s="559">
        <f>Synthèse!F249</f>
        <v>1507708.7609348595</v>
      </c>
      <c r="H250" s="559">
        <f t="shared" si="10"/>
        <v>-106207.68295199797</v>
      </c>
      <c r="I250" s="241">
        <v>203286.17322827954</v>
      </c>
      <c r="J250" s="561">
        <f>Synthèse!H249</f>
        <v>179694.75830373279</v>
      </c>
      <c r="K250" s="561">
        <f t="shared" si="11"/>
        <v>-23591.414924546756</v>
      </c>
    </row>
    <row r="251" spans="1:11" s="244" customFormat="1" ht="15" x14ac:dyDescent="0.25">
      <c r="A251" s="85">
        <f>Données!A251</f>
        <v>5851</v>
      </c>
      <c r="B251" s="368" t="str">
        <f>Données!B251</f>
        <v>Allaman</v>
      </c>
      <c r="C251" s="241">
        <v>422619.99793361069</v>
      </c>
      <c r="D251" s="556">
        <f>Synthèse!G250</f>
        <v>651775.23427053064</v>
      </c>
      <c r="E251" s="557">
        <f t="shared" si="9"/>
        <v>229155.23633691994</v>
      </c>
      <c r="F251" s="240">
        <v>410182.27052528388</v>
      </c>
      <c r="G251" s="559">
        <f>Synthèse!F250</f>
        <v>409659.3157465494</v>
      </c>
      <c r="H251" s="559">
        <f t="shared" si="10"/>
        <v>-522.95477873447817</v>
      </c>
      <c r="I251" s="241">
        <v>69062.264882175048</v>
      </c>
      <c r="J251" s="561">
        <f>Synthèse!H250</f>
        <v>66609.910791862392</v>
      </c>
      <c r="K251" s="561">
        <f t="shared" si="11"/>
        <v>-2452.3540903126559</v>
      </c>
    </row>
    <row r="252" spans="1:11" s="244" customFormat="1" ht="15" x14ac:dyDescent="0.25">
      <c r="A252" s="85">
        <f>Données!A252</f>
        <v>5852</v>
      </c>
      <c r="B252" s="368" t="str">
        <f>Données!B252</f>
        <v>Bursinel</v>
      </c>
      <c r="C252" s="241">
        <v>1002815.8507867656</v>
      </c>
      <c r="D252" s="556">
        <f>Synthèse!G251</f>
        <v>709753.74128351558</v>
      </c>
      <c r="E252" s="557">
        <f t="shared" si="9"/>
        <v>-293062.10950324999</v>
      </c>
      <c r="F252" s="240">
        <v>718813.05484437314</v>
      </c>
      <c r="G252" s="559">
        <f>Synthèse!F251</f>
        <v>616667.04788527929</v>
      </c>
      <c r="H252" s="559">
        <f t="shared" si="10"/>
        <v>-102146.00695909385</v>
      </c>
      <c r="I252" s="241">
        <v>94382.177187022142</v>
      </c>
      <c r="J252" s="561">
        <f>Synthèse!H251</f>
        <v>87004.310061708704</v>
      </c>
      <c r="K252" s="561">
        <f t="shared" si="11"/>
        <v>-7377.867125313438</v>
      </c>
    </row>
    <row r="253" spans="1:11" s="244" customFormat="1" ht="15" x14ac:dyDescent="0.25">
      <c r="A253" s="85">
        <f>Données!A253</f>
        <v>5853</v>
      </c>
      <c r="B253" s="368" t="str">
        <f>Données!B253</f>
        <v>Bursins</v>
      </c>
      <c r="C253" s="241">
        <v>1035809.467102922</v>
      </c>
      <c r="D253" s="556">
        <f>Synthèse!G252</f>
        <v>1115170.0512673641</v>
      </c>
      <c r="E253" s="557">
        <f t="shared" si="9"/>
        <v>79360.584164442029</v>
      </c>
      <c r="F253" s="240">
        <v>704246.76972662122</v>
      </c>
      <c r="G253" s="559">
        <f>Synthèse!F252</f>
        <v>809988.18655795162</v>
      </c>
      <c r="H253" s="559">
        <f t="shared" si="10"/>
        <v>105741.4168313304</v>
      </c>
      <c r="I253" s="241">
        <v>120030.75247183537</v>
      </c>
      <c r="J253" s="561">
        <f>Synthèse!H252</f>
        <v>124524.49345772414</v>
      </c>
      <c r="K253" s="561">
        <f t="shared" si="11"/>
        <v>4493.7409858887695</v>
      </c>
    </row>
    <row r="254" spans="1:11" s="244" customFormat="1" ht="15" x14ac:dyDescent="0.25">
      <c r="A254" s="85">
        <f>Données!A254</f>
        <v>5854</v>
      </c>
      <c r="B254" s="368" t="str">
        <f>Données!B254</f>
        <v>Burtigny</v>
      </c>
      <c r="C254" s="241">
        <v>217841.81110596919</v>
      </c>
      <c r="D254" s="556">
        <f>Synthèse!G253</f>
        <v>234538.9989034071</v>
      </c>
      <c r="E254" s="557">
        <f t="shared" si="9"/>
        <v>16697.187797437917</v>
      </c>
      <c r="F254" s="240">
        <v>-81534.569436403282</v>
      </c>
      <c r="G254" s="559">
        <f>Synthèse!F253</f>
        <v>87196.739574304724</v>
      </c>
      <c r="H254" s="559">
        <f t="shared" si="10"/>
        <v>168731.30901070801</v>
      </c>
      <c r="I254" s="241">
        <v>33593.581807249138</v>
      </c>
      <c r="J254" s="561">
        <f>Synthèse!H253</f>
        <v>46439.160606721336</v>
      </c>
      <c r="K254" s="561">
        <f t="shared" si="11"/>
        <v>12845.578799472198</v>
      </c>
    </row>
    <row r="255" spans="1:11" s="244" customFormat="1" ht="15" x14ac:dyDescent="0.25">
      <c r="A255" s="85">
        <f>Données!A255</f>
        <v>5855</v>
      </c>
      <c r="B255" s="368" t="str">
        <f>Données!B255</f>
        <v>Dully</v>
      </c>
      <c r="C255" s="241">
        <v>3210518.087392644</v>
      </c>
      <c r="D255" s="556">
        <f>Synthèse!G254</f>
        <v>2747678.7941225804</v>
      </c>
      <c r="E255" s="557">
        <f t="shared" si="9"/>
        <v>-462839.29327006359</v>
      </c>
      <c r="F255" s="240">
        <v>1770670.0522068823</v>
      </c>
      <c r="G255" s="559">
        <f>Synthèse!F254</f>
        <v>1497235.0930044297</v>
      </c>
      <c r="H255" s="559">
        <f t="shared" si="10"/>
        <v>-273434.95920245256</v>
      </c>
      <c r="I255" s="241">
        <v>180305.14226546002</v>
      </c>
      <c r="J255" s="561">
        <f>Synthèse!H254</f>
        <v>153821.2395904882</v>
      </c>
      <c r="K255" s="561">
        <f t="shared" si="11"/>
        <v>-26483.902674971818</v>
      </c>
    </row>
    <row r="256" spans="1:11" s="244" customFormat="1" ht="15" x14ac:dyDescent="0.25">
      <c r="A256" s="85">
        <f>Données!A256</f>
        <v>5856</v>
      </c>
      <c r="B256" s="368" t="str">
        <f>Données!B256</f>
        <v>Essertines-sur-Rolle</v>
      </c>
      <c r="C256" s="241">
        <v>681767.99383247539</v>
      </c>
      <c r="D256" s="556">
        <f>Synthèse!G255</f>
        <v>532797.66217389866</v>
      </c>
      <c r="E256" s="557">
        <f t="shared" si="9"/>
        <v>-148970.33165857673</v>
      </c>
      <c r="F256" s="240">
        <v>592338.77456294443</v>
      </c>
      <c r="G256" s="559">
        <f>Synthèse!F255</f>
        <v>600436.36256078968</v>
      </c>
      <c r="H256" s="559">
        <f t="shared" si="10"/>
        <v>8097.5879978452576</v>
      </c>
      <c r="I256" s="241">
        <v>109095.29859106937</v>
      </c>
      <c r="J256" s="561">
        <f>Synthèse!H255</f>
        <v>109846.97332273579</v>
      </c>
      <c r="K256" s="561">
        <f t="shared" si="11"/>
        <v>751.67473166642594</v>
      </c>
    </row>
    <row r="257" spans="1:11" s="244" customFormat="1" ht="15" x14ac:dyDescent="0.25">
      <c r="A257" s="85">
        <f>Données!A257</f>
        <v>5857</v>
      </c>
      <c r="B257" s="368" t="str">
        <f>Données!B257</f>
        <v>Gilly</v>
      </c>
      <c r="C257" s="241">
        <v>1568081.3958783688</v>
      </c>
      <c r="D257" s="556">
        <f>Synthèse!G256</f>
        <v>1496976.968605753</v>
      </c>
      <c r="E257" s="557">
        <f t="shared" si="9"/>
        <v>-71104.427272615721</v>
      </c>
      <c r="F257" s="240">
        <v>1300883.3307934604</v>
      </c>
      <c r="G257" s="559">
        <f>Synthèse!F256</f>
        <v>1369883.388164517</v>
      </c>
      <c r="H257" s="559">
        <f t="shared" si="10"/>
        <v>69000.057371056639</v>
      </c>
      <c r="I257" s="241">
        <v>227629.96584868699</v>
      </c>
      <c r="J257" s="561">
        <f>Synthèse!H256</f>
        <v>231637.38495794166</v>
      </c>
      <c r="K257" s="561">
        <f t="shared" si="11"/>
        <v>4007.419109254668</v>
      </c>
    </row>
    <row r="258" spans="1:11" s="244" customFormat="1" ht="15" x14ac:dyDescent="0.25">
      <c r="A258" s="85">
        <f>Données!A258</f>
        <v>5858</v>
      </c>
      <c r="B258" s="368" t="str">
        <f>Données!B258</f>
        <v>Luins</v>
      </c>
      <c r="C258" s="241">
        <v>818468.91070685931</v>
      </c>
      <c r="D258" s="556">
        <f>Synthèse!G257</f>
        <v>831881.2314557163</v>
      </c>
      <c r="E258" s="557">
        <f t="shared" si="9"/>
        <v>13412.32074885699</v>
      </c>
      <c r="F258" s="240">
        <v>694814.75318383495</v>
      </c>
      <c r="G258" s="559">
        <f>Synthèse!F257</f>
        <v>707204.45021051937</v>
      </c>
      <c r="H258" s="559">
        <f t="shared" si="10"/>
        <v>12389.697026684415</v>
      </c>
      <c r="I258" s="241">
        <v>104714.83133503064</v>
      </c>
      <c r="J258" s="561">
        <f>Synthèse!H257</f>
        <v>103781.2352978994</v>
      </c>
      <c r="K258" s="561">
        <f t="shared" si="11"/>
        <v>-933.59603713123943</v>
      </c>
    </row>
    <row r="259" spans="1:11" s="244" customFormat="1" ht="15" x14ac:dyDescent="0.25">
      <c r="A259" s="85">
        <f>Données!A259</f>
        <v>5859</v>
      </c>
      <c r="B259" s="368" t="str">
        <f>Données!B259</f>
        <v>Mont-sur-Rolle</v>
      </c>
      <c r="C259" s="241">
        <v>2807899.5196483806</v>
      </c>
      <c r="D259" s="556">
        <f>Synthèse!G258</f>
        <v>2865493.7940131202</v>
      </c>
      <c r="E259" s="557">
        <f t="shared" si="9"/>
        <v>57594.274364739656</v>
      </c>
      <c r="F259" s="240">
        <v>2109804.9572329796</v>
      </c>
      <c r="G259" s="559">
        <f>Synthèse!F258</f>
        <v>2034816.7026584947</v>
      </c>
      <c r="H259" s="559">
        <f t="shared" si="10"/>
        <v>-74988.25457448489</v>
      </c>
      <c r="I259" s="241">
        <v>414338.70605599892</v>
      </c>
      <c r="J259" s="561">
        <f>Synthèse!H258</f>
        <v>433429.84968479321</v>
      </c>
      <c r="K259" s="561">
        <f t="shared" si="11"/>
        <v>19091.143628794292</v>
      </c>
    </row>
    <row r="260" spans="1:11" s="244" customFormat="1" ht="15" x14ac:dyDescent="0.25">
      <c r="A260" s="85">
        <f>Données!A260</f>
        <v>5860</v>
      </c>
      <c r="B260" s="368" t="str">
        <f>Données!B260</f>
        <v>Perroy</v>
      </c>
      <c r="C260" s="241">
        <v>2626799.884191114</v>
      </c>
      <c r="D260" s="556">
        <f>Synthèse!G259</f>
        <v>2979929.7880635951</v>
      </c>
      <c r="E260" s="557">
        <f t="shared" si="9"/>
        <v>353129.90387248108</v>
      </c>
      <c r="F260" s="240">
        <v>1807080.7812333768</v>
      </c>
      <c r="G260" s="559">
        <f>Synthèse!F259</f>
        <v>2205977.8431560956</v>
      </c>
      <c r="H260" s="559">
        <f t="shared" si="10"/>
        <v>398897.06192271877</v>
      </c>
      <c r="I260" s="241">
        <v>271567.07306409802</v>
      </c>
      <c r="J260" s="561">
        <f>Synthèse!H259</f>
        <v>293972.08199955593</v>
      </c>
      <c r="K260" s="561">
        <f t="shared" si="11"/>
        <v>22405.00893545791</v>
      </c>
    </row>
    <row r="261" spans="1:11" s="244" customFormat="1" ht="15" x14ac:dyDescent="0.25">
      <c r="A261" s="85">
        <f>Données!A261</f>
        <v>5861</v>
      </c>
      <c r="B261" s="368" t="str">
        <f>Données!B261</f>
        <v>Rolle</v>
      </c>
      <c r="C261" s="241">
        <v>18958156.103000596</v>
      </c>
      <c r="D261" s="556">
        <f>Synthèse!G260</f>
        <v>25974537.728571642</v>
      </c>
      <c r="E261" s="557">
        <f t="shared" si="9"/>
        <v>7016381.625571046</v>
      </c>
      <c r="F261" s="240">
        <v>10156807.896486778</v>
      </c>
      <c r="G261" s="559">
        <f>Synthèse!F260</f>
        <v>14457234.057317339</v>
      </c>
      <c r="H261" s="559">
        <f t="shared" si="10"/>
        <v>4300426.1608305611</v>
      </c>
      <c r="I261" s="241">
        <v>1390646.8167758686</v>
      </c>
      <c r="J261" s="561">
        <f>Synthèse!H260</f>
        <v>1623937.801553925</v>
      </c>
      <c r="K261" s="561">
        <f t="shared" si="11"/>
        <v>233290.98477805639</v>
      </c>
    </row>
    <row r="262" spans="1:11" s="244" customFormat="1" ht="15" x14ac:dyDescent="0.25">
      <c r="A262" s="85">
        <f>Données!A262</f>
        <v>5862</v>
      </c>
      <c r="B262" s="368" t="str">
        <f>Données!B262</f>
        <v>Tartegnin</v>
      </c>
      <c r="C262" s="241">
        <v>120493.27755178236</v>
      </c>
      <c r="D262" s="556">
        <f>Synthèse!G261</f>
        <v>203644.96017612721</v>
      </c>
      <c r="E262" s="557">
        <f t="shared" si="9"/>
        <v>83151.682624344845</v>
      </c>
      <c r="F262" s="240">
        <v>55897.236944080767</v>
      </c>
      <c r="G262" s="559">
        <f>Synthèse!F261</f>
        <v>123812.95331133172</v>
      </c>
      <c r="H262" s="559">
        <f t="shared" si="10"/>
        <v>67915.716367250949</v>
      </c>
      <c r="I262" s="241">
        <v>25399.184938268831</v>
      </c>
      <c r="J262" s="561">
        <f>Synthèse!H261</f>
        <v>31703.385677293889</v>
      </c>
      <c r="K262" s="561">
        <f t="shared" si="11"/>
        <v>6304.2007390250583</v>
      </c>
    </row>
    <row r="263" spans="1:11" s="244" customFormat="1" ht="15" x14ac:dyDescent="0.25">
      <c r="A263" s="85">
        <f>Données!A263</f>
        <v>5863</v>
      </c>
      <c r="B263" s="368" t="str">
        <f>Données!B263</f>
        <v>Vinzel</v>
      </c>
      <c r="C263" s="241">
        <v>437076.87342722033</v>
      </c>
      <c r="D263" s="556">
        <f>Synthèse!G262</f>
        <v>443779.29303500429</v>
      </c>
      <c r="E263" s="557">
        <f t="shared" ref="E263:E305" si="12">D263-C263</f>
        <v>6702.4196077839588</v>
      </c>
      <c r="F263" s="240">
        <v>372211.14007520908</v>
      </c>
      <c r="G263" s="559">
        <f>Synthèse!F262</f>
        <v>403609.08636874612</v>
      </c>
      <c r="H263" s="559">
        <f t="shared" ref="H263:H305" si="13">G263-F263</f>
        <v>31397.946293537039</v>
      </c>
      <c r="I263" s="241">
        <v>61082.429901912052</v>
      </c>
      <c r="J263" s="561">
        <f>Synthèse!H262</f>
        <v>61690.335079939083</v>
      </c>
      <c r="K263" s="561">
        <f t="shared" ref="K263:K305" si="14">J263-I263</f>
        <v>607.90517802703107</v>
      </c>
    </row>
    <row r="264" spans="1:11" s="244" customFormat="1" ht="15" x14ac:dyDescent="0.25">
      <c r="A264" s="85">
        <f>Données!A264</f>
        <v>5871</v>
      </c>
      <c r="B264" s="368" t="str">
        <f>Données!B264</f>
        <v>L'Abbaye</v>
      </c>
      <c r="C264" s="241">
        <v>1082999.4493742674</v>
      </c>
      <c r="D264" s="556">
        <f>Synthèse!G263</f>
        <v>981647.33677440952</v>
      </c>
      <c r="E264" s="557">
        <f t="shared" si="12"/>
        <v>-101352.11259985785</v>
      </c>
      <c r="F264" s="240">
        <v>-135373.99394409743</v>
      </c>
      <c r="G264" s="559">
        <f>Synthèse!F263</f>
        <v>-366411.95463383233</v>
      </c>
      <c r="H264" s="559">
        <f t="shared" si="13"/>
        <v>-231037.9606897349</v>
      </c>
      <c r="I264" s="241">
        <v>155841.81832175713</v>
      </c>
      <c r="J264" s="561">
        <f>Synthèse!H263</f>
        <v>152006.54988193297</v>
      </c>
      <c r="K264" s="561">
        <f t="shared" si="14"/>
        <v>-3835.268439824169</v>
      </c>
    </row>
    <row r="265" spans="1:11" s="244" customFormat="1" ht="15" x14ac:dyDescent="0.25">
      <c r="A265" s="85">
        <f>Données!A265</f>
        <v>5872</v>
      </c>
      <c r="B265" s="368" t="str">
        <f>Données!B265</f>
        <v>Le Chenit</v>
      </c>
      <c r="C265" s="241">
        <v>7516352.5254265564</v>
      </c>
      <c r="D265" s="556">
        <f>Synthèse!G264</f>
        <v>8024401.7228835411</v>
      </c>
      <c r="E265" s="557">
        <f t="shared" si="12"/>
        <v>508049.19745698478</v>
      </c>
      <c r="F265" s="240">
        <v>1334297.8029996166</v>
      </c>
      <c r="G265" s="559">
        <f>Synthèse!F264</f>
        <v>3182983.6636757837</v>
      </c>
      <c r="H265" s="559">
        <f t="shared" si="13"/>
        <v>1848685.8606761671</v>
      </c>
      <c r="I265" s="241">
        <v>693823.09713235823</v>
      </c>
      <c r="J265" s="561">
        <f>Synthèse!H264</f>
        <v>786255.79892344167</v>
      </c>
      <c r="K265" s="561">
        <f t="shared" si="14"/>
        <v>92432.70179108344</v>
      </c>
    </row>
    <row r="266" spans="1:11" s="244" customFormat="1" ht="15" x14ac:dyDescent="0.25">
      <c r="A266" s="85">
        <f>Données!A266</f>
        <v>5873</v>
      </c>
      <c r="B266" s="368" t="str">
        <f>Données!B266</f>
        <v>Le Lieu</v>
      </c>
      <c r="C266" s="241">
        <v>814236.1888927645</v>
      </c>
      <c r="D266" s="556">
        <f>Synthèse!G265</f>
        <v>798054.38541887258</v>
      </c>
      <c r="E266" s="557">
        <f t="shared" si="12"/>
        <v>-16181.803473891923</v>
      </c>
      <c r="F266" s="240">
        <v>-428140.8636530576</v>
      </c>
      <c r="G266" s="559">
        <f>Synthèse!F265</f>
        <v>-254952.36191839806</v>
      </c>
      <c r="H266" s="559">
        <f t="shared" si="13"/>
        <v>173188.50173465954</v>
      </c>
      <c r="I266" s="241">
        <v>96041.394619758503</v>
      </c>
      <c r="J266" s="561">
        <f>Synthèse!H265</f>
        <v>107643.21507008624</v>
      </c>
      <c r="K266" s="561">
        <f t="shared" si="14"/>
        <v>11601.820450327737</v>
      </c>
    </row>
    <row r="267" spans="1:11" s="244" customFormat="1" ht="15" x14ac:dyDescent="0.25">
      <c r="A267" s="85">
        <f>Données!A267</f>
        <v>5882</v>
      </c>
      <c r="B267" s="368" t="str">
        <f>Données!B267</f>
        <v>Chardonne</v>
      </c>
      <c r="C267" s="241">
        <v>3778502.3040583511</v>
      </c>
      <c r="D267" s="556">
        <f>Synthèse!G266</f>
        <v>4668750.5931912474</v>
      </c>
      <c r="E267" s="557">
        <f t="shared" si="12"/>
        <v>890248.28913289635</v>
      </c>
      <c r="F267" s="240">
        <v>2179674.9264754197</v>
      </c>
      <c r="G267" s="559">
        <f>Synthèse!F266</f>
        <v>2635620.4846002255</v>
      </c>
      <c r="H267" s="559">
        <f t="shared" si="13"/>
        <v>455945.5581248058</v>
      </c>
      <c r="I267" s="241">
        <v>231498.88108384336</v>
      </c>
      <c r="J267" s="561">
        <f>Synthèse!H266</f>
        <v>238143.31278440508</v>
      </c>
      <c r="K267" s="561">
        <f t="shared" si="14"/>
        <v>6644.4317005617195</v>
      </c>
    </row>
    <row r="268" spans="1:11" s="244" customFormat="1" ht="15" x14ac:dyDescent="0.25">
      <c r="A268" s="85">
        <f>Données!A268</f>
        <v>5883</v>
      </c>
      <c r="B268" s="368" t="str">
        <f>Données!B268</f>
        <v>Corseaux</v>
      </c>
      <c r="C268" s="241">
        <v>4024806.9164949637</v>
      </c>
      <c r="D268" s="556">
        <f>Synthèse!G267</f>
        <v>4194752.2399904486</v>
      </c>
      <c r="E268" s="557">
        <f t="shared" si="12"/>
        <v>169945.32349548489</v>
      </c>
      <c r="F268" s="240">
        <v>2635946.8514592755</v>
      </c>
      <c r="G268" s="559">
        <f>Synthèse!F267</f>
        <v>2857261.1693385011</v>
      </c>
      <c r="H268" s="559">
        <f t="shared" si="13"/>
        <v>221314.31787922559</v>
      </c>
      <c r="I268" s="241">
        <v>217071.05269615201</v>
      </c>
      <c r="J268" s="561">
        <f>Synthèse!H267</f>
        <v>213520.47458738787</v>
      </c>
      <c r="K268" s="561">
        <f t="shared" si="14"/>
        <v>-3550.5781087641371</v>
      </c>
    </row>
    <row r="269" spans="1:11" s="244" customFormat="1" ht="15" x14ac:dyDescent="0.25">
      <c r="A269" s="85">
        <f>Données!A269</f>
        <v>5884</v>
      </c>
      <c r="B269" s="368" t="str">
        <f>Données!B269</f>
        <v>Corsier-sur-Vevey</v>
      </c>
      <c r="C269" s="241">
        <v>2187084.5445544389</v>
      </c>
      <c r="D269" s="556">
        <f>Synthèse!G268</f>
        <v>2179525.857720268</v>
      </c>
      <c r="E269" s="557">
        <f t="shared" si="12"/>
        <v>-7558.6868341709487</v>
      </c>
      <c r="F269" s="240">
        <v>-631558.40129250148</v>
      </c>
      <c r="G269" s="559">
        <f>Synthèse!F268</f>
        <v>-589524.2084794743</v>
      </c>
      <c r="H269" s="559">
        <f t="shared" si="13"/>
        <v>42034.192813027184</v>
      </c>
      <c r="I269" s="241">
        <v>157868.56100321462</v>
      </c>
      <c r="J269" s="561">
        <f>Synthèse!H268</f>
        <v>151145.03041135176</v>
      </c>
      <c r="K269" s="561">
        <f t="shared" si="14"/>
        <v>-6723.5305918628583</v>
      </c>
    </row>
    <row r="270" spans="1:11" s="244" customFormat="1" ht="15" x14ac:dyDescent="0.25">
      <c r="A270" s="85">
        <f>Données!A270</f>
        <v>5885</v>
      </c>
      <c r="B270" s="368" t="str">
        <f>Données!B270</f>
        <v>Jongny</v>
      </c>
      <c r="C270" s="241">
        <v>1693135.3967362829</v>
      </c>
      <c r="D270" s="556">
        <f>Synthèse!G269</f>
        <v>1715598.455184927</v>
      </c>
      <c r="E270" s="557">
        <f t="shared" si="12"/>
        <v>22463.058448644122</v>
      </c>
      <c r="F270" s="240">
        <v>1199960.4590197303</v>
      </c>
      <c r="G270" s="559">
        <f>Synthèse!F269</f>
        <v>1495079.9656645195</v>
      </c>
      <c r="H270" s="559">
        <f t="shared" si="13"/>
        <v>295119.50664478913</v>
      </c>
      <c r="I270" s="241">
        <v>110066.44088232538</v>
      </c>
      <c r="J270" s="561">
        <f>Synthèse!H269</f>
        <v>122863.99858620347</v>
      </c>
      <c r="K270" s="561">
        <f t="shared" si="14"/>
        <v>12797.55770387809</v>
      </c>
    </row>
    <row r="271" spans="1:11" s="244" customFormat="1" ht="15" x14ac:dyDescent="0.25">
      <c r="A271" s="85">
        <f>Données!A271</f>
        <v>5886</v>
      </c>
      <c r="B271" s="368" t="str">
        <f>Données!B271</f>
        <v>Montreux</v>
      </c>
      <c r="C271" s="241">
        <v>27048804.826698348</v>
      </c>
      <c r="D271" s="556">
        <f>Synthèse!G270</f>
        <v>25094932.142651156</v>
      </c>
      <c r="E271" s="557">
        <f t="shared" si="12"/>
        <v>-1953872.6840471923</v>
      </c>
      <c r="F271" s="240">
        <v>-8578411.5030303597</v>
      </c>
      <c r="G271" s="559">
        <f>Synthèse!F270</f>
        <v>-8518134.4367927201</v>
      </c>
      <c r="H271" s="559">
        <f t="shared" si="13"/>
        <v>60277.066237639636</v>
      </c>
      <c r="I271" s="241">
        <v>1417587.0416191486</v>
      </c>
      <c r="J271" s="561">
        <f>Synthèse!H270</f>
        <v>1361073.9242013316</v>
      </c>
      <c r="K271" s="561">
        <f t="shared" si="14"/>
        <v>-56513.117417817004</v>
      </c>
    </row>
    <row r="272" spans="1:11" s="244" customFormat="1" ht="15" x14ac:dyDescent="0.25">
      <c r="A272" s="85">
        <f>Données!A272</f>
        <v>5889</v>
      </c>
      <c r="B272" s="368" t="str">
        <f>Données!B272</f>
        <v>La Tour-de-Peilz</v>
      </c>
      <c r="C272" s="241">
        <v>13070739.758721873</v>
      </c>
      <c r="D272" s="556">
        <f>Synthèse!G271</f>
        <v>11933656.269641668</v>
      </c>
      <c r="E272" s="557">
        <f t="shared" si="12"/>
        <v>-1137083.4890802056</v>
      </c>
      <c r="F272" s="240">
        <v>5965670.1537680458</v>
      </c>
      <c r="G272" s="559">
        <f>Synthèse!F271</f>
        <v>5388774.1430298835</v>
      </c>
      <c r="H272" s="559">
        <f t="shared" si="13"/>
        <v>-576896.01073816232</v>
      </c>
      <c r="I272" s="241">
        <v>872324.93620260607</v>
      </c>
      <c r="J272" s="561">
        <f>Synthèse!H271</f>
        <v>837078.2225234746</v>
      </c>
      <c r="K272" s="561">
        <f t="shared" si="14"/>
        <v>-35246.71367913147</v>
      </c>
    </row>
    <row r="273" spans="1:11" s="244" customFormat="1" ht="15" x14ac:dyDescent="0.25">
      <c r="A273" s="85">
        <f>Données!A273</f>
        <v>5890</v>
      </c>
      <c r="B273" s="368" t="str">
        <f>Données!B273</f>
        <v>Vevey</v>
      </c>
      <c r="C273" s="241">
        <v>15931114.44996376</v>
      </c>
      <c r="D273" s="556">
        <f>Synthèse!G272</f>
        <v>14525590.975035099</v>
      </c>
      <c r="E273" s="557">
        <f t="shared" si="12"/>
        <v>-1405523.4749286603</v>
      </c>
      <c r="F273" s="240">
        <v>-3167868.1282731853</v>
      </c>
      <c r="G273" s="559">
        <f>Synthèse!F272</f>
        <v>-1105775.5412418358</v>
      </c>
      <c r="H273" s="559">
        <f t="shared" si="13"/>
        <v>2062092.5870313495</v>
      </c>
      <c r="I273" s="241">
        <v>1110834.0743694247</v>
      </c>
      <c r="J273" s="561">
        <f>Synthèse!H272</f>
        <v>1115532.0827637364</v>
      </c>
      <c r="K273" s="561">
        <f t="shared" si="14"/>
        <v>4698.0083943116479</v>
      </c>
    </row>
    <row r="274" spans="1:11" s="244" customFormat="1" ht="15" x14ac:dyDescent="0.25">
      <c r="A274" s="85">
        <f>Données!A274</f>
        <v>5891</v>
      </c>
      <c r="B274" s="368" t="str">
        <f>Données!B274</f>
        <v>Veytaux</v>
      </c>
      <c r="C274" s="241">
        <v>798917.5027145081</v>
      </c>
      <c r="D274" s="556">
        <f>Synthèse!G273</f>
        <v>777317.18002606207</v>
      </c>
      <c r="E274" s="557">
        <f t="shared" si="12"/>
        <v>-21600.322688446031</v>
      </c>
      <c r="F274" s="240">
        <v>262106.28047147219</v>
      </c>
      <c r="G274" s="559">
        <f>Synthèse!F273</f>
        <v>-153411.2623168783</v>
      </c>
      <c r="H274" s="559">
        <f t="shared" si="13"/>
        <v>-415517.54278835049</v>
      </c>
      <c r="I274" s="241">
        <v>56830.789847713218</v>
      </c>
      <c r="J274" s="561">
        <f>Synthèse!H273</f>
        <v>48528.007581882026</v>
      </c>
      <c r="K274" s="561">
        <f t="shared" si="14"/>
        <v>-8302.7822658311925</v>
      </c>
    </row>
    <row r="275" spans="1:11" s="244" customFormat="1" ht="15" x14ac:dyDescent="0.25">
      <c r="A275" s="85">
        <f>Données!A275</f>
        <v>5892</v>
      </c>
      <c r="B275" s="368" t="str">
        <f>Données!B275</f>
        <v>Blonay-Saint-Légier</v>
      </c>
      <c r="C275" s="241">
        <v>15372305.128163241</v>
      </c>
      <c r="D275" s="556">
        <f>Synthèse!G274</f>
        <v>14687008.031785043</v>
      </c>
      <c r="E275" s="557">
        <f t="shared" si="12"/>
        <v>-685297.09637819789</v>
      </c>
      <c r="F275" s="240">
        <v>4903911.2892067935</v>
      </c>
      <c r="G275" s="559">
        <f>Synthèse!F274</f>
        <v>5160751.5459853187</v>
      </c>
      <c r="H275" s="559">
        <f t="shared" si="13"/>
        <v>256840.25677852519</v>
      </c>
      <c r="I275" s="241">
        <v>896526.50563557749</v>
      </c>
      <c r="J275" s="561">
        <f>Synthèse!H274</f>
        <v>884947.56594850775</v>
      </c>
      <c r="K275" s="561">
        <f t="shared" si="14"/>
        <v>-11578.939687069738</v>
      </c>
    </row>
    <row r="276" spans="1:11" s="244" customFormat="1" ht="15" x14ac:dyDescent="0.25">
      <c r="A276" s="85">
        <f>Données!A276</f>
        <v>5902</v>
      </c>
      <c r="B276" s="368" t="str">
        <f>Données!B276</f>
        <v>Belmont-sur-Yverdon</v>
      </c>
      <c r="C276" s="241">
        <v>255356.76077556648</v>
      </c>
      <c r="D276" s="556">
        <f>Synthèse!G275</f>
        <v>180009.93021881508</v>
      </c>
      <c r="E276" s="557">
        <f t="shared" si="12"/>
        <v>-75346.830556751403</v>
      </c>
      <c r="F276" s="240">
        <v>42420.295669763349</v>
      </c>
      <c r="G276" s="559">
        <f>Synthèse!F275</f>
        <v>-13059.224287819292</v>
      </c>
      <c r="H276" s="559">
        <f t="shared" si="13"/>
        <v>-55479.519957582641</v>
      </c>
      <c r="I276" s="241">
        <v>36975.948575247086</v>
      </c>
      <c r="J276" s="561">
        <f>Synthèse!H275</f>
        <v>35909.744075899354</v>
      </c>
      <c r="K276" s="561">
        <f t="shared" si="14"/>
        <v>-1066.2044993477321</v>
      </c>
    </row>
    <row r="277" spans="1:11" s="244" customFormat="1" ht="15" x14ac:dyDescent="0.25">
      <c r="A277" s="85">
        <f>Données!A277</f>
        <v>5903</v>
      </c>
      <c r="B277" s="368" t="str">
        <f>Données!B277</f>
        <v>Bioley-Magnoux</v>
      </c>
      <c r="C277" s="241">
        <v>84297.915577715961</v>
      </c>
      <c r="D277" s="556">
        <f>Synthèse!G276</f>
        <v>92920.547131995147</v>
      </c>
      <c r="E277" s="557">
        <f t="shared" si="12"/>
        <v>8622.6315542791854</v>
      </c>
      <c r="F277" s="240">
        <v>-187182.4592605705</v>
      </c>
      <c r="G277" s="559">
        <f>Synthèse!F276</f>
        <v>-173264.19277887268</v>
      </c>
      <c r="H277" s="559">
        <f t="shared" si="13"/>
        <v>13918.266481697821</v>
      </c>
      <c r="I277" s="241">
        <v>15527.234974707026</v>
      </c>
      <c r="J277" s="561">
        <f>Synthèse!H276</f>
        <v>18861.559448451022</v>
      </c>
      <c r="K277" s="561">
        <f t="shared" si="14"/>
        <v>3334.3244737439964</v>
      </c>
    </row>
    <row r="278" spans="1:11" s="244" customFormat="1" ht="15" x14ac:dyDescent="0.25">
      <c r="A278" s="85">
        <f>Données!A278</f>
        <v>5904</v>
      </c>
      <c r="B278" s="368" t="str">
        <f>Données!B278</f>
        <v>Chamblon</v>
      </c>
      <c r="C278" s="241">
        <v>363179.60977222293</v>
      </c>
      <c r="D278" s="556">
        <f>Synthèse!G277</f>
        <v>290813.27755937184</v>
      </c>
      <c r="E278" s="557">
        <f t="shared" si="12"/>
        <v>-72366.332212851092</v>
      </c>
      <c r="F278" s="240">
        <v>274581.16069922596</v>
      </c>
      <c r="G278" s="559">
        <f>Synthèse!F277</f>
        <v>138399.77222116801</v>
      </c>
      <c r="H278" s="559">
        <f t="shared" si="13"/>
        <v>-136181.38847805795</v>
      </c>
      <c r="I278" s="241">
        <v>28056.728298196562</v>
      </c>
      <c r="J278" s="561">
        <f>Synthèse!H277</f>
        <v>22297.063200247056</v>
      </c>
      <c r="K278" s="561">
        <f t="shared" si="14"/>
        <v>-5759.6650979495062</v>
      </c>
    </row>
    <row r="279" spans="1:11" s="244" customFormat="1" ht="15" x14ac:dyDescent="0.25">
      <c r="A279" s="85">
        <f>Données!A279</f>
        <v>5905</v>
      </c>
      <c r="B279" s="368" t="str">
        <f>Données!B279</f>
        <v>Champvent</v>
      </c>
      <c r="C279" s="241">
        <v>387376.37048031169</v>
      </c>
      <c r="D279" s="556">
        <f>Synthèse!G278</f>
        <v>354273.89380266372</v>
      </c>
      <c r="E279" s="557">
        <f t="shared" si="12"/>
        <v>-33102.476677647966</v>
      </c>
      <c r="F279" s="240">
        <v>27564.163895903446</v>
      </c>
      <c r="G279" s="559">
        <f>Synthèse!F278</f>
        <v>-40561.496765725082</v>
      </c>
      <c r="H279" s="559">
        <f t="shared" si="13"/>
        <v>-68125.660661628528</v>
      </c>
      <c r="I279" s="241">
        <v>68418.796288856916</v>
      </c>
      <c r="J279" s="561">
        <f>Synthèse!H278</f>
        <v>65271.127940327344</v>
      </c>
      <c r="K279" s="561">
        <f t="shared" si="14"/>
        <v>-3147.6683485295725</v>
      </c>
    </row>
    <row r="280" spans="1:11" s="244" customFormat="1" ht="15" x14ac:dyDescent="0.25">
      <c r="A280" s="85">
        <f>Données!A280</f>
        <v>5907</v>
      </c>
      <c r="B280" s="368" t="str">
        <f>Données!B280</f>
        <v>Chavannes-le-Chêne</v>
      </c>
      <c r="C280" s="241">
        <v>162558.07801747436</v>
      </c>
      <c r="D280" s="556">
        <f>Synthèse!G279</f>
        <v>132842.21839391062</v>
      </c>
      <c r="E280" s="557">
        <f t="shared" si="12"/>
        <v>-29715.859623563738</v>
      </c>
      <c r="F280" s="240">
        <v>-13104.32324196276</v>
      </c>
      <c r="G280" s="559">
        <f>Synthèse!F279</f>
        <v>-79440.266316746216</v>
      </c>
      <c r="H280" s="559">
        <f t="shared" si="13"/>
        <v>-66335.943074783456</v>
      </c>
      <c r="I280" s="241">
        <v>31317.491699957762</v>
      </c>
      <c r="J280" s="561">
        <f>Synthèse!H279</f>
        <v>25489.064886043336</v>
      </c>
      <c r="K280" s="561">
        <f t="shared" si="14"/>
        <v>-5828.426813914426</v>
      </c>
    </row>
    <row r="281" spans="1:11" s="244" customFormat="1" ht="15" x14ac:dyDescent="0.25">
      <c r="A281" s="85">
        <f>Données!A281</f>
        <v>5908</v>
      </c>
      <c r="B281" s="368" t="str">
        <f>Données!B281</f>
        <v>Chêne-Pâquier</v>
      </c>
      <c r="C281" s="241">
        <v>100657.38978678432</v>
      </c>
      <c r="D281" s="556">
        <f>Synthèse!G280</f>
        <v>69504.479143837962</v>
      </c>
      <c r="E281" s="557">
        <f t="shared" si="12"/>
        <v>-31152.910642946357</v>
      </c>
      <c r="F281" s="240">
        <v>7400.9029166845867</v>
      </c>
      <c r="G281" s="559">
        <f>Synthèse!F280</f>
        <v>-33618.023141107478</v>
      </c>
      <c r="H281" s="559">
        <f t="shared" si="13"/>
        <v>-41018.926057792065</v>
      </c>
      <c r="I281" s="241">
        <v>20651.409312057593</v>
      </c>
      <c r="J281" s="561">
        <f>Synthèse!H280</f>
        <v>15012.585822497109</v>
      </c>
      <c r="K281" s="561">
        <f t="shared" si="14"/>
        <v>-5638.8234895604837</v>
      </c>
    </row>
    <row r="282" spans="1:11" s="244" customFormat="1" ht="15" x14ac:dyDescent="0.25">
      <c r="A282" s="85">
        <f>Données!A282</f>
        <v>5909</v>
      </c>
      <c r="B282" s="368" t="str">
        <f>Données!B282</f>
        <v>Cheseaux-Noréaz</v>
      </c>
      <c r="C282" s="241">
        <v>688693.50062062067</v>
      </c>
      <c r="D282" s="556">
        <f>Synthèse!G281</f>
        <v>505662.89867759927</v>
      </c>
      <c r="E282" s="557">
        <f t="shared" si="12"/>
        <v>-183030.60194302141</v>
      </c>
      <c r="F282" s="240">
        <v>631675.3026138061</v>
      </c>
      <c r="G282" s="559">
        <f>Synthèse!F281</f>
        <v>482170.23582513729</v>
      </c>
      <c r="H282" s="559">
        <f t="shared" si="13"/>
        <v>-149505.0667886688</v>
      </c>
      <c r="I282" s="241">
        <v>50768.066992223925</v>
      </c>
      <c r="J282" s="561">
        <f>Synthèse!H281</f>
        <v>40343.870550098021</v>
      </c>
      <c r="K282" s="561">
        <f t="shared" si="14"/>
        <v>-10424.196442125904</v>
      </c>
    </row>
    <row r="283" spans="1:11" s="244" customFormat="1" ht="15" x14ac:dyDescent="0.25">
      <c r="A283" s="85">
        <f>Données!A283</f>
        <v>5910</v>
      </c>
      <c r="B283" s="368" t="str">
        <f>Données!B283</f>
        <v>Cronay</v>
      </c>
      <c r="C283" s="241">
        <v>140479.66932826876</v>
      </c>
      <c r="D283" s="556">
        <f>Synthèse!G282</f>
        <v>195764.04910569143</v>
      </c>
      <c r="E283" s="557">
        <f t="shared" si="12"/>
        <v>55284.37977742267</v>
      </c>
      <c r="F283" s="240">
        <v>-151568.49035773752</v>
      </c>
      <c r="G283" s="559">
        <f>Synthèse!F282</f>
        <v>-124530.4685823654</v>
      </c>
      <c r="H283" s="559">
        <f t="shared" si="13"/>
        <v>27038.021775372123</v>
      </c>
      <c r="I283" s="241">
        <v>31322.708408097868</v>
      </c>
      <c r="J283" s="561">
        <f>Synthèse!H282</f>
        <v>32045.452879934182</v>
      </c>
      <c r="K283" s="561">
        <f t="shared" si="14"/>
        <v>722.74447183631491</v>
      </c>
    </row>
    <row r="284" spans="1:11" s="244" customFormat="1" ht="15" x14ac:dyDescent="0.25">
      <c r="A284" s="85">
        <f>Données!A284</f>
        <v>5911</v>
      </c>
      <c r="B284" s="368" t="str">
        <f>Données!B284</f>
        <v>Cuarny</v>
      </c>
      <c r="C284" s="241">
        <v>102311.58497450544</v>
      </c>
      <c r="D284" s="556">
        <f>Synthèse!G283</f>
        <v>104284.72931159119</v>
      </c>
      <c r="E284" s="557">
        <f t="shared" si="12"/>
        <v>1973.1443370857451</v>
      </c>
      <c r="F284" s="240">
        <v>3814.9479653711605</v>
      </c>
      <c r="G284" s="559">
        <f>Synthèse!F283</f>
        <v>16961.816527916555</v>
      </c>
      <c r="H284" s="559">
        <f t="shared" si="13"/>
        <v>13146.868562545395</v>
      </c>
      <c r="I284" s="241">
        <v>21913.01718604302</v>
      </c>
      <c r="J284" s="561">
        <f>Synthèse!H283</f>
        <v>23221.746215499428</v>
      </c>
      <c r="K284" s="561">
        <f t="shared" si="14"/>
        <v>1308.7290294564082</v>
      </c>
    </row>
    <row r="285" spans="1:11" s="244" customFormat="1" ht="15" x14ac:dyDescent="0.25">
      <c r="A285" s="85">
        <f>Données!A285</f>
        <v>5912</v>
      </c>
      <c r="B285" s="368" t="str">
        <f>Données!B285</f>
        <v>Démoret</v>
      </c>
      <c r="C285" s="241">
        <v>70774.187685527868</v>
      </c>
      <c r="D285" s="556">
        <f>Synthèse!G284</f>
        <v>56130.271052917917</v>
      </c>
      <c r="E285" s="557">
        <f t="shared" si="12"/>
        <v>-14643.916632609951</v>
      </c>
      <c r="F285" s="240">
        <v>-37176.620279124312</v>
      </c>
      <c r="G285" s="559">
        <f>Synthèse!F284</f>
        <v>-95583.520411892256</v>
      </c>
      <c r="H285" s="559">
        <f t="shared" si="13"/>
        <v>-58406.900132767943</v>
      </c>
      <c r="I285" s="241">
        <v>12856.214114530878</v>
      </c>
      <c r="J285" s="561">
        <f>Synthèse!H284</f>
        <v>9054.2259019519643</v>
      </c>
      <c r="K285" s="561">
        <f t="shared" si="14"/>
        <v>-3801.9882125789136</v>
      </c>
    </row>
    <row r="286" spans="1:11" s="244" customFormat="1" ht="15" x14ac:dyDescent="0.25">
      <c r="A286" s="85">
        <f>Données!A286</f>
        <v>5913</v>
      </c>
      <c r="B286" s="368" t="str">
        <f>Données!B286</f>
        <v>Donneloye</v>
      </c>
      <c r="C286" s="241">
        <v>336277.10567923944</v>
      </c>
      <c r="D286" s="556">
        <f>Synthèse!G285</f>
        <v>347120.26178206911</v>
      </c>
      <c r="E286" s="557">
        <f t="shared" si="12"/>
        <v>10843.156102829671</v>
      </c>
      <c r="F286" s="240">
        <v>-156759.39499264117</v>
      </c>
      <c r="G286" s="559">
        <f>Synthèse!F285</f>
        <v>-261042.6791036147</v>
      </c>
      <c r="H286" s="559">
        <f t="shared" si="13"/>
        <v>-104283.28411097353</v>
      </c>
      <c r="I286" s="241">
        <v>62199.845707053595</v>
      </c>
      <c r="J286" s="561">
        <f>Synthèse!H285</f>
        <v>66237.162156579972</v>
      </c>
      <c r="K286" s="561">
        <f t="shared" si="14"/>
        <v>4037.3164495263773</v>
      </c>
    </row>
    <row r="287" spans="1:11" s="244" customFormat="1" ht="15" x14ac:dyDescent="0.25">
      <c r="A287" s="85">
        <f>Données!A287</f>
        <v>5914</v>
      </c>
      <c r="B287" s="368" t="str">
        <f>Données!B287</f>
        <v>Ependes</v>
      </c>
      <c r="C287" s="241">
        <v>179844.7771841897</v>
      </c>
      <c r="D287" s="556">
        <f>Synthèse!G286</f>
        <v>134210.66129966377</v>
      </c>
      <c r="E287" s="557">
        <f t="shared" si="12"/>
        <v>-45634.115884525934</v>
      </c>
      <c r="F287" s="240">
        <v>-65386.88626089436</v>
      </c>
      <c r="G287" s="559">
        <f>Synthèse!F286</f>
        <v>-110784.94199129398</v>
      </c>
      <c r="H287" s="559">
        <f t="shared" si="13"/>
        <v>-45398.055730399617</v>
      </c>
      <c r="I287" s="241">
        <v>13780.088369881649</v>
      </c>
      <c r="J287" s="561">
        <f>Synthèse!H286</f>
        <v>11598.26609076336</v>
      </c>
      <c r="K287" s="561">
        <f t="shared" si="14"/>
        <v>-2181.8222791182889</v>
      </c>
    </row>
    <row r="288" spans="1:11" s="244" customFormat="1" ht="15" x14ac:dyDescent="0.25">
      <c r="A288" s="85">
        <f>Données!A288</f>
        <v>5919</v>
      </c>
      <c r="B288" s="368" t="str">
        <f>Données!B288</f>
        <v>Mathod</v>
      </c>
      <c r="C288" s="241">
        <v>451130.5371775502</v>
      </c>
      <c r="D288" s="556">
        <f>Synthèse!G287</f>
        <v>390886.4980671691</v>
      </c>
      <c r="E288" s="557">
        <f t="shared" si="12"/>
        <v>-60244.039110381098</v>
      </c>
      <c r="F288" s="240">
        <v>-52951.525906832598</v>
      </c>
      <c r="G288" s="559">
        <f>Synthèse!F287</f>
        <v>-43178.65253499127</v>
      </c>
      <c r="H288" s="559">
        <f t="shared" si="13"/>
        <v>9772.8733718413278</v>
      </c>
      <c r="I288" s="241">
        <v>27869.71252267891</v>
      </c>
      <c r="J288" s="561">
        <f>Synthèse!H287</f>
        <v>24615.423757212626</v>
      </c>
      <c r="K288" s="561">
        <f t="shared" si="14"/>
        <v>-3254.2887654662845</v>
      </c>
    </row>
    <row r="289" spans="1:11" s="244" customFormat="1" ht="15" x14ac:dyDescent="0.25">
      <c r="A289" s="85">
        <f>Données!A289</f>
        <v>5921</v>
      </c>
      <c r="B289" s="368" t="str">
        <f>Données!B289</f>
        <v>Molondin</v>
      </c>
      <c r="C289" s="241">
        <v>94888.521598595835</v>
      </c>
      <c r="D289" s="556">
        <f>Synthèse!G288</f>
        <v>75200.09758500586</v>
      </c>
      <c r="E289" s="557">
        <f t="shared" si="12"/>
        <v>-19688.424013589974</v>
      </c>
      <c r="F289" s="240">
        <v>-142840.63407661236</v>
      </c>
      <c r="G289" s="559">
        <f>Synthèse!F288</f>
        <v>-125393.05699858611</v>
      </c>
      <c r="H289" s="559">
        <f t="shared" si="13"/>
        <v>17447.577078026254</v>
      </c>
      <c r="I289" s="241">
        <v>17876.7641458496</v>
      </c>
      <c r="J289" s="561">
        <f>Synthèse!H288</f>
        <v>15269.801118407308</v>
      </c>
      <c r="K289" s="561">
        <f t="shared" si="14"/>
        <v>-2606.9630274422925</v>
      </c>
    </row>
    <row r="290" spans="1:11" s="244" customFormat="1" ht="15" x14ac:dyDescent="0.25">
      <c r="A290" s="85">
        <f>Données!A290</f>
        <v>5922</v>
      </c>
      <c r="B290" s="368" t="str">
        <f>Données!B290</f>
        <v>Montagny-près-Yverdon</v>
      </c>
      <c r="C290" s="241">
        <v>629894.03093154565</v>
      </c>
      <c r="D290" s="556">
        <f>Synthèse!G289</f>
        <v>652905.54597812367</v>
      </c>
      <c r="E290" s="557">
        <f t="shared" si="12"/>
        <v>23011.515046578017</v>
      </c>
      <c r="F290" s="240">
        <v>371516.14217553305</v>
      </c>
      <c r="G290" s="559">
        <f>Synthèse!F289</f>
        <v>500829.21888461168</v>
      </c>
      <c r="H290" s="559">
        <f t="shared" si="13"/>
        <v>129313.07670907862</v>
      </c>
      <c r="I290" s="241">
        <v>99111.838499397854</v>
      </c>
      <c r="J290" s="561">
        <f>Synthèse!H289</f>
        <v>114120.48049195569</v>
      </c>
      <c r="K290" s="561">
        <f t="shared" si="14"/>
        <v>15008.641992557838</v>
      </c>
    </row>
    <row r="291" spans="1:11" s="244" customFormat="1" ht="15" x14ac:dyDescent="0.25">
      <c r="A291" s="85">
        <f>Données!A291</f>
        <v>5923</v>
      </c>
      <c r="B291" s="368" t="str">
        <f>Données!B291</f>
        <v>Oppens</v>
      </c>
      <c r="C291" s="241">
        <v>86148.491868333964</v>
      </c>
      <c r="D291" s="556">
        <f>Synthèse!G290</f>
        <v>64752.755744680966</v>
      </c>
      <c r="E291" s="557">
        <f t="shared" si="12"/>
        <v>-21395.736123652998</v>
      </c>
      <c r="F291" s="240">
        <v>-109587.04019433045</v>
      </c>
      <c r="G291" s="559">
        <f>Synthèse!F290</f>
        <v>-121063.9513595367</v>
      </c>
      <c r="H291" s="559">
        <f t="shared" si="13"/>
        <v>-11476.911165206257</v>
      </c>
      <c r="I291" s="241">
        <v>15164.97887810722</v>
      </c>
      <c r="J291" s="561">
        <f>Synthèse!H290</f>
        <v>13507.065288710151</v>
      </c>
      <c r="K291" s="561">
        <f t="shared" si="14"/>
        <v>-1657.9135893970688</v>
      </c>
    </row>
    <row r="292" spans="1:11" s="244" customFormat="1" ht="15" x14ac:dyDescent="0.25">
      <c r="A292" s="85">
        <f>Données!A292</f>
        <v>5924</v>
      </c>
      <c r="B292" s="368" t="str">
        <f>Données!B292</f>
        <v>Orges</v>
      </c>
      <c r="C292" s="241">
        <v>272190.33670361171</v>
      </c>
      <c r="D292" s="556">
        <f>Synthèse!G291</f>
        <v>166151.74084847813</v>
      </c>
      <c r="E292" s="557">
        <f t="shared" si="12"/>
        <v>-106038.59585513358</v>
      </c>
      <c r="F292" s="240">
        <v>124554.00309132246</v>
      </c>
      <c r="G292" s="559">
        <f>Synthèse!F291</f>
        <v>-40630.775159131415</v>
      </c>
      <c r="H292" s="559">
        <f t="shared" si="13"/>
        <v>-165184.77825045388</v>
      </c>
      <c r="I292" s="241">
        <v>39637.03637622291</v>
      </c>
      <c r="J292" s="561">
        <f>Synthèse!H291</f>
        <v>35342.476691339536</v>
      </c>
      <c r="K292" s="561">
        <f t="shared" si="14"/>
        <v>-4294.5596848833738</v>
      </c>
    </row>
    <row r="293" spans="1:11" s="244" customFormat="1" ht="15" x14ac:dyDescent="0.25">
      <c r="A293" s="85">
        <f>Données!A293</f>
        <v>5925</v>
      </c>
      <c r="B293" s="368" t="str">
        <f>Données!B293</f>
        <v>Orzens</v>
      </c>
      <c r="C293" s="241">
        <v>154407.9280766127</v>
      </c>
      <c r="D293" s="556">
        <f>Synthèse!G292</f>
        <v>80698.687986600533</v>
      </c>
      <c r="E293" s="557">
        <f t="shared" si="12"/>
        <v>-73709.240090012172</v>
      </c>
      <c r="F293" s="240">
        <v>-8322.4626468858041</v>
      </c>
      <c r="G293" s="559">
        <f>Synthèse!F292</f>
        <v>-103990.29388883678</v>
      </c>
      <c r="H293" s="559">
        <f t="shared" si="13"/>
        <v>-95667.831241950975</v>
      </c>
      <c r="I293" s="241">
        <v>18546.109525913307</v>
      </c>
      <c r="J293" s="561">
        <f>Synthèse!H292</f>
        <v>15811.176918979421</v>
      </c>
      <c r="K293" s="561">
        <f t="shared" si="14"/>
        <v>-2734.9326069338858</v>
      </c>
    </row>
    <row r="294" spans="1:11" s="244" customFormat="1" ht="15" x14ac:dyDescent="0.25">
      <c r="A294" s="85">
        <f>Données!A294</f>
        <v>5926</v>
      </c>
      <c r="B294" s="368" t="str">
        <f>Données!B294</f>
        <v>Pomy</v>
      </c>
      <c r="C294" s="241">
        <v>488430.07869085245</v>
      </c>
      <c r="D294" s="556">
        <f>Synthèse!G293</f>
        <v>369576.29047376727</v>
      </c>
      <c r="E294" s="557">
        <f t="shared" si="12"/>
        <v>-118853.78821708518</v>
      </c>
      <c r="F294" s="240">
        <v>213952.75973451376</v>
      </c>
      <c r="G294" s="559">
        <f>Synthèse!F293</f>
        <v>38142.199088178459</v>
      </c>
      <c r="H294" s="559">
        <f t="shared" si="13"/>
        <v>-175810.5606463353</v>
      </c>
      <c r="I294" s="241">
        <v>35388.356446657897</v>
      </c>
      <c r="J294" s="561">
        <f>Synthèse!H293</f>
        <v>31612.874482485153</v>
      </c>
      <c r="K294" s="561">
        <f t="shared" si="14"/>
        <v>-3775.4819641727445</v>
      </c>
    </row>
    <row r="295" spans="1:11" s="244" customFormat="1" ht="15" x14ac:dyDescent="0.25">
      <c r="A295" s="85">
        <f>Données!A295</f>
        <v>5928</v>
      </c>
      <c r="B295" s="368" t="str">
        <f>Données!B295</f>
        <v>Rovray</v>
      </c>
      <c r="C295" s="241">
        <v>85200.738719890607</v>
      </c>
      <c r="D295" s="556">
        <f>Synthèse!G294</f>
        <v>59520.303132735513</v>
      </c>
      <c r="E295" s="557">
        <f t="shared" si="12"/>
        <v>-25680.435587155094</v>
      </c>
      <c r="F295" s="240">
        <v>2478.0263372933841</v>
      </c>
      <c r="G295" s="559">
        <f>Synthèse!F294</f>
        <v>-24656.340292943292</v>
      </c>
      <c r="H295" s="559">
        <f t="shared" si="13"/>
        <v>-27134.366630236676</v>
      </c>
      <c r="I295" s="241">
        <v>17685.570691999823</v>
      </c>
      <c r="J295" s="561">
        <f>Synthèse!H294</f>
        <v>15469.97984173769</v>
      </c>
      <c r="K295" s="561">
        <f t="shared" si="14"/>
        <v>-2215.5908502621332</v>
      </c>
    </row>
    <row r="296" spans="1:11" s="244" customFormat="1" ht="15" x14ac:dyDescent="0.25">
      <c r="A296" s="85">
        <f>Données!A296</f>
        <v>5929</v>
      </c>
      <c r="B296" s="368" t="str">
        <f>Données!B296</f>
        <v>Suchy</v>
      </c>
      <c r="C296" s="241">
        <v>337360.89613798511</v>
      </c>
      <c r="D296" s="556">
        <f>Synthèse!G295</f>
        <v>302445.36272763519</v>
      </c>
      <c r="E296" s="557">
        <f t="shared" si="12"/>
        <v>-34915.533410349919</v>
      </c>
      <c r="F296" s="240">
        <v>79425.822506839933</v>
      </c>
      <c r="G296" s="559">
        <f>Synthèse!F295</f>
        <v>100500.71729570092</v>
      </c>
      <c r="H296" s="559">
        <f t="shared" si="13"/>
        <v>21074.894788860984</v>
      </c>
      <c r="I296" s="241">
        <v>25631.720623856607</v>
      </c>
      <c r="J296" s="561">
        <f>Synthèse!H295</f>
        <v>25499.135839450606</v>
      </c>
      <c r="K296" s="561">
        <f t="shared" si="14"/>
        <v>-132.58478440600084</v>
      </c>
    </row>
    <row r="297" spans="1:11" s="244" customFormat="1" ht="15" x14ac:dyDescent="0.25">
      <c r="A297" s="85">
        <f>Données!A297</f>
        <v>5930</v>
      </c>
      <c r="B297" s="368" t="str">
        <f>Données!B297</f>
        <v>Suscévaz</v>
      </c>
      <c r="C297" s="241">
        <v>86730.629515236898</v>
      </c>
      <c r="D297" s="556">
        <f>Synthèse!G296</f>
        <v>91289.905543826666</v>
      </c>
      <c r="E297" s="557">
        <f t="shared" si="12"/>
        <v>4559.2760285897675</v>
      </c>
      <c r="F297" s="240">
        <v>-24947.021481807562</v>
      </c>
      <c r="G297" s="559">
        <f>Synthèse!F296</f>
        <v>-57685.852878688136</v>
      </c>
      <c r="H297" s="559">
        <f t="shared" si="13"/>
        <v>-32738.831396880574</v>
      </c>
      <c r="I297" s="241">
        <v>7459.8030061031932</v>
      </c>
      <c r="J297" s="561">
        <f>Synthèse!H296</f>
        <v>6786.013758107747</v>
      </c>
      <c r="K297" s="561">
        <f t="shared" si="14"/>
        <v>-673.7892479954462</v>
      </c>
    </row>
    <row r="298" spans="1:11" s="244" customFormat="1" ht="15" x14ac:dyDescent="0.25">
      <c r="A298" s="85">
        <f>Données!A298</f>
        <v>5931</v>
      </c>
      <c r="B298" s="368" t="str">
        <f>Données!B298</f>
        <v>Treycovagnes</v>
      </c>
      <c r="C298" s="241">
        <v>272322.80756278709</v>
      </c>
      <c r="D298" s="556">
        <f>Synthèse!G297</f>
        <v>293520.23456658021</v>
      </c>
      <c r="E298" s="557">
        <f t="shared" si="12"/>
        <v>21197.427003793127</v>
      </c>
      <c r="F298" s="240">
        <v>44817.987502762902</v>
      </c>
      <c r="G298" s="559">
        <f>Synthèse!F297</f>
        <v>-7391.3702159507666</v>
      </c>
      <c r="H298" s="559">
        <f t="shared" si="13"/>
        <v>-52209.357718713669</v>
      </c>
      <c r="I298" s="241">
        <v>19889.879003172638</v>
      </c>
      <c r="J298" s="561">
        <f>Synthèse!H297</f>
        <v>19247.62688867898</v>
      </c>
      <c r="K298" s="561">
        <f t="shared" si="14"/>
        <v>-642.25211449365815</v>
      </c>
    </row>
    <row r="299" spans="1:11" s="244" customFormat="1" ht="15" x14ac:dyDescent="0.25">
      <c r="A299" s="85">
        <f>Données!A299</f>
        <v>5932</v>
      </c>
      <c r="B299" s="368" t="str">
        <f>Données!B299</f>
        <v>Ursins</v>
      </c>
      <c r="C299" s="241">
        <v>99563.00613911821</v>
      </c>
      <c r="D299" s="556">
        <f>Synthèse!G298</f>
        <v>102361.1057861501</v>
      </c>
      <c r="E299" s="557">
        <f t="shared" si="12"/>
        <v>2798.0996470318933</v>
      </c>
      <c r="F299" s="240">
        <v>-14193.772412322403</v>
      </c>
      <c r="G299" s="559">
        <f>Synthèse!F298</f>
        <v>42010.548073777783</v>
      </c>
      <c r="H299" s="559">
        <f t="shared" si="13"/>
        <v>56204.320486100187</v>
      </c>
      <c r="I299" s="241">
        <v>21517.627076912271</v>
      </c>
      <c r="J299" s="561">
        <f>Synthèse!H298</f>
        <v>24313.91069186636</v>
      </c>
      <c r="K299" s="561">
        <f t="shared" si="14"/>
        <v>2796.283614954089</v>
      </c>
    </row>
    <row r="300" spans="1:11" s="244" customFormat="1" ht="15" x14ac:dyDescent="0.25">
      <c r="A300" s="85">
        <f>Données!A300</f>
        <v>5933</v>
      </c>
      <c r="B300" s="368" t="str">
        <f>Données!B300</f>
        <v>Valeyres-sous-Montagny</v>
      </c>
      <c r="C300" s="241">
        <v>366258.79689777159</v>
      </c>
      <c r="D300" s="556">
        <f>Synthèse!G299</f>
        <v>328566.32749247458</v>
      </c>
      <c r="E300" s="557">
        <f t="shared" si="12"/>
        <v>-37692.469405297015</v>
      </c>
      <c r="F300" s="240">
        <v>-49592.347180777229</v>
      </c>
      <c r="G300" s="559">
        <f>Synthèse!F299</f>
        <v>-191817.18805691635</v>
      </c>
      <c r="H300" s="559">
        <f t="shared" si="13"/>
        <v>-142224.84087613912</v>
      </c>
      <c r="I300" s="241">
        <v>70835.397451530705</v>
      </c>
      <c r="J300" s="561">
        <f>Synthèse!H299</f>
        <v>71077.413429060718</v>
      </c>
      <c r="K300" s="561">
        <f t="shared" si="14"/>
        <v>242.01597753001261</v>
      </c>
    </row>
    <row r="301" spans="1:11" s="244" customFormat="1" ht="15" x14ac:dyDescent="0.25">
      <c r="A301" s="85">
        <f>Données!A301</f>
        <v>5934</v>
      </c>
      <c r="B301" s="368" t="str">
        <f>Données!B301</f>
        <v>Valeyres-sous-Ursins</v>
      </c>
      <c r="C301" s="241">
        <v>128508.59334917724</v>
      </c>
      <c r="D301" s="556">
        <f>Synthèse!G300</f>
        <v>325829.24437661585</v>
      </c>
      <c r="E301" s="557">
        <f t="shared" si="12"/>
        <v>197320.65102743861</v>
      </c>
      <c r="F301" s="240">
        <v>21151.974815173759</v>
      </c>
      <c r="G301" s="559">
        <f>Synthèse!F300</f>
        <v>289858.36646979849</v>
      </c>
      <c r="H301" s="559">
        <f t="shared" si="13"/>
        <v>268706.39165462472</v>
      </c>
      <c r="I301" s="241">
        <v>24209.234303999248</v>
      </c>
      <c r="J301" s="561">
        <f>Synthèse!H300</f>
        <v>41340.078419397338</v>
      </c>
      <c r="K301" s="561">
        <f t="shared" si="14"/>
        <v>17130.844115398089</v>
      </c>
    </row>
    <row r="302" spans="1:11" s="244" customFormat="1" ht="15" x14ac:dyDescent="0.25">
      <c r="A302" s="85">
        <f>Données!A302</f>
        <v>5935</v>
      </c>
      <c r="B302" s="368" t="str">
        <f>Données!B302</f>
        <v>Villars-Epeney</v>
      </c>
      <c r="C302" s="241">
        <v>71772.255927794962</v>
      </c>
      <c r="D302" s="556">
        <f>Synthèse!G301</f>
        <v>147705.75179443674</v>
      </c>
      <c r="E302" s="557">
        <f t="shared" si="12"/>
        <v>75933.495866641781</v>
      </c>
      <c r="F302" s="240">
        <v>47012.981619847298</v>
      </c>
      <c r="G302" s="559">
        <f>Synthèse!F301</f>
        <v>113396.68474012957</v>
      </c>
      <c r="H302" s="559">
        <f t="shared" si="13"/>
        <v>66383.703120282269</v>
      </c>
      <c r="I302" s="241">
        <v>12281.889989159423</v>
      </c>
      <c r="J302" s="561">
        <f>Synthèse!H301</f>
        <v>16154.116872333519</v>
      </c>
      <c r="K302" s="561">
        <f t="shared" si="14"/>
        <v>3872.2268831740967</v>
      </c>
    </row>
    <row r="303" spans="1:11" s="244" customFormat="1" ht="15" x14ac:dyDescent="0.25">
      <c r="A303" s="85">
        <f>Données!A303</f>
        <v>5937</v>
      </c>
      <c r="B303" s="368" t="str">
        <f>Données!B303</f>
        <v>Vugelles-La Mothe</v>
      </c>
      <c r="C303" s="241">
        <v>54552.341070277624</v>
      </c>
      <c r="D303" s="556">
        <f>Synthèse!G302</f>
        <v>47958.473035835588</v>
      </c>
      <c r="E303" s="557">
        <f t="shared" si="12"/>
        <v>-6593.8680344420354</v>
      </c>
      <c r="F303" s="240">
        <v>-41937.600995616369</v>
      </c>
      <c r="G303" s="559">
        <f>Synthèse!F302</f>
        <v>-41543.199152812827</v>
      </c>
      <c r="H303" s="559">
        <f t="shared" si="13"/>
        <v>394.40184280354151</v>
      </c>
      <c r="I303" s="241">
        <v>10035.211543241869</v>
      </c>
      <c r="J303" s="561">
        <f>Synthèse!H302</f>
        <v>10123.171707927311</v>
      </c>
      <c r="K303" s="561">
        <f t="shared" si="14"/>
        <v>87.960164685442578</v>
      </c>
    </row>
    <row r="304" spans="1:11" s="244" customFormat="1" ht="15" x14ac:dyDescent="0.25">
      <c r="A304" s="85">
        <f>Données!A304</f>
        <v>5938</v>
      </c>
      <c r="B304" s="368" t="str">
        <f>Données!B304</f>
        <v>Yverdon-les-Bains</v>
      </c>
      <c r="C304" s="241">
        <v>14998465.624360442</v>
      </c>
      <c r="D304" s="556">
        <f>Synthèse!G303</f>
        <v>13364216.434971895</v>
      </c>
      <c r="E304" s="557">
        <f t="shared" si="12"/>
        <v>-1634249.1893885471</v>
      </c>
      <c r="F304" s="240">
        <v>-32348019.383975025</v>
      </c>
      <c r="G304" s="559">
        <f>Synthèse!F303</f>
        <v>-29747921.333905235</v>
      </c>
      <c r="H304" s="559">
        <f t="shared" si="13"/>
        <v>2600098.0500697903</v>
      </c>
      <c r="I304" s="241">
        <v>1028080.9140641214</v>
      </c>
      <c r="J304" s="561">
        <f>Synthèse!H303</f>
        <v>921373.14586001448</v>
      </c>
      <c r="K304" s="561">
        <f t="shared" si="14"/>
        <v>-106707.76820410695</v>
      </c>
    </row>
    <row r="305" spans="1:11" s="244" customFormat="1" ht="15" x14ac:dyDescent="0.25">
      <c r="A305" s="85">
        <f>Données!A305</f>
        <v>5939</v>
      </c>
      <c r="B305" s="368" t="str">
        <f>Données!B305</f>
        <v>Yvonand</v>
      </c>
      <c r="C305" s="241">
        <v>1715164.549063236</v>
      </c>
      <c r="D305" s="556">
        <f>Synthèse!G304</f>
        <v>1879197.6224244572</v>
      </c>
      <c r="E305" s="557">
        <f t="shared" si="12"/>
        <v>164033.07336122124</v>
      </c>
      <c r="F305" s="240">
        <v>-1236187.5321574206</v>
      </c>
      <c r="G305" s="559">
        <f>Synthèse!F304</f>
        <v>-1324286.0659517734</v>
      </c>
      <c r="H305" s="559">
        <f t="shared" si="13"/>
        <v>-88098.533794352785</v>
      </c>
      <c r="I305" s="241">
        <v>289720.63304200745</v>
      </c>
      <c r="J305" s="561">
        <f>Synthèse!H304</f>
        <v>291539.16404819686</v>
      </c>
      <c r="K305" s="561">
        <f t="shared" si="14"/>
        <v>1818.5310061894124</v>
      </c>
    </row>
    <row r="306" spans="1:11" s="244" customFormat="1" ht="15" x14ac:dyDescent="0.25">
      <c r="A306" s="25"/>
      <c r="B306" s="19">
        <v>300</v>
      </c>
      <c r="C306" s="242">
        <f t="shared" ref="C306:K306" si="15">SUM(C6:C305)</f>
        <v>810939700.00000107</v>
      </c>
      <c r="D306" s="558">
        <f t="shared" si="15"/>
        <v>773176130.0000006</v>
      </c>
      <c r="E306" s="558">
        <f t="shared" si="15"/>
        <v>-37763570.000000194</v>
      </c>
      <c r="F306" s="242">
        <f t="shared" si="15"/>
        <v>450000.00000032457</v>
      </c>
      <c r="G306" s="560">
        <f t="shared" si="15"/>
        <v>450000.00000007311</v>
      </c>
      <c r="H306" s="560">
        <f t="shared" si="15"/>
        <v>-2.491287887096405E-7</v>
      </c>
      <c r="I306" s="242">
        <f t="shared" si="15"/>
        <v>71025442.000000045</v>
      </c>
      <c r="J306" s="562">
        <f t="shared" si="15"/>
        <v>71025442</v>
      </c>
      <c r="K306" s="562">
        <f t="shared" si="15"/>
        <v>-7.9744495451450348E-9</v>
      </c>
    </row>
    <row r="307" spans="1:11" s="244" customFormat="1" ht="15" x14ac:dyDescent="0.25">
      <c r="A307" s="245"/>
      <c r="B307" s="245"/>
      <c r="C307" s="245"/>
      <c r="D307" s="5"/>
      <c r="F307" s="245"/>
      <c r="I307" s="243"/>
      <c r="J307" s="5"/>
    </row>
    <row r="308" spans="1:11" s="244" customFormat="1" ht="15" x14ac:dyDescent="0.25">
      <c r="A308" s="245"/>
      <c r="B308" s="245"/>
      <c r="C308" s="245"/>
      <c r="F308" s="245"/>
      <c r="I308" s="243"/>
      <c r="J308" s="5"/>
    </row>
    <row r="309" spans="1:11" s="244" customFormat="1" ht="15" x14ac:dyDescent="0.25">
      <c r="A309" s="245"/>
      <c r="B309" s="245"/>
      <c r="C309" s="245"/>
      <c r="F309" s="245"/>
      <c r="I309" s="243"/>
    </row>
    <row r="310" spans="1:11" s="244" customFormat="1" ht="15" x14ac:dyDescent="0.25">
      <c r="A310" s="245"/>
      <c r="B310" s="245"/>
      <c r="C310" s="245"/>
      <c r="F310" s="245"/>
      <c r="I310" s="221"/>
    </row>
  </sheetData>
  <sheetProtection sheet="1" objects="1" scenarios="1"/>
  <mergeCells count="5">
    <mergeCell ref="I4:K4"/>
    <mergeCell ref="A4:A5"/>
    <mergeCell ref="B4:B5"/>
    <mergeCell ref="C4:E4"/>
    <mergeCell ref="F4:H4"/>
  </mergeCells>
  <hyperlinks>
    <hyperlink ref="C1" location="Synthèse!A1" display="← Précédent" xr:uid="{D046A632-CF30-4412-9AE7-773599330617}"/>
    <hyperlink ref="D1" location="'Table des matières'!A1" display="Table des             matières" xr:uid="{312CF942-877A-4E96-8B85-400AB3A21C9A}"/>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3" tint="0.59999389629810485"/>
  </sheetPr>
  <dimension ref="A1:L537"/>
  <sheetViews>
    <sheetView zoomScaleNormal="100" workbookViewId="0">
      <pane ySplit="2" topLeftCell="A6" activePane="bottomLeft" state="frozen"/>
      <selection activeCell="A3" sqref="A3"/>
      <selection pane="bottomLeft"/>
    </sheetView>
  </sheetViews>
  <sheetFormatPr baseColWidth="10" defaultColWidth="10.75" defaultRowHeight="15" x14ac:dyDescent="0.25"/>
  <cols>
    <col min="1" max="1" width="66.625" style="87" customWidth="1"/>
    <col min="2" max="2" width="12.5" style="87" bestFit="1" customWidth="1"/>
    <col min="3" max="3" width="13.875" style="87" customWidth="1"/>
    <col min="4" max="4" width="12.125" style="87" customWidth="1"/>
    <col min="5" max="8" width="13.125" style="87" customWidth="1"/>
    <col min="9" max="10" width="12.125" style="87" bestFit="1" customWidth="1"/>
    <col min="11" max="11" width="12" style="87" bestFit="1" customWidth="1"/>
    <col min="12" max="16384" width="10.75" style="87"/>
  </cols>
  <sheetData>
    <row r="1" spans="1:11" ht="26.25" x14ac:dyDescent="0.4">
      <c r="A1" s="252" t="s">
        <v>407</v>
      </c>
      <c r="B1" s="288" t="s">
        <v>405</v>
      </c>
      <c r="C1" s="275" t="s">
        <v>397</v>
      </c>
      <c r="D1" s="288" t="s">
        <v>406</v>
      </c>
      <c r="E1" s="273"/>
    </row>
    <row r="3" spans="1:11" ht="21" customHeight="1" x14ac:dyDescent="0.35">
      <c r="A3" s="102" t="s">
        <v>409</v>
      </c>
      <c r="D3" s="205"/>
      <c r="E3" s="205"/>
      <c r="F3" s="205"/>
      <c r="G3" s="205"/>
      <c r="H3" s="205"/>
      <c r="I3" s="205"/>
      <c r="J3" s="205"/>
    </row>
    <row r="4" spans="1:11" s="205" customFormat="1" ht="14.45" customHeight="1" x14ac:dyDescent="0.25">
      <c r="A4" s="205" t="s">
        <v>445</v>
      </c>
      <c r="B4" s="567" t="s">
        <v>561</v>
      </c>
      <c r="D4" s="682" t="s">
        <v>559</v>
      </c>
      <c r="E4" s="683"/>
      <c r="F4" s="683"/>
      <c r="G4" s="683"/>
      <c r="H4" s="684"/>
      <c r="I4" s="353"/>
      <c r="J4" s="353"/>
      <c r="K4" s="353"/>
    </row>
    <row r="5" spans="1:11" x14ac:dyDescent="0.25">
      <c r="A5" s="87" t="s">
        <v>482</v>
      </c>
      <c r="B5" s="564">
        <v>2022</v>
      </c>
      <c r="C5" s="205"/>
      <c r="D5" s="685"/>
      <c r="E5" s="686"/>
      <c r="F5" s="686"/>
      <c r="G5" s="686"/>
      <c r="H5" s="687"/>
      <c r="I5" s="353"/>
      <c r="J5" s="353"/>
      <c r="K5" s="353"/>
    </row>
    <row r="6" spans="1:11" x14ac:dyDescent="0.25">
      <c r="A6" s="87" t="s">
        <v>481</v>
      </c>
      <c r="B6" s="563">
        <v>43464</v>
      </c>
      <c r="D6" s="685"/>
      <c r="E6" s="686"/>
      <c r="F6" s="686"/>
      <c r="G6" s="686"/>
      <c r="H6" s="687"/>
      <c r="I6" s="353"/>
      <c r="J6" s="353"/>
      <c r="K6" s="353"/>
    </row>
    <row r="7" spans="1:11" s="205" customFormat="1" x14ac:dyDescent="0.25">
      <c r="A7" s="205" t="s">
        <v>480</v>
      </c>
      <c r="B7" s="563" t="s">
        <v>562</v>
      </c>
      <c r="D7" s="685"/>
      <c r="E7" s="686"/>
      <c r="F7" s="686"/>
      <c r="G7" s="686"/>
      <c r="H7" s="687"/>
      <c r="I7" s="353"/>
      <c r="J7" s="353"/>
      <c r="K7" s="353"/>
    </row>
    <row r="8" spans="1:11" s="205" customFormat="1" x14ac:dyDescent="0.25">
      <c r="A8" s="205" t="s">
        <v>479</v>
      </c>
      <c r="B8" s="564">
        <v>2022</v>
      </c>
      <c r="D8" s="685"/>
      <c r="E8" s="686"/>
      <c r="F8" s="686"/>
      <c r="G8" s="686"/>
      <c r="H8" s="687"/>
      <c r="I8" s="353"/>
      <c r="J8" s="353"/>
      <c r="K8" s="353"/>
    </row>
    <row r="9" spans="1:11" s="205" customFormat="1" x14ac:dyDescent="0.25">
      <c r="D9" s="685"/>
      <c r="E9" s="686"/>
      <c r="F9" s="686"/>
      <c r="G9" s="686"/>
      <c r="H9" s="687"/>
      <c r="I9" s="353"/>
      <c r="J9" s="353"/>
      <c r="K9" s="353"/>
    </row>
    <row r="10" spans="1:11" ht="21" x14ac:dyDescent="0.35">
      <c r="A10" s="113" t="s">
        <v>426</v>
      </c>
      <c r="B10" s="206"/>
      <c r="C10" s="205"/>
      <c r="D10" s="685"/>
      <c r="E10" s="686"/>
      <c r="F10" s="686"/>
      <c r="G10" s="686"/>
      <c r="H10" s="687"/>
      <c r="I10" s="353"/>
      <c r="J10" s="353"/>
      <c r="K10" s="353"/>
    </row>
    <row r="11" spans="1:11" s="205" customFormat="1" ht="30" x14ac:dyDescent="0.25">
      <c r="A11" s="487" t="s">
        <v>558</v>
      </c>
      <c r="B11" s="568">
        <v>773176130</v>
      </c>
      <c r="D11" s="685"/>
      <c r="E11" s="686"/>
      <c r="F11" s="686"/>
      <c r="G11" s="686"/>
      <c r="H11" s="687"/>
      <c r="I11" s="353"/>
      <c r="J11" s="353"/>
      <c r="K11" s="353"/>
    </row>
    <row r="12" spans="1:11" s="205" customFormat="1" ht="15" customHeight="1" x14ac:dyDescent="0.25">
      <c r="A12" s="387" t="s">
        <v>557</v>
      </c>
      <c r="B12" s="569">
        <v>15907270</v>
      </c>
      <c r="C12" s="691" t="s">
        <v>565</v>
      </c>
      <c r="D12" s="685"/>
      <c r="E12" s="686"/>
      <c r="F12" s="686"/>
      <c r="G12" s="686"/>
      <c r="H12" s="687"/>
      <c r="I12" s="353"/>
      <c r="J12" s="353"/>
      <c r="K12" s="353"/>
    </row>
    <row r="13" spans="1:11" s="205" customFormat="1" x14ac:dyDescent="0.25">
      <c r="A13" s="387" t="s">
        <v>555</v>
      </c>
      <c r="B13" s="569">
        <f>41649502+856087+90706+862750</f>
        <v>43459045</v>
      </c>
      <c r="C13" s="692"/>
      <c r="D13" s="685"/>
      <c r="E13" s="686"/>
      <c r="F13" s="686"/>
      <c r="G13" s="686"/>
      <c r="H13" s="687"/>
      <c r="I13" s="353"/>
      <c r="J13" s="353"/>
      <c r="K13" s="353"/>
    </row>
    <row r="14" spans="1:11" s="205" customFormat="1" x14ac:dyDescent="0.25">
      <c r="A14" s="387" t="s">
        <v>563</v>
      </c>
      <c r="B14" s="569">
        <v>634000</v>
      </c>
      <c r="C14" s="488">
        <f>SUM(B12:B15)</f>
        <v>85000315</v>
      </c>
      <c r="D14" s="685"/>
      <c r="E14" s="686"/>
      <c r="F14" s="686"/>
      <c r="G14" s="686"/>
      <c r="H14" s="687"/>
      <c r="I14" s="353"/>
      <c r="J14" s="353"/>
      <c r="K14" s="353"/>
    </row>
    <row r="15" spans="1:11" s="205" customFormat="1" x14ac:dyDescent="0.25">
      <c r="A15" s="387" t="s">
        <v>490</v>
      </c>
      <c r="B15" s="569">
        <v>25000000</v>
      </c>
      <c r="C15" s="361"/>
      <c r="D15" s="685"/>
      <c r="E15" s="686"/>
      <c r="F15" s="686"/>
      <c r="G15" s="686"/>
      <c r="H15" s="687"/>
      <c r="I15" s="353"/>
      <c r="J15" s="353"/>
      <c r="K15" s="353"/>
    </row>
    <row r="16" spans="1:11" s="205" customFormat="1" x14ac:dyDescent="0.25">
      <c r="A16" s="206" t="s">
        <v>556</v>
      </c>
      <c r="B16" s="63">
        <f>+B11+B13+B14+B15</f>
        <v>842269175</v>
      </c>
      <c r="C16" s="361"/>
      <c r="D16" s="685"/>
      <c r="E16" s="686"/>
      <c r="F16" s="686"/>
      <c r="G16" s="686"/>
      <c r="H16" s="687"/>
      <c r="I16" s="353"/>
      <c r="J16" s="353"/>
      <c r="K16" s="353"/>
    </row>
    <row r="17" spans="1:12" x14ac:dyDescent="0.25">
      <c r="D17" s="685"/>
      <c r="E17" s="686"/>
      <c r="F17" s="686"/>
      <c r="G17" s="686"/>
      <c r="H17" s="687"/>
      <c r="I17" s="353"/>
      <c r="J17" s="353"/>
      <c r="K17" s="353"/>
    </row>
    <row r="18" spans="1:12" ht="21" x14ac:dyDescent="0.35">
      <c r="A18" s="102" t="s">
        <v>451</v>
      </c>
      <c r="C18" s="88"/>
      <c r="D18" s="685"/>
      <c r="E18" s="686"/>
      <c r="F18" s="686"/>
      <c r="G18" s="686"/>
      <c r="H18" s="687"/>
      <c r="I18" s="353"/>
      <c r="J18" s="353"/>
      <c r="K18" s="353"/>
    </row>
    <row r="19" spans="1:12" x14ac:dyDescent="0.25">
      <c r="A19" s="87" t="s">
        <v>452</v>
      </c>
      <c r="B19" s="103">
        <v>0.5</v>
      </c>
      <c r="C19" s="93"/>
      <c r="D19" s="685"/>
      <c r="E19" s="686"/>
      <c r="F19" s="686"/>
      <c r="G19" s="686"/>
      <c r="H19" s="687"/>
      <c r="I19" s="353"/>
      <c r="J19" s="353"/>
      <c r="K19" s="353"/>
    </row>
    <row r="20" spans="1:12" x14ac:dyDescent="0.25">
      <c r="A20" s="87" t="s">
        <v>421</v>
      </c>
      <c r="B20" s="103">
        <v>0.3</v>
      </c>
      <c r="C20" s="94"/>
      <c r="D20" s="688"/>
      <c r="E20" s="689"/>
      <c r="F20" s="689"/>
      <c r="G20" s="689"/>
      <c r="H20" s="690"/>
      <c r="I20" s="353"/>
      <c r="J20" s="353"/>
      <c r="K20" s="353"/>
    </row>
    <row r="21" spans="1:12" x14ac:dyDescent="0.25">
      <c r="D21" s="353"/>
      <c r="E21" s="353"/>
      <c r="F21" s="353"/>
      <c r="G21" s="353"/>
      <c r="H21" s="353"/>
      <c r="I21" s="353"/>
      <c r="J21" s="353"/>
      <c r="K21" s="353"/>
    </row>
    <row r="22" spans="1:12" ht="21" x14ac:dyDescent="0.35">
      <c r="A22" s="102" t="s">
        <v>454</v>
      </c>
      <c r="H22" s="205"/>
      <c r="I22" s="205"/>
      <c r="J22" s="205"/>
      <c r="K22" s="205"/>
    </row>
    <row r="23" spans="1:12" x14ac:dyDescent="0.25">
      <c r="B23" s="95" t="s">
        <v>249</v>
      </c>
      <c r="C23" s="95" t="s">
        <v>250</v>
      </c>
      <c r="D23" s="95" t="s">
        <v>336</v>
      </c>
      <c r="E23" s="95" t="s">
        <v>378</v>
      </c>
      <c r="F23" s="95" t="s">
        <v>379</v>
      </c>
      <c r="H23" s="205"/>
      <c r="I23" s="205"/>
      <c r="J23" s="205"/>
      <c r="K23" s="205"/>
    </row>
    <row r="24" spans="1:12" x14ac:dyDescent="0.25">
      <c r="A24" s="87" t="s">
        <v>453</v>
      </c>
      <c r="B24" s="104">
        <v>0.2</v>
      </c>
      <c r="C24" s="104">
        <v>0.3</v>
      </c>
      <c r="D24" s="104">
        <v>0.4</v>
      </c>
      <c r="E24" s="104">
        <v>0.5</v>
      </c>
      <c r="F24" s="104">
        <v>0.6</v>
      </c>
      <c r="G24" s="187"/>
      <c r="H24" s="205"/>
      <c r="I24" s="205"/>
      <c r="J24" s="205"/>
      <c r="K24" s="205"/>
    </row>
    <row r="25" spans="1:12" x14ac:dyDescent="0.25">
      <c r="A25" s="87" t="s">
        <v>361</v>
      </c>
      <c r="B25" s="104">
        <v>1</v>
      </c>
      <c r="C25" s="104">
        <v>1.2</v>
      </c>
      <c r="D25" s="104">
        <v>1.5</v>
      </c>
      <c r="E25" s="157">
        <v>2</v>
      </c>
      <c r="F25" s="207">
        <v>3</v>
      </c>
      <c r="G25" s="187"/>
      <c r="H25" s="205"/>
      <c r="I25" s="205"/>
      <c r="J25" s="205"/>
      <c r="K25" s="205"/>
    </row>
    <row r="26" spans="1:12" x14ac:dyDescent="0.25">
      <c r="F26" s="88"/>
      <c r="I26" s="88"/>
      <c r="J26" s="88"/>
      <c r="K26" s="88"/>
      <c r="L26" s="88"/>
    </row>
    <row r="27" spans="1:12" ht="21" x14ac:dyDescent="0.35">
      <c r="A27" s="102" t="s">
        <v>455</v>
      </c>
      <c r="B27" s="88"/>
      <c r="C27" s="88"/>
      <c r="D27" s="88"/>
      <c r="E27" s="96"/>
      <c r="F27" s="89"/>
      <c r="I27" s="88"/>
      <c r="J27" s="206"/>
      <c r="K27" s="206"/>
      <c r="L27" s="90"/>
    </row>
    <row r="28" spans="1:12" x14ac:dyDescent="0.25">
      <c r="A28" s="106" t="s">
        <v>456</v>
      </c>
      <c r="B28" s="108">
        <v>0</v>
      </c>
      <c r="C28" s="108">
        <v>1000</v>
      </c>
      <c r="D28" s="108">
        <v>3000</v>
      </c>
      <c r="E28" s="108">
        <v>5000</v>
      </c>
      <c r="F28" s="108">
        <v>9000</v>
      </c>
      <c r="G28" s="108">
        <v>12000</v>
      </c>
      <c r="H28" s="108">
        <v>15000</v>
      </c>
      <c r="I28" s="97"/>
      <c r="J28" s="206"/>
      <c r="K28" s="206"/>
      <c r="L28" s="88"/>
    </row>
    <row r="29" spans="1:12" ht="15" customHeight="1" x14ac:dyDescent="0.25">
      <c r="A29" s="106"/>
      <c r="B29" s="108">
        <v>1000</v>
      </c>
      <c r="C29" s="108">
        <v>3000</v>
      </c>
      <c r="D29" s="108">
        <v>5000</v>
      </c>
      <c r="E29" s="108">
        <v>9000</v>
      </c>
      <c r="F29" s="108">
        <v>12000</v>
      </c>
      <c r="G29" s="108">
        <v>15000</v>
      </c>
      <c r="H29" s="108"/>
      <c r="I29" s="97"/>
      <c r="J29" s="206"/>
      <c r="K29" s="206"/>
      <c r="L29" s="88"/>
    </row>
    <row r="30" spans="1:12" x14ac:dyDescent="0.25">
      <c r="A30" s="107" t="s">
        <v>362</v>
      </c>
      <c r="B30" s="142">
        <v>125</v>
      </c>
      <c r="C30" s="142">
        <v>350</v>
      </c>
      <c r="D30" s="142">
        <v>500</v>
      </c>
      <c r="E30" s="142">
        <v>600</v>
      </c>
      <c r="F30" s="142">
        <v>850</v>
      </c>
      <c r="G30" s="142">
        <v>1000</v>
      </c>
      <c r="H30" s="142">
        <v>1050</v>
      </c>
      <c r="I30" s="98"/>
      <c r="J30" s="206"/>
      <c r="K30" s="206"/>
      <c r="L30" s="88"/>
    </row>
    <row r="31" spans="1:12" x14ac:dyDescent="0.25">
      <c r="A31" s="88" t="s">
        <v>354</v>
      </c>
      <c r="B31" s="155">
        <v>99.4</v>
      </c>
      <c r="C31" s="105"/>
      <c r="D31" s="105"/>
      <c r="E31" s="105"/>
      <c r="F31" s="105"/>
      <c r="G31" s="105"/>
      <c r="H31" s="105"/>
      <c r="I31" s="88"/>
      <c r="J31" s="206"/>
      <c r="K31" s="206"/>
      <c r="L31" s="88"/>
    </row>
    <row r="32" spans="1:12" s="334" customFormat="1" x14ac:dyDescent="0.2">
      <c r="A32" s="332" t="str">
        <f>CONCATENATE("Indice IPC au 30 juin ",B5)</f>
        <v>Indice IPC au 30 juin 2022</v>
      </c>
      <c r="B32" s="565">
        <v>102.6</v>
      </c>
      <c r="C32" s="478"/>
      <c r="D32" s="333"/>
      <c r="E32" s="333"/>
      <c r="F32" s="333"/>
      <c r="G32" s="333"/>
      <c r="H32" s="333"/>
      <c r="I32" s="333"/>
      <c r="J32" s="333"/>
      <c r="K32" s="333"/>
      <c r="L32" s="333"/>
    </row>
    <row r="33" spans="1:12" x14ac:dyDescent="0.25">
      <c r="A33" s="88" t="s">
        <v>355</v>
      </c>
      <c r="B33" s="156">
        <f>+B30/$B$31*$B$32</f>
        <v>129.02414486921526</v>
      </c>
      <c r="C33" s="100">
        <f t="shared" ref="C33:H33" si="0">+C30/$B$31*$B$32</f>
        <v>361.26760563380276</v>
      </c>
      <c r="D33" s="100">
        <f t="shared" si="0"/>
        <v>516.09657947686105</v>
      </c>
      <c r="E33" s="100">
        <f t="shared" si="0"/>
        <v>619.31589537223329</v>
      </c>
      <c r="F33" s="100">
        <f t="shared" si="0"/>
        <v>877.36418511066393</v>
      </c>
      <c r="G33" s="100">
        <f t="shared" si="0"/>
        <v>1032.1931589537221</v>
      </c>
      <c r="H33" s="100">
        <f t="shared" si="0"/>
        <v>1083.8028169014083</v>
      </c>
      <c r="I33" s="88"/>
      <c r="J33" s="88"/>
      <c r="K33" s="88"/>
      <c r="L33" s="88"/>
    </row>
    <row r="35" spans="1:12" ht="21" x14ac:dyDescent="0.35">
      <c r="A35" s="102" t="s">
        <v>457</v>
      </c>
    </row>
    <row r="36" spans="1:12" x14ac:dyDescent="0.25">
      <c r="A36" s="205" t="s">
        <v>458</v>
      </c>
      <c r="B36" s="109">
        <v>0.27</v>
      </c>
    </row>
    <row r="37" spans="1:12" s="205" customFormat="1" x14ac:dyDescent="0.25"/>
    <row r="38" spans="1:12" ht="21" x14ac:dyDescent="0.35">
      <c r="A38" s="102" t="s">
        <v>461</v>
      </c>
      <c r="G38" s="91"/>
      <c r="H38" s="92"/>
      <c r="L38" s="91"/>
    </row>
    <row r="39" spans="1:12" x14ac:dyDescent="0.25">
      <c r="A39" s="101"/>
      <c r="B39" s="111" t="s">
        <v>311</v>
      </c>
      <c r="C39" s="111" t="s">
        <v>517</v>
      </c>
      <c r="E39" s="99" t="s">
        <v>466</v>
      </c>
      <c r="F39" s="99"/>
      <c r="G39" s="179">
        <v>4.5</v>
      </c>
      <c r="H39" s="166">
        <v>0.75</v>
      </c>
      <c r="I39" s="679" t="s">
        <v>464</v>
      </c>
      <c r="J39" s="680"/>
      <c r="K39" s="63">
        <f>DT!G306+DT!L306</f>
        <v>237604827.07255444</v>
      </c>
    </row>
    <row r="40" spans="1:12" x14ac:dyDescent="0.25">
      <c r="A40" s="205" t="s">
        <v>463</v>
      </c>
      <c r="B40" s="110">
        <v>8</v>
      </c>
      <c r="C40" s="95">
        <f>+H40</f>
        <v>0.75</v>
      </c>
      <c r="E40" s="99" t="s">
        <v>363</v>
      </c>
      <c r="F40" s="99"/>
      <c r="G40" s="112">
        <f>G39*H46</f>
        <v>181210830.03874588</v>
      </c>
      <c r="H40" s="154">
        <f>(IF(G40&gt;K40,H39,H39/K40*G40))</f>
        <v>0.75</v>
      </c>
      <c r="I40" s="679" t="s">
        <v>465</v>
      </c>
      <c r="J40" s="680"/>
      <c r="K40" s="63">
        <f>K39*H39</f>
        <v>178203620.30441582</v>
      </c>
    </row>
    <row r="41" spans="1:12" x14ac:dyDescent="0.25">
      <c r="A41" s="87" t="s">
        <v>462</v>
      </c>
      <c r="B41" s="110">
        <v>1</v>
      </c>
      <c r="C41" s="95">
        <f>+H40</f>
        <v>0.75</v>
      </c>
      <c r="K41" s="195"/>
    </row>
    <row r="43" spans="1:12" ht="21" x14ac:dyDescent="0.35">
      <c r="A43" s="102" t="s">
        <v>470</v>
      </c>
      <c r="H43" s="186"/>
      <c r="J43" s="212"/>
    </row>
    <row r="44" spans="1:12" x14ac:dyDescent="0.25">
      <c r="A44" s="87" t="s">
        <v>468</v>
      </c>
      <c r="B44" s="467">
        <v>48</v>
      </c>
      <c r="C44" s="360" t="s">
        <v>469</v>
      </c>
    </row>
    <row r="45" spans="1:12" x14ac:dyDescent="0.25">
      <c r="A45" s="87" t="s">
        <v>467</v>
      </c>
      <c r="B45" s="467">
        <v>8</v>
      </c>
      <c r="C45" s="197"/>
      <c r="E45" s="177"/>
      <c r="I45" s="679" t="str">
        <f>CONCATENATE("PCS selon ",B7)</f>
        <v>PCS selon Comptes 2022</v>
      </c>
      <c r="J45" s="680"/>
      <c r="K45" s="63">
        <f>+B11</f>
        <v>773176130</v>
      </c>
    </row>
    <row r="46" spans="1:12" x14ac:dyDescent="0.25">
      <c r="A46" s="87" t="s">
        <v>474</v>
      </c>
      <c r="B46" s="566">
        <v>93.882000000000005</v>
      </c>
      <c r="E46" s="679" t="str">
        <f>CONCATENATE("Valeur du point ",B4)</f>
        <v>Valeur du point Décompte 2022</v>
      </c>
      <c r="F46" s="681"/>
      <c r="G46" s="680"/>
      <c r="H46" s="63">
        <f>VPI!R306</f>
        <v>40269073.341943532</v>
      </c>
      <c r="I46" s="679" t="s">
        <v>476</v>
      </c>
      <c r="J46" s="680"/>
      <c r="K46" s="137">
        <v>795342044</v>
      </c>
    </row>
    <row r="47" spans="1:12" x14ac:dyDescent="0.25">
      <c r="A47" s="87" t="s">
        <v>377</v>
      </c>
      <c r="B47" s="466">
        <f>B46+K47</f>
        <v>93.882000000000005</v>
      </c>
      <c r="E47" s="679" t="s">
        <v>475</v>
      </c>
      <c r="F47" s="681"/>
      <c r="G47" s="680"/>
      <c r="H47" s="137">
        <v>39865815</v>
      </c>
      <c r="I47" s="679" t="s">
        <v>473</v>
      </c>
      <c r="J47" s="680"/>
      <c r="K47" s="99">
        <f>IF((K45/K46)&gt;(H46/H47),(K45-K46)/H46,0)</f>
        <v>0</v>
      </c>
    </row>
    <row r="48" spans="1:12" x14ac:dyDescent="0.25">
      <c r="A48" s="205"/>
      <c r="E48" s="678"/>
      <c r="F48" s="678"/>
      <c r="G48" s="678"/>
    </row>
    <row r="49" spans="1:12" ht="21" x14ac:dyDescent="0.35">
      <c r="A49" s="102" t="s">
        <v>460</v>
      </c>
      <c r="B49" s="336" t="s">
        <v>472</v>
      </c>
      <c r="C49" s="459" t="s">
        <v>488</v>
      </c>
      <c r="D49" s="336" t="s">
        <v>471</v>
      </c>
    </row>
    <row r="50" spans="1:12" x14ac:dyDescent="0.25">
      <c r="A50" s="87" t="s">
        <v>553</v>
      </c>
      <c r="B50" s="137">
        <v>10065094.035052128</v>
      </c>
      <c r="C50" s="359">
        <f>D50-B50</f>
        <v>0</v>
      </c>
      <c r="D50" s="63">
        <f>'Péréquation directe'!H312</f>
        <v>10065094.035052124</v>
      </c>
      <c r="L50" s="91"/>
    </row>
    <row r="51" spans="1:12" x14ac:dyDescent="0.25">
      <c r="A51" s="87" t="s">
        <v>459</v>
      </c>
      <c r="B51" s="137">
        <v>450000</v>
      </c>
      <c r="C51" s="381" t="s">
        <v>600</v>
      </c>
      <c r="D51" s="91"/>
      <c r="L51" s="91"/>
    </row>
    <row r="52" spans="1:12" s="205" customFormat="1" x14ac:dyDescent="0.25">
      <c r="B52" s="337"/>
      <c r="C52" s="205" t="s">
        <v>598</v>
      </c>
    </row>
    <row r="53" spans="1:12" ht="21" x14ac:dyDescent="0.35">
      <c r="A53" s="113" t="s">
        <v>410</v>
      </c>
      <c r="B53" s="88"/>
      <c r="C53" s="88"/>
      <c r="D53" s="141"/>
      <c r="F53" s="141"/>
      <c r="G53" s="194"/>
      <c r="H53" s="115"/>
    </row>
    <row r="54" spans="1:12" s="205" customFormat="1" x14ac:dyDescent="0.25">
      <c r="A54" s="206" t="s">
        <v>477</v>
      </c>
      <c r="B54" s="63">
        <v>62118300</v>
      </c>
      <c r="C54" s="206"/>
      <c r="D54" s="141"/>
      <c r="F54" s="141"/>
      <c r="G54" s="194"/>
      <c r="H54" s="115"/>
    </row>
    <row r="55" spans="1:12" s="205" customFormat="1" x14ac:dyDescent="0.25">
      <c r="A55" s="206" t="s">
        <v>478</v>
      </c>
      <c r="B55" s="338">
        <v>1.4999999999999999E-2</v>
      </c>
      <c r="C55" s="206"/>
      <c r="D55" s="141"/>
      <c r="F55" s="141"/>
      <c r="G55" s="194"/>
      <c r="H55" s="115"/>
    </row>
    <row r="56" spans="1:12" x14ac:dyDescent="0.25">
      <c r="A56" s="88" t="str">
        <f>CONCATENATE("Montant de la facture ",B8)</f>
        <v>Montant de la facture 2022</v>
      </c>
      <c r="B56" s="63">
        <f>ROUND((B54*(1+B55)^(B8-2013)),0)</f>
        <v>71025442</v>
      </c>
      <c r="C56" s="88"/>
      <c r="D56" s="141"/>
      <c r="E56" s="88"/>
      <c r="F56" s="141"/>
      <c r="G56" s="194"/>
      <c r="H56" s="115"/>
    </row>
    <row r="57" spans="1:12" x14ac:dyDescent="0.25">
      <c r="A57" s="88"/>
      <c r="B57" s="339"/>
      <c r="C57" s="88"/>
      <c r="D57" s="141"/>
      <c r="E57" s="88"/>
      <c r="F57" s="141"/>
      <c r="G57" s="194"/>
      <c r="H57" s="115"/>
    </row>
    <row r="58" spans="1:12" x14ac:dyDescent="0.25">
      <c r="F58" s="141"/>
      <c r="G58" s="194"/>
      <c r="H58" s="115"/>
      <c r="I58" s="205"/>
      <c r="J58" s="205"/>
      <c r="K58" s="205"/>
    </row>
    <row r="59" spans="1:12" x14ac:dyDescent="0.25">
      <c r="F59" s="141"/>
    </row>
    <row r="60" spans="1:12" x14ac:dyDescent="0.25">
      <c r="A60" s="206"/>
      <c r="B60" s="206"/>
      <c r="F60" s="141"/>
    </row>
    <row r="61" spans="1:12" ht="21" x14ac:dyDescent="0.35">
      <c r="A61" s="113" t="s">
        <v>366</v>
      </c>
      <c r="F61" s="141"/>
    </row>
    <row r="62" spans="1:12" x14ac:dyDescent="0.25">
      <c r="A62" s="87" t="s">
        <v>333</v>
      </c>
      <c r="B62" s="87">
        <v>5621</v>
      </c>
      <c r="F62" s="141"/>
    </row>
    <row r="63" spans="1:12" x14ac:dyDescent="0.25">
      <c r="A63" s="87" t="s">
        <v>276</v>
      </c>
      <c r="B63" s="87">
        <v>5742</v>
      </c>
      <c r="F63" s="141"/>
    </row>
    <row r="64" spans="1:12" x14ac:dyDescent="0.25">
      <c r="A64" s="87" t="s">
        <v>224</v>
      </c>
      <c r="B64" s="87">
        <v>5401</v>
      </c>
      <c r="F64" s="141"/>
    </row>
    <row r="65" spans="1:2" x14ac:dyDescent="0.25">
      <c r="A65" s="87" t="s">
        <v>15</v>
      </c>
      <c r="B65" s="87">
        <v>5851</v>
      </c>
    </row>
    <row r="66" spans="1:2" x14ac:dyDescent="0.25">
      <c r="A66" s="87" t="s">
        <v>98</v>
      </c>
      <c r="B66" s="87">
        <v>5701</v>
      </c>
    </row>
    <row r="67" spans="1:2" x14ac:dyDescent="0.25">
      <c r="A67" s="87" t="s">
        <v>226</v>
      </c>
      <c r="B67" s="87">
        <v>5743</v>
      </c>
    </row>
    <row r="68" spans="1:2" x14ac:dyDescent="0.25">
      <c r="A68" s="87" t="s">
        <v>352</v>
      </c>
      <c r="B68" s="87">
        <v>5702</v>
      </c>
    </row>
    <row r="69" spans="1:2" x14ac:dyDescent="0.25">
      <c r="A69" s="87" t="s">
        <v>157</v>
      </c>
      <c r="B69" s="87">
        <v>5511</v>
      </c>
    </row>
    <row r="70" spans="1:2" x14ac:dyDescent="0.25">
      <c r="A70" s="87" t="s">
        <v>67</v>
      </c>
      <c r="B70" s="87">
        <v>5422</v>
      </c>
    </row>
    <row r="71" spans="1:2" x14ac:dyDescent="0.25">
      <c r="A71" s="87" t="s">
        <v>294</v>
      </c>
      <c r="B71" s="87">
        <v>5451</v>
      </c>
    </row>
    <row r="72" spans="1:2" x14ac:dyDescent="0.25">
      <c r="A72" s="87" t="s">
        <v>227</v>
      </c>
      <c r="B72" s="87">
        <v>5744</v>
      </c>
    </row>
    <row r="73" spans="1:2" x14ac:dyDescent="0.25">
      <c r="A73" s="87" t="s">
        <v>68</v>
      </c>
      <c r="B73" s="87">
        <v>5423</v>
      </c>
    </row>
    <row r="74" spans="1:2" x14ac:dyDescent="0.25">
      <c r="A74" s="87" t="s">
        <v>99</v>
      </c>
      <c r="B74" s="87">
        <v>5703</v>
      </c>
    </row>
    <row r="75" spans="1:2" x14ac:dyDescent="0.25">
      <c r="A75" s="87" t="s">
        <v>228</v>
      </c>
      <c r="B75" s="87">
        <v>5745</v>
      </c>
    </row>
    <row r="76" spans="1:2" x14ac:dyDescent="0.25">
      <c r="A76" s="87" t="s">
        <v>229</v>
      </c>
      <c r="B76" s="87">
        <v>5746</v>
      </c>
    </row>
    <row r="77" spans="1:2" x14ac:dyDescent="0.25">
      <c r="A77" s="87" t="s">
        <v>195</v>
      </c>
      <c r="B77" s="87">
        <v>5704</v>
      </c>
    </row>
    <row r="78" spans="1:2" x14ac:dyDescent="0.25">
      <c r="A78" s="87" t="s">
        <v>317</v>
      </c>
      <c r="B78" s="87">
        <v>5581</v>
      </c>
    </row>
    <row r="79" spans="1:2" x14ac:dyDescent="0.25">
      <c r="A79" s="87" t="s">
        <v>51</v>
      </c>
      <c r="B79" s="87">
        <v>5902</v>
      </c>
    </row>
    <row r="80" spans="1:2" x14ac:dyDescent="0.25">
      <c r="A80" s="87" t="s">
        <v>158</v>
      </c>
      <c r="B80" s="87">
        <v>5512</v>
      </c>
    </row>
    <row r="81" spans="1:2" x14ac:dyDescent="0.25">
      <c r="A81" s="87" t="s">
        <v>69</v>
      </c>
      <c r="B81" s="87">
        <v>5424</v>
      </c>
    </row>
    <row r="82" spans="1:2" x14ac:dyDescent="0.25">
      <c r="A82" s="87" t="s">
        <v>297</v>
      </c>
      <c r="B82" s="87">
        <v>5471</v>
      </c>
    </row>
    <row r="83" spans="1:2" x14ac:dyDescent="0.25">
      <c r="A83" s="87" t="s">
        <v>225</v>
      </c>
      <c r="B83" s="87">
        <v>5402</v>
      </c>
    </row>
    <row r="84" spans="1:2" x14ac:dyDescent="0.25">
      <c r="A84" s="87" t="s">
        <v>70</v>
      </c>
      <c r="B84" s="87">
        <v>5425</v>
      </c>
    </row>
    <row r="85" spans="1:2" x14ac:dyDescent="0.25">
      <c r="A85" s="87" t="s">
        <v>52</v>
      </c>
      <c r="B85" s="87">
        <v>5903</v>
      </c>
    </row>
    <row r="86" spans="1:2" x14ac:dyDescent="0.25">
      <c r="A86" s="87" t="s">
        <v>564</v>
      </c>
      <c r="B86" s="87">
        <v>5892</v>
      </c>
    </row>
    <row r="87" spans="1:2" x14ac:dyDescent="0.25">
      <c r="A87" s="87" t="s">
        <v>230</v>
      </c>
      <c r="B87" s="87">
        <v>5747</v>
      </c>
    </row>
    <row r="88" spans="1:2" x14ac:dyDescent="0.25">
      <c r="A88" s="87" t="s">
        <v>196</v>
      </c>
      <c r="B88" s="87">
        <v>5705</v>
      </c>
    </row>
    <row r="89" spans="1:2" x14ac:dyDescent="0.25">
      <c r="A89" s="87" t="s">
        <v>32</v>
      </c>
      <c r="B89" s="87">
        <v>5551</v>
      </c>
    </row>
    <row r="90" spans="1:2" x14ac:dyDescent="0.25">
      <c r="A90" s="87" t="s">
        <v>197</v>
      </c>
      <c r="B90" s="87">
        <v>5706</v>
      </c>
    </row>
    <row r="91" spans="1:2" x14ac:dyDescent="0.25">
      <c r="A91" s="87" t="s">
        <v>159</v>
      </c>
      <c r="B91" s="87">
        <v>5514</v>
      </c>
    </row>
    <row r="92" spans="1:2" x14ac:dyDescent="0.25">
      <c r="A92" s="87" t="s">
        <v>65</v>
      </c>
      <c r="B92" s="87">
        <v>5426</v>
      </c>
    </row>
    <row r="93" spans="1:2" x14ac:dyDescent="0.25">
      <c r="A93" s="87" t="s">
        <v>182</v>
      </c>
      <c r="B93" s="87">
        <v>5661</v>
      </c>
    </row>
    <row r="94" spans="1:2" x14ac:dyDescent="0.25">
      <c r="A94" s="87" t="s">
        <v>342</v>
      </c>
      <c r="B94" s="87">
        <v>5613</v>
      </c>
    </row>
    <row r="95" spans="1:2" x14ac:dyDescent="0.25">
      <c r="A95" s="87" t="s">
        <v>298</v>
      </c>
      <c r="B95" s="87">
        <v>5472</v>
      </c>
    </row>
    <row r="96" spans="1:2" x14ac:dyDescent="0.25">
      <c r="A96" s="87" t="s">
        <v>188</v>
      </c>
      <c r="B96" s="87">
        <v>5473</v>
      </c>
    </row>
    <row r="97" spans="1:2" x14ac:dyDescent="0.25">
      <c r="A97" s="87" t="s">
        <v>130</v>
      </c>
      <c r="B97" s="87">
        <v>5622</v>
      </c>
    </row>
    <row r="98" spans="1:2" x14ac:dyDescent="0.25">
      <c r="A98" s="87" t="s">
        <v>160</v>
      </c>
      <c r="B98" s="87">
        <v>5515</v>
      </c>
    </row>
    <row r="99" spans="1:2" x14ac:dyDescent="0.25">
      <c r="A99" s="87" t="s">
        <v>231</v>
      </c>
      <c r="B99" s="87">
        <v>5748</v>
      </c>
    </row>
    <row r="100" spans="1:2" x14ac:dyDescent="0.25">
      <c r="A100" s="87" t="s">
        <v>131</v>
      </c>
      <c r="B100" s="87">
        <v>5623</v>
      </c>
    </row>
    <row r="101" spans="1:2" x14ac:dyDescent="0.25">
      <c r="A101" s="87" t="s">
        <v>33</v>
      </c>
      <c r="B101" s="87">
        <v>5552</v>
      </c>
    </row>
    <row r="102" spans="1:2" x14ac:dyDescent="0.25">
      <c r="A102" s="87" t="s">
        <v>16</v>
      </c>
      <c r="B102" s="87">
        <v>5852</v>
      </c>
    </row>
    <row r="103" spans="1:2" x14ac:dyDescent="0.25">
      <c r="A103" s="87" t="s">
        <v>17</v>
      </c>
      <c r="B103" s="87">
        <v>5853</v>
      </c>
    </row>
    <row r="104" spans="1:2" x14ac:dyDescent="0.25">
      <c r="A104" s="87" t="s">
        <v>18</v>
      </c>
      <c r="B104" s="87">
        <v>5854</v>
      </c>
    </row>
    <row r="105" spans="1:2" x14ac:dyDescent="0.25">
      <c r="A105" s="87" t="s">
        <v>351</v>
      </c>
      <c r="B105" s="87">
        <v>5624</v>
      </c>
    </row>
    <row r="106" spans="1:2" x14ac:dyDescent="0.25">
      <c r="A106" s="87" t="s">
        <v>183</v>
      </c>
      <c r="B106" s="87">
        <v>5663</v>
      </c>
    </row>
    <row r="107" spans="1:2" x14ac:dyDescent="0.25">
      <c r="A107" s="87" t="s">
        <v>53</v>
      </c>
      <c r="B107" s="87">
        <v>5904</v>
      </c>
    </row>
    <row r="108" spans="1:2" x14ac:dyDescent="0.25">
      <c r="A108" s="87" t="s">
        <v>34</v>
      </c>
      <c r="B108" s="87">
        <v>5553</v>
      </c>
    </row>
    <row r="109" spans="1:2" x14ac:dyDescent="0.25">
      <c r="A109" s="87" t="s">
        <v>315</v>
      </c>
      <c r="B109" s="87">
        <v>5812</v>
      </c>
    </row>
    <row r="110" spans="1:2" x14ac:dyDescent="0.25">
      <c r="A110" s="87" t="s">
        <v>54</v>
      </c>
      <c r="B110" s="87">
        <v>5905</v>
      </c>
    </row>
    <row r="111" spans="1:2" x14ac:dyDescent="0.25">
      <c r="A111" s="87" t="s">
        <v>186</v>
      </c>
      <c r="B111" s="87">
        <v>5882</v>
      </c>
    </row>
    <row r="112" spans="1:2" x14ac:dyDescent="0.25">
      <c r="A112" s="87" t="s">
        <v>12</v>
      </c>
      <c r="B112" s="87">
        <v>5841</v>
      </c>
    </row>
    <row r="113" spans="1:2" x14ac:dyDescent="0.25">
      <c r="A113" s="87" t="s">
        <v>198</v>
      </c>
      <c r="B113" s="87">
        <v>5707</v>
      </c>
    </row>
    <row r="114" spans="1:2" x14ac:dyDescent="0.25">
      <c r="A114" s="87" t="s">
        <v>199</v>
      </c>
      <c r="B114" s="87">
        <v>5708</v>
      </c>
    </row>
    <row r="115" spans="1:2" x14ac:dyDescent="0.25">
      <c r="A115" s="87" t="s">
        <v>55</v>
      </c>
      <c r="B115" s="87">
        <v>5907</v>
      </c>
    </row>
    <row r="116" spans="1:2" x14ac:dyDescent="0.25">
      <c r="A116" s="87" t="s">
        <v>306</v>
      </c>
      <c r="B116" s="87">
        <v>5475</v>
      </c>
    </row>
    <row r="117" spans="1:2" x14ac:dyDescent="0.25">
      <c r="A117" s="87" t="s">
        <v>220</v>
      </c>
      <c r="B117" s="87">
        <v>5627</v>
      </c>
    </row>
    <row r="118" spans="1:2" x14ac:dyDescent="0.25">
      <c r="A118" s="87" t="s">
        <v>85</v>
      </c>
      <c r="B118" s="87">
        <v>5665</v>
      </c>
    </row>
    <row r="119" spans="1:2" x14ac:dyDescent="0.25">
      <c r="A119" s="87" t="s">
        <v>232</v>
      </c>
      <c r="B119" s="87">
        <v>5749</v>
      </c>
    </row>
    <row r="120" spans="1:2" x14ac:dyDescent="0.25">
      <c r="A120" s="87" t="s">
        <v>56</v>
      </c>
      <c r="B120" s="87">
        <v>5908</v>
      </c>
    </row>
    <row r="121" spans="1:2" x14ac:dyDescent="0.25">
      <c r="A121" s="87" t="s">
        <v>57</v>
      </c>
      <c r="B121" s="87">
        <v>5909</v>
      </c>
    </row>
    <row r="122" spans="1:2" x14ac:dyDescent="0.25">
      <c r="A122" s="87" t="s">
        <v>318</v>
      </c>
      <c r="B122" s="87">
        <v>5582</v>
      </c>
    </row>
    <row r="123" spans="1:2" x14ac:dyDescent="0.25">
      <c r="A123" s="87" t="s">
        <v>200</v>
      </c>
      <c r="B123" s="87">
        <v>5709</v>
      </c>
    </row>
    <row r="124" spans="1:2" x14ac:dyDescent="0.25">
      <c r="A124" s="87" t="s">
        <v>100</v>
      </c>
      <c r="B124" s="87">
        <v>5403</v>
      </c>
    </row>
    <row r="125" spans="1:2" x14ac:dyDescent="0.25">
      <c r="A125" s="87" t="s">
        <v>307</v>
      </c>
      <c r="B125" s="87">
        <v>5476</v>
      </c>
    </row>
    <row r="126" spans="1:2" x14ac:dyDescent="0.25">
      <c r="A126" s="87" t="s">
        <v>316</v>
      </c>
      <c r="B126" s="87">
        <v>5813</v>
      </c>
    </row>
    <row r="127" spans="1:2" x14ac:dyDescent="0.25">
      <c r="A127" s="87" t="s">
        <v>253</v>
      </c>
      <c r="B127" s="87">
        <v>5601</v>
      </c>
    </row>
    <row r="128" spans="1:2" x14ac:dyDescent="0.25">
      <c r="A128" s="87" t="s">
        <v>221</v>
      </c>
      <c r="B128" s="87">
        <v>5628</v>
      </c>
    </row>
    <row r="129" spans="1:2" x14ac:dyDescent="0.25">
      <c r="A129" s="87" t="s">
        <v>134</v>
      </c>
      <c r="B129" s="87">
        <v>5629</v>
      </c>
    </row>
    <row r="130" spans="1:2" x14ac:dyDescent="0.25">
      <c r="A130" s="87" t="s">
        <v>201</v>
      </c>
      <c r="B130" s="87">
        <v>5710</v>
      </c>
    </row>
    <row r="131" spans="1:2" x14ac:dyDescent="0.25">
      <c r="A131" s="87" t="s">
        <v>202</v>
      </c>
      <c r="B131" s="87">
        <v>5711</v>
      </c>
    </row>
    <row r="132" spans="1:2" x14ac:dyDescent="0.25">
      <c r="A132" s="87" t="s">
        <v>35</v>
      </c>
      <c r="B132" s="87">
        <v>5554</v>
      </c>
    </row>
    <row r="133" spans="1:2" x14ac:dyDescent="0.25">
      <c r="A133" s="87" t="s">
        <v>203</v>
      </c>
      <c r="B133" s="87">
        <v>5712</v>
      </c>
    </row>
    <row r="134" spans="1:2" x14ac:dyDescent="0.25">
      <c r="A134" s="87" t="s">
        <v>101</v>
      </c>
      <c r="B134" s="87">
        <v>5404</v>
      </c>
    </row>
    <row r="135" spans="1:2" x14ac:dyDescent="0.25">
      <c r="A135" s="87" t="s">
        <v>239</v>
      </c>
      <c r="B135" s="87">
        <v>5785</v>
      </c>
    </row>
    <row r="136" spans="1:2" x14ac:dyDescent="0.25">
      <c r="A136" s="87" t="s">
        <v>36</v>
      </c>
      <c r="B136" s="87">
        <v>5555</v>
      </c>
    </row>
    <row r="137" spans="1:2" x14ac:dyDescent="0.25">
      <c r="A137" s="87" t="s">
        <v>5</v>
      </c>
      <c r="B137" s="87">
        <v>5816</v>
      </c>
    </row>
    <row r="138" spans="1:2" x14ac:dyDescent="0.25">
      <c r="A138" s="87" t="s">
        <v>187</v>
      </c>
      <c r="B138" s="87">
        <v>5883</v>
      </c>
    </row>
    <row r="139" spans="1:2" x14ac:dyDescent="0.25">
      <c r="A139" s="87" t="s">
        <v>45</v>
      </c>
      <c r="B139" s="87">
        <v>5884</v>
      </c>
    </row>
    <row r="140" spans="1:2" x14ac:dyDescent="0.25">
      <c r="A140" s="87" t="s">
        <v>308</v>
      </c>
      <c r="B140" s="87">
        <v>5477</v>
      </c>
    </row>
    <row r="141" spans="1:2" x14ac:dyDescent="0.25">
      <c r="A141" s="87" t="s">
        <v>554</v>
      </c>
      <c r="B141" s="87">
        <v>5713</v>
      </c>
    </row>
    <row r="142" spans="1:2" x14ac:dyDescent="0.25">
      <c r="A142" s="87" t="s">
        <v>204</v>
      </c>
      <c r="B142" s="87">
        <v>5714</v>
      </c>
    </row>
    <row r="143" spans="1:2" x14ac:dyDescent="0.25">
      <c r="A143" s="87" t="s">
        <v>319</v>
      </c>
      <c r="B143" s="87">
        <v>5583</v>
      </c>
    </row>
    <row r="144" spans="1:2" x14ac:dyDescent="0.25">
      <c r="A144" s="87" t="s">
        <v>58</v>
      </c>
      <c r="B144" s="87">
        <v>5910</v>
      </c>
    </row>
    <row r="145" spans="1:2" x14ac:dyDescent="0.25">
      <c r="A145" s="87" t="s">
        <v>280</v>
      </c>
      <c r="B145" s="87">
        <v>5752</v>
      </c>
    </row>
    <row r="146" spans="1:2" x14ac:dyDescent="0.25">
      <c r="A146" s="87" t="s">
        <v>214</v>
      </c>
      <c r="B146" s="87">
        <v>5479</v>
      </c>
    </row>
    <row r="147" spans="1:2" x14ac:dyDescent="0.25">
      <c r="A147" s="87" t="s">
        <v>59</v>
      </c>
      <c r="B147" s="87">
        <v>5911</v>
      </c>
    </row>
    <row r="148" spans="1:2" x14ac:dyDescent="0.25">
      <c r="A148" s="87" t="s">
        <v>295</v>
      </c>
      <c r="B148" s="87">
        <v>5456</v>
      </c>
    </row>
    <row r="149" spans="1:2" x14ac:dyDescent="0.25">
      <c r="A149" s="87" t="s">
        <v>161</v>
      </c>
      <c r="B149" s="87">
        <v>5516</v>
      </c>
    </row>
    <row r="150" spans="1:2" x14ac:dyDescent="0.25">
      <c r="A150" s="87" t="s">
        <v>86</v>
      </c>
      <c r="B150" s="87">
        <v>5669</v>
      </c>
    </row>
    <row r="151" spans="1:2" x14ac:dyDescent="0.25">
      <c r="A151" s="87" t="s">
        <v>215</v>
      </c>
      <c r="B151" s="87">
        <v>5480</v>
      </c>
    </row>
    <row r="152" spans="1:2" x14ac:dyDescent="0.25">
      <c r="A152" s="87" t="s">
        <v>60</v>
      </c>
      <c r="B152" s="87">
        <v>5912</v>
      </c>
    </row>
    <row r="153" spans="1:2" x14ac:dyDescent="0.25">
      <c r="A153" s="87" t="s">
        <v>135</v>
      </c>
      <c r="B153" s="87">
        <v>5631</v>
      </c>
    </row>
    <row r="154" spans="1:2" x14ac:dyDescent="0.25">
      <c r="A154" s="87" t="s">
        <v>136</v>
      </c>
      <c r="B154" s="87">
        <v>5632</v>
      </c>
    </row>
    <row r="155" spans="1:2" x14ac:dyDescent="0.25">
      <c r="A155" s="87" t="s">
        <v>216</v>
      </c>
      <c r="B155" s="87">
        <v>5481</v>
      </c>
    </row>
    <row r="156" spans="1:2" x14ac:dyDescent="0.25">
      <c r="A156" s="87" t="s">
        <v>87</v>
      </c>
      <c r="B156" s="87">
        <v>5671</v>
      </c>
    </row>
    <row r="157" spans="1:2" x14ac:dyDescent="0.25">
      <c r="A157" s="87" t="s">
        <v>61</v>
      </c>
      <c r="B157" s="87">
        <v>5913</v>
      </c>
    </row>
    <row r="158" spans="1:2" x14ac:dyDescent="0.25">
      <c r="A158" s="87" t="s">
        <v>205</v>
      </c>
      <c r="B158" s="87">
        <v>5715</v>
      </c>
    </row>
    <row r="159" spans="1:2" x14ac:dyDescent="0.25">
      <c r="A159" s="87" t="s">
        <v>19</v>
      </c>
      <c r="B159" s="87">
        <v>5855</v>
      </c>
    </row>
    <row r="160" spans="1:2" x14ac:dyDescent="0.25">
      <c r="A160" s="87" t="s">
        <v>162</v>
      </c>
      <c r="B160" s="87">
        <v>5518</v>
      </c>
    </row>
    <row r="161" spans="1:2" x14ac:dyDescent="0.25">
      <c r="A161" s="87" t="s">
        <v>137</v>
      </c>
      <c r="B161" s="87">
        <v>5633</v>
      </c>
    </row>
    <row r="162" spans="1:2" x14ac:dyDescent="0.25">
      <c r="A162" s="87" t="s">
        <v>138</v>
      </c>
      <c r="B162" s="87">
        <v>5634</v>
      </c>
    </row>
    <row r="163" spans="1:2" x14ac:dyDescent="0.25">
      <c r="A163" s="87" t="s">
        <v>217</v>
      </c>
      <c r="B163" s="87">
        <v>5482</v>
      </c>
    </row>
    <row r="164" spans="1:2" x14ac:dyDescent="0.25">
      <c r="A164" s="87" t="s">
        <v>139</v>
      </c>
      <c r="B164" s="87">
        <v>5635</v>
      </c>
    </row>
    <row r="165" spans="1:2" x14ac:dyDescent="0.25">
      <c r="A165" s="87" t="s">
        <v>320</v>
      </c>
      <c r="B165" s="87">
        <v>5584</v>
      </c>
    </row>
    <row r="166" spans="1:2" x14ac:dyDescent="0.25">
      <c r="A166" s="87" t="s">
        <v>62</v>
      </c>
      <c r="B166" s="87">
        <v>5914</v>
      </c>
    </row>
    <row r="167" spans="1:2" x14ac:dyDescent="0.25">
      <c r="A167" s="87" t="s">
        <v>20</v>
      </c>
      <c r="B167" s="87">
        <v>5856</v>
      </c>
    </row>
    <row r="168" spans="1:2" x14ac:dyDescent="0.25">
      <c r="A168" s="87" t="s">
        <v>163</v>
      </c>
      <c r="B168" s="87">
        <v>5520</v>
      </c>
    </row>
    <row r="169" spans="1:2" x14ac:dyDescent="0.25">
      <c r="A169" s="87" t="s">
        <v>164</v>
      </c>
      <c r="B169" s="87">
        <v>5521</v>
      </c>
    </row>
    <row r="170" spans="1:2" x14ac:dyDescent="0.25">
      <c r="A170" s="87" t="s">
        <v>140</v>
      </c>
      <c r="B170" s="87">
        <v>5636</v>
      </c>
    </row>
    <row r="171" spans="1:2" x14ac:dyDescent="0.25">
      <c r="A171" s="87" t="s">
        <v>206</v>
      </c>
      <c r="B171" s="87">
        <v>5716</v>
      </c>
    </row>
    <row r="172" spans="1:2" x14ac:dyDescent="0.25">
      <c r="A172" s="87" t="s">
        <v>296</v>
      </c>
      <c r="B172" s="87">
        <v>5458</v>
      </c>
    </row>
    <row r="173" spans="1:2" x14ac:dyDescent="0.25">
      <c r="A173" s="87" t="s">
        <v>289</v>
      </c>
      <c r="B173" s="87">
        <v>5427</v>
      </c>
    </row>
    <row r="174" spans="1:2" x14ac:dyDescent="0.25">
      <c r="A174" s="87" t="s">
        <v>125</v>
      </c>
      <c r="B174" s="87">
        <v>5483</v>
      </c>
    </row>
    <row r="175" spans="1:2" x14ac:dyDescent="0.25">
      <c r="A175" s="87" t="s">
        <v>165</v>
      </c>
      <c r="B175" s="87">
        <v>5522</v>
      </c>
    </row>
    <row r="176" spans="1:2" x14ac:dyDescent="0.25">
      <c r="A176" s="87" t="s">
        <v>37</v>
      </c>
      <c r="B176" s="87">
        <v>5556</v>
      </c>
    </row>
    <row r="177" spans="1:2" x14ac:dyDescent="0.25">
      <c r="A177" s="87" t="s">
        <v>38</v>
      </c>
      <c r="B177" s="87">
        <v>5557</v>
      </c>
    </row>
    <row r="178" spans="1:2" x14ac:dyDescent="0.25">
      <c r="A178" s="87" t="s">
        <v>128</v>
      </c>
      <c r="B178" s="87">
        <v>5604</v>
      </c>
    </row>
    <row r="179" spans="1:2" x14ac:dyDescent="0.25">
      <c r="A179" s="87" t="s">
        <v>207</v>
      </c>
      <c r="B179" s="87">
        <v>5717</v>
      </c>
    </row>
    <row r="180" spans="1:2" x14ac:dyDescent="0.25">
      <c r="A180" s="87" t="s">
        <v>166</v>
      </c>
      <c r="B180" s="87">
        <v>5523</v>
      </c>
    </row>
    <row r="181" spans="1:2" x14ac:dyDescent="0.25">
      <c r="A181" s="87" t="s">
        <v>208</v>
      </c>
      <c r="B181" s="87">
        <v>5718</v>
      </c>
    </row>
    <row r="182" spans="1:2" x14ac:dyDescent="0.25">
      <c r="A182" s="87" t="s">
        <v>39</v>
      </c>
      <c r="B182" s="87">
        <v>5559</v>
      </c>
    </row>
    <row r="183" spans="1:2" x14ac:dyDescent="0.25">
      <c r="A183" s="87" t="s">
        <v>21</v>
      </c>
      <c r="B183" s="87">
        <v>5857</v>
      </c>
    </row>
    <row r="184" spans="1:2" x14ac:dyDescent="0.25">
      <c r="A184" s="87" t="s">
        <v>290</v>
      </c>
      <c r="B184" s="87">
        <v>5428</v>
      </c>
    </row>
    <row r="185" spans="1:2" x14ac:dyDescent="0.25">
      <c r="A185" s="87" t="s">
        <v>209</v>
      </c>
      <c r="B185" s="87">
        <v>5719</v>
      </c>
    </row>
    <row r="186" spans="1:2" x14ac:dyDescent="0.25">
      <c r="A186" s="87" t="s">
        <v>210</v>
      </c>
      <c r="B186" s="87">
        <v>5720</v>
      </c>
    </row>
    <row r="187" spans="1:2" x14ac:dyDescent="0.25">
      <c r="A187" s="87" t="s">
        <v>211</v>
      </c>
      <c r="B187" s="87">
        <v>5721</v>
      </c>
    </row>
    <row r="188" spans="1:2" x14ac:dyDescent="0.25">
      <c r="A188" s="87" t="s">
        <v>126</v>
      </c>
      <c r="B188" s="87">
        <v>5484</v>
      </c>
    </row>
    <row r="189" spans="1:2" x14ac:dyDescent="0.25">
      <c r="A189" s="87" t="s">
        <v>345</v>
      </c>
      <c r="B189" s="87">
        <v>5541</v>
      </c>
    </row>
    <row r="190" spans="1:2" x14ac:dyDescent="0.25">
      <c r="A190" s="87" t="s">
        <v>127</v>
      </c>
      <c r="B190" s="87">
        <v>5485</v>
      </c>
    </row>
    <row r="191" spans="1:2" x14ac:dyDescent="0.25">
      <c r="A191" s="87" t="s">
        <v>6</v>
      </c>
      <c r="B191" s="87">
        <v>5817</v>
      </c>
    </row>
    <row r="192" spans="1:2" x14ac:dyDescent="0.25">
      <c r="A192" s="87" t="s">
        <v>40</v>
      </c>
      <c r="B192" s="87">
        <v>5560</v>
      </c>
    </row>
    <row r="193" spans="1:2" x14ac:dyDescent="0.25">
      <c r="A193" s="87" t="s">
        <v>41</v>
      </c>
      <c r="B193" s="87">
        <v>5561</v>
      </c>
    </row>
    <row r="194" spans="1:2" x14ac:dyDescent="0.25">
      <c r="A194" s="87" t="s">
        <v>212</v>
      </c>
      <c r="B194" s="87">
        <v>5722</v>
      </c>
    </row>
    <row r="195" spans="1:2" x14ac:dyDescent="0.25">
      <c r="A195" s="87" t="s">
        <v>102</v>
      </c>
      <c r="B195" s="87">
        <v>5405</v>
      </c>
    </row>
    <row r="196" spans="1:2" x14ac:dyDescent="0.25">
      <c r="A196" s="87" t="s">
        <v>396</v>
      </c>
      <c r="B196" s="87">
        <v>5656</v>
      </c>
    </row>
    <row r="197" spans="1:2" x14ac:dyDescent="0.25">
      <c r="A197" s="87" t="s">
        <v>7</v>
      </c>
      <c r="B197" s="87">
        <v>5819</v>
      </c>
    </row>
    <row r="198" spans="1:2" x14ac:dyDescent="0.25">
      <c r="A198" s="87" t="s">
        <v>88</v>
      </c>
      <c r="B198" s="87">
        <v>5673</v>
      </c>
    </row>
    <row r="199" spans="1:2" x14ac:dyDescent="0.25">
      <c r="A199" s="87" t="s">
        <v>46</v>
      </c>
      <c r="B199" s="87">
        <v>5885</v>
      </c>
    </row>
    <row r="200" spans="1:2" x14ac:dyDescent="0.25">
      <c r="A200" s="87" t="s">
        <v>347</v>
      </c>
      <c r="B200" s="87">
        <v>5804</v>
      </c>
    </row>
    <row r="201" spans="1:2" x14ac:dyDescent="0.25">
      <c r="A201" s="87" t="s">
        <v>374</v>
      </c>
      <c r="B201" s="87">
        <v>5806</v>
      </c>
    </row>
    <row r="202" spans="1:2" x14ac:dyDescent="0.25">
      <c r="A202" s="87" t="s">
        <v>321</v>
      </c>
      <c r="B202" s="87">
        <v>5585</v>
      </c>
    </row>
    <row r="203" spans="1:2" x14ac:dyDescent="0.25">
      <c r="A203" s="87" t="s">
        <v>281</v>
      </c>
      <c r="B203" s="87">
        <v>5754</v>
      </c>
    </row>
    <row r="204" spans="1:2" x14ac:dyDescent="0.25">
      <c r="A204" s="87" t="s">
        <v>189</v>
      </c>
      <c r="B204" s="87">
        <v>5474</v>
      </c>
    </row>
    <row r="205" spans="1:2" x14ac:dyDescent="0.25">
      <c r="A205" s="87" t="s">
        <v>192</v>
      </c>
      <c r="B205" s="87">
        <v>5758</v>
      </c>
    </row>
    <row r="206" spans="1:2" x14ac:dyDescent="0.25">
      <c r="A206" s="87" t="s">
        <v>268</v>
      </c>
      <c r="B206" s="87">
        <v>5726</v>
      </c>
    </row>
    <row r="207" spans="1:2" x14ac:dyDescent="0.25">
      <c r="A207" s="87" t="s">
        <v>153</v>
      </c>
      <c r="B207" s="87">
        <v>5498</v>
      </c>
    </row>
    <row r="208" spans="1:2" x14ac:dyDescent="0.25">
      <c r="A208" s="87" t="s">
        <v>48</v>
      </c>
      <c r="B208" s="87">
        <v>5889</v>
      </c>
    </row>
    <row r="209" spans="1:2" x14ac:dyDescent="0.25">
      <c r="A209" s="87" t="s">
        <v>28</v>
      </c>
      <c r="B209" s="87">
        <v>5871</v>
      </c>
    </row>
    <row r="210" spans="1:2" x14ac:dyDescent="0.25">
      <c r="A210" s="87" t="s">
        <v>275</v>
      </c>
      <c r="B210" s="87">
        <v>5741</v>
      </c>
    </row>
    <row r="211" spans="1:2" x14ac:dyDescent="0.25">
      <c r="A211" s="87" t="s">
        <v>108</v>
      </c>
      <c r="B211" s="87">
        <v>5586</v>
      </c>
    </row>
    <row r="212" spans="1:2" x14ac:dyDescent="0.25">
      <c r="A212" s="87" t="s">
        <v>103</v>
      </c>
      <c r="B212" s="87">
        <v>5406</v>
      </c>
    </row>
    <row r="213" spans="1:2" x14ac:dyDescent="0.25">
      <c r="A213" s="87" t="s">
        <v>141</v>
      </c>
      <c r="B213" s="87">
        <v>5637</v>
      </c>
    </row>
    <row r="214" spans="1:2" x14ac:dyDescent="0.25">
      <c r="A214" s="87" t="s">
        <v>184</v>
      </c>
      <c r="B214" s="87">
        <v>5872</v>
      </c>
    </row>
    <row r="215" spans="1:2" x14ac:dyDescent="0.25">
      <c r="A215" s="87" t="s">
        <v>185</v>
      </c>
      <c r="B215" s="87">
        <v>5873</v>
      </c>
    </row>
    <row r="216" spans="1:2" x14ac:dyDescent="0.25">
      <c r="A216" s="87" t="s">
        <v>109</v>
      </c>
      <c r="B216" s="87">
        <v>5587</v>
      </c>
    </row>
    <row r="217" spans="1:2" x14ac:dyDescent="0.25">
      <c r="A217" s="87" t="s">
        <v>273</v>
      </c>
      <c r="B217" s="87">
        <v>5731</v>
      </c>
    </row>
    <row r="218" spans="1:2" x14ac:dyDescent="0.25">
      <c r="A218" s="87" t="s">
        <v>233</v>
      </c>
      <c r="B218" s="87">
        <v>5750</v>
      </c>
    </row>
    <row r="219" spans="1:2" x14ac:dyDescent="0.25">
      <c r="A219" s="87" t="s">
        <v>104</v>
      </c>
      <c r="B219" s="87">
        <v>5407</v>
      </c>
    </row>
    <row r="220" spans="1:2" x14ac:dyDescent="0.25">
      <c r="A220" s="87" t="s">
        <v>282</v>
      </c>
      <c r="B220" s="87">
        <v>5755</v>
      </c>
    </row>
    <row r="221" spans="1:2" x14ac:dyDescent="0.25">
      <c r="A221" s="87" t="s">
        <v>0</v>
      </c>
      <c r="B221" s="87">
        <v>5486</v>
      </c>
    </row>
    <row r="222" spans="1:2" x14ac:dyDescent="0.25">
      <c r="A222" s="87" t="s">
        <v>142</v>
      </c>
      <c r="B222" s="87">
        <v>5638</v>
      </c>
    </row>
    <row r="223" spans="1:2" x14ac:dyDescent="0.25">
      <c r="A223" s="87" t="s">
        <v>302</v>
      </c>
      <c r="B223" s="87">
        <v>5429</v>
      </c>
    </row>
    <row r="224" spans="1:2" x14ac:dyDescent="0.25">
      <c r="A224" s="87" t="s">
        <v>89</v>
      </c>
      <c r="B224" s="87">
        <v>5674</v>
      </c>
    </row>
    <row r="225" spans="1:2" x14ac:dyDescent="0.25">
      <c r="A225" s="87" t="s">
        <v>90</v>
      </c>
      <c r="B225" s="87">
        <v>5675</v>
      </c>
    </row>
    <row r="226" spans="1:2" x14ac:dyDescent="0.25">
      <c r="A226" s="87" t="s">
        <v>22</v>
      </c>
      <c r="B226" s="87">
        <v>5858</v>
      </c>
    </row>
    <row r="227" spans="1:2" x14ac:dyDescent="0.25">
      <c r="A227" s="87" t="s">
        <v>143</v>
      </c>
      <c r="B227" s="87">
        <v>5639</v>
      </c>
    </row>
    <row r="228" spans="1:2" x14ac:dyDescent="0.25">
      <c r="A228" s="87" t="s">
        <v>1</v>
      </c>
      <c r="B228" s="87">
        <v>5487</v>
      </c>
    </row>
    <row r="229" spans="1:2" x14ac:dyDescent="0.25">
      <c r="A229" s="87" t="s">
        <v>144</v>
      </c>
      <c r="B229" s="87">
        <v>5640</v>
      </c>
    </row>
    <row r="230" spans="1:2" x14ac:dyDescent="0.25">
      <c r="A230" s="87" t="s">
        <v>129</v>
      </c>
      <c r="B230" s="87">
        <v>5606</v>
      </c>
    </row>
    <row r="231" spans="1:2" x14ac:dyDescent="0.25">
      <c r="A231" s="87" t="s">
        <v>240</v>
      </c>
      <c r="B231" s="87">
        <v>5790</v>
      </c>
    </row>
    <row r="232" spans="1:2" x14ac:dyDescent="0.25">
      <c r="A232" s="87" t="s">
        <v>303</v>
      </c>
      <c r="B232" s="87">
        <v>5430</v>
      </c>
    </row>
    <row r="233" spans="1:2" x14ac:dyDescent="0.25">
      <c r="A233" s="87" t="s">
        <v>322</v>
      </c>
      <c r="B233" s="87">
        <v>5919</v>
      </c>
    </row>
    <row r="234" spans="1:2" x14ac:dyDescent="0.25">
      <c r="A234" s="87" t="s">
        <v>42</v>
      </c>
      <c r="B234" s="87">
        <v>5562</v>
      </c>
    </row>
    <row r="235" spans="1:2" x14ac:dyDescent="0.25">
      <c r="A235" s="87" t="s">
        <v>2</v>
      </c>
      <c r="B235" s="87">
        <v>5488</v>
      </c>
    </row>
    <row r="236" spans="1:2" x14ac:dyDescent="0.25">
      <c r="A236" s="87" t="s">
        <v>3</v>
      </c>
      <c r="B236" s="87">
        <v>5489</v>
      </c>
    </row>
    <row r="237" spans="1:2" x14ac:dyDescent="0.25">
      <c r="A237" s="87" t="s">
        <v>213</v>
      </c>
      <c r="B237" s="87">
        <v>5723</v>
      </c>
    </row>
    <row r="238" spans="1:2" x14ac:dyDescent="0.25">
      <c r="A238" s="87" t="s">
        <v>8</v>
      </c>
      <c r="B238" s="87">
        <v>5821</v>
      </c>
    </row>
    <row r="239" spans="1:2" x14ac:dyDescent="0.25">
      <c r="A239" s="87" t="s">
        <v>4</v>
      </c>
      <c r="B239" s="87">
        <v>5490</v>
      </c>
    </row>
    <row r="240" spans="1:2" x14ac:dyDescent="0.25">
      <c r="A240" s="87" t="s">
        <v>304</v>
      </c>
      <c r="B240" s="87">
        <v>5431</v>
      </c>
    </row>
    <row r="241" spans="1:2" x14ac:dyDescent="0.25">
      <c r="A241" s="87" t="s">
        <v>323</v>
      </c>
      <c r="B241" s="87">
        <v>5921</v>
      </c>
    </row>
    <row r="242" spans="1:2" x14ac:dyDescent="0.25">
      <c r="A242" s="87" t="s">
        <v>234</v>
      </c>
      <c r="B242" s="87">
        <v>5922</v>
      </c>
    </row>
    <row r="243" spans="1:2" x14ac:dyDescent="0.25">
      <c r="A243" s="87" t="s">
        <v>353</v>
      </c>
      <c r="B243" s="87">
        <v>5693</v>
      </c>
    </row>
    <row r="244" spans="1:2" x14ac:dyDescent="0.25">
      <c r="A244" s="87" t="s">
        <v>283</v>
      </c>
      <c r="B244" s="87">
        <v>5756</v>
      </c>
    </row>
    <row r="245" spans="1:2" x14ac:dyDescent="0.25">
      <c r="A245" s="87" t="s">
        <v>346</v>
      </c>
      <c r="B245" s="87">
        <v>5540</v>
      </c>
    </row>
    <row r="246" spans="1:2" x14ac:dyDescent="0.25">
      <c r="A246" s="87" t="s">
        <v>147</v>
      </c>
      <c r="B246" s="87">
        <v>5491</v>
      </c>
    </row>
    <row r="247" spans="1:2" x14ac:dyDescent="0.25">
      <c r="A247" s="87" t="s">
        <v>241</v>
      </c>
      <c r="B247" s="87">
        <v>5792</v>
      </c>
    </row>
    <row r="248" spans="1:2" x14ac:dyDescent="0.25">
      <c r="A248" s="87" t="s">
        <v>47</v>
      </c>
      <c r="B248" s="87">
        <v>5886</v>
      </c>
    </row>
    <row r="249" spans="1:2" x14ac:dyDescent="0.25">
      <c r="A249" s="87" t="s">
        <v>148</v>
      </c>
      <c r="B249" s="87">
        <v>5492</v>
      </c>
    </row>
    <row r="250" spans="1:2" x14ac:dyDescent="0.25">
      <c r="A250" s="87" t="s">
        <v>23</v>
      </c>
      <c r="B250" s="87">
        <v>5859</v>
      </c>
    </row>
    <row r="251" spans="1:2" x14ac:dyDescent="0.25">
      <c r="A251" s="87" t="s">
        <v>145</v>
      </c>
      <c r="B251" s="87">
        <v>5642</v>
      </c>
    </row>
    <row r="252" spans="1:2" x14ac:dyDescent="0.25">
      <c r="A252" s="87" t="s">
        <v>167</v>
      </c>
      <c r="B252" s="87">
        <v>5527</v>
      </c>
    </row>
    <row r="253" spans="1:2" x14ac:dyDescent="0.25">
      <c r="A253" s="87" t="s">
        <v>91</v>
      </c>
      <c r="B253" s="87">
        <v>5678</v>
      </c>
    </row>
    <row r="254" spans="1:2" x14ac:dyDescent="0.25">
      <c r="A254" s="87" t="s">
        <v>244</v>
      </c>
      <c r="B254" s="87">
        <v>5563</v>
      </c>
    </row>
    <row r="255" spans="1:2" x14ac:dyDescent="0.25">
      <c r="A255" s="87" t="s">
        <v>245</v>
      </c>
      <c r="B255" s="87">
        <v>5564</v>
      </c>
    </row>
    <row r="256" spans="1:2" x14ac:dyDescent="0.25">
      <c r="A256" s="87" t="s">
        <v>105</v>
      </c>
      <c r="B256" s="87">
        <v>5408</v>
      </c>
    </row>
    <row r="257" spans="1:2" x14ac:dyDescent="0.25">
      <c r="A257" s="87" t="s">
        <v>63</v>
      </c>
      <c r="B257" s="87">
        <v>5724</v>
      </c>
    </row>
    <row r="258" spans="1:2" x14ac:dyDescent="0.25">
      <c r="A258" s="87" t="s">
        <v>92</v>
      </c>
      <c r="B258" s="87">
        <v>5680</v>
      </c>
    </row>
    <row r="259" spans="1:2" x14ac:dyDescent="0.25">
      <c r="A259" s="87" t="s">
        <v>106</v>
      </c>
      <c r="B259" s="87">
        <v>5409</v>
      </c>
    </row>
    <row r="260" spans="1:2" x14ac:dyDescent="0.25">
      <c r="A260" s="87" t="s">
        <v>246</v>
      </c>
      <c r="B260" s="87">
        <v>5565</v>
      </c>
    </row>
    <row r="261" spans="1:2" x14ac:dyDescent="0.25">
      <c r="A261" s="87" t="s">
        <v>235</v>
      </c>
      <c r="B261" s="87">
        <v>5923</v>
      </c>
    </row>
    <row r="262" spans="1:2" x14ac:dyDescent="0.25">
      <c r="A262" s="87" t="s">
        <v>284</v>
      </c>
      <c r="B262" s="87">
        <v>5757</v>
      </c>
    </row>
    <row r="263" spans="1:2" x14ac:dyDescent="0.25">
      <c r="A263" s="87" t="s">
        <v>236</v>
      </c>
      <c r="B263" s="87">
        <v>5924</v>
      </c>
    </row>
    <row r="264" spans="1:2" x14ac:dyDescent="0.25">
      <c r="A264" s="87" t="s">
        <v>116</v>
      </c>
      <c r="B264" s="87">
        <v>5410</v>
      </c>
    </row>
    <row r="265" spans="1:2" x14ac:dyDescent="0.25">
      <c r="A265" s="87" t="s">
        <v>117</v>
      </c>
      <c r="B265" s="87">
        <v>5411</v>
      </c>
    </row>
    <row r="266" spans="1:2" x14ac:dyDescent="0.25">
      <c r="A266" s="87" t="s">
        <v>149</v>
      </c>
      <c r="B266" s="87">
        <v>5493</v>
      </c>
    </row>
    <row r="267" spans="1:2" x14ac:dyDescent="0.25">
      <c r="A267" s="87" t="s">
        <v>349</v>
      </c>
      <c r="B267" s="87">
        <v>5805</v>
      </c>
    </row>
    <row r="268" spans="1:2" x14ac:dyDescent="0.25">
      <c r="A268" s="87" t="s">
        <v>327</v>
      </c>
      <c r="B268" s="87">
        <v>5925</v>
      </c>
    </row>
    <row r="269" spans="1:2" x14ac:dyDescent="0.25">
      <c r="A269" s="87" t="s">
        <v>168</v>
      </c>
      <c r="B269" s="87">
        <v>5529</v>
      </c>
    </row>
    <row r="270" spans="1:2" x14ac:dyDescent="0.25">
      <c r="A270" s="87" t="s">
        <v>169</v>
      </c>
      <c r="B270" s="87">
        <v>5530</v>
      </c>
    </row>
    <row r="271" spans="1:2" x14ac:dyDescent="0.25">
      <c r="A271" s="87" t="s">
        <v>110</v>
      </c>
      <c r="B271" s="87">
        <v>5588</v>
      </c>
    </row>
    <row r="272" spans="1:2" x14ac:dyDescent="0.25">
      <c r="A272" s="87" t="s">
        <v>9</v>
      </c>
      <c r="B272" s="87">
        <v>5822</v>
      </c>
    </row>
    <row r="273" spans="1:2" x14ac:dyDescent="0.25">
      <c r="A273" s="87" t="s">
        <v>150</v>
      </c>
      <c r="B273" s="87">
        <v>5495</v>
      </c>
    </row>
    <row r="274" spans="1:2" x14ac:dyDescent="0.25">
      <c r="A274" s="87" t="s">
        <v>151</v>
      </c>
      <c r="B274" s="87">
        <v>5496</v>
      </c>
    </row>
    <row r="275" spans="1:2" x14ac:dyDescent="0.25">
      <c r="A275" s="87" t="s">
        <v>170</v>
      </c>
      <c r="B275" s="87">
        <v>5531</v>
      </c>
    </row>
    <row r="276" spans="1:2" x14ac:dyDescent="0.25">
      <c r="A276" s="87" t="s">
        <v>24</v>
      </c>
      <c r="B276" s="87">
        <v>5860</v>
      </c>
    </row>
    <row r="277" spans="1:2" x14ac:dyDescent="0.25">
      <c r="A277" s="87" t="s">
        <v>171</v>
      </c>
      <c r="B277" s="87">
        <v>5533</v>
      </c>
    </row>
    <row r="278" spans="1:2" x14ac:dyDescent="0.25">
      <c r="A278" s="87" t="s">
        <v>152</v>
      </c>
      <c r="B278" s="87">
        <v>5497</v>
      </c>
    </row>
    <row r="279" spans="1:2" x14ac:dyDescent="0.25">
      <c r="A279" s="87" t="s">
        <v>328</v>
      </c>
      <c r="B279" s="87">
        <v>5926</v>
      </c>
    </row>
    <row r="280" spans="1:2" x14ac:dyDescent="0.25">
      <c r="A280" s="87" t="s">
        <v>64</v>
      </c>
      <c r="B280" s="87">
        <v>5725</v>
      </c>
    </row>
    <row r="281" spans="1:2" x14ac:dyDescent="0.25">
      <c r="A281" s="87" t="s">
        <v>193</v>
      </c>
      <c r="B281" s="87">
        <v>5759</v>
      </c>
    </row>
    <row r="282" spans="1:2" x14ac:dyDescent="0.25">
      <c r="A282" s="87" t="s">
        <v>146</v>
      </c>
      <c r="B282" s="87">
        <v>5643</v>
      </c>
    </row>
    <row r="283" spans="1:2" x14ac:dyDescent="0.25">
      <c r="A283" s="87" t="s">
        <v>93</v>
      </c>
      <c r="B283" s="87">
        <v>5683</v>
      </c>
    </row>
    <row r="284" spans="1:2" x14ac:dyDescent="0.25">
      <c r="A284" s="87" t="s">
        <v>111</v>
      </c>
      <c r="B284" s="87">
        <v>5589</v>
      </c>
    </row>
    <row r="285" spans="1:2" x14ac:dyDescent="0.25">
      <c r="A285" s="87" t="s">
        <v>247</v>
      </c>
      <c r="B285" s="87">
        <v>5566</v>
      </c>
    </row>
    <row r="286" spans="1:2" x14ac:dyDescent="0.25">
      <c r="A286" s="87" t="s">
        <v>255</v>
      </c>
      <c r="B286" s="87">
        <v>5607</v>
      </c>
    </row>
    <row r="287" spans="1:2" x14ac:dyDescent="0.25">
      <c r="A287" s="87" t="s">
        <v>112</v>
      </c>
      <c r="B287" s="87">
        <v>5590</v>
      </c>
    </row>
    <row r="288" spans="1:2" x14ac:dyDescent="0.25">
      <c r="A288" s="87" t="s">
        <v>194</v>
      </c>
      <c r="B288" s="87">
        <v>5760</v>
      </c>
    </row>
    <row r="289" spans="1:2" x14ac:dyDescent="0.25">
      <c r="A289" s="87" t="s">
        <v>324</v>
      </c>
      <c r="B289" s="87">
        <v>5591</v>
      </c>
    </row>
    <row r="290" spans="1:2" x14ac:dyDescent="0.25">
      <c r="A290" s="87" t="s">
        <v>118</v>
      </c>
      <c r="B290" s="87">
        <v>5412</v>
      </c>
    </row>
    <row r="291" spans="1:2" x14ac:dyDescent="0.25">
      <c r="A291" s="87" t="s">
        <v>114</v>
      </c>
      <c r="B291" s="87">
        <v>5609</v>
      </c>
    </row>
    <row r="292" spans="1:2" x14ac:dyDescent="0.25">
      <c r="A292" s="87" t="s">
        <v>119</v>
      </c>
      <c r="B292" s="87">
        <v>5413</v>
      </c>
    </row>
    <row r="293" spans="1:2" x14ac:dyDescent="0.25">
      <c r="A293" s="87" t="s">
        <v>25</v>
      </c>
      <c r="B293" s="87">
        <v>5861</v>
      </c>
    </row>
    <row r="294" spans="1:2" x14ac:dyDescent="0.25">
      <c r="A294" s="87" t="s">
        <v>121</v>
      </c>
      <c r="B294" s="87">
        <v>5761</v>
      </c>
    </row>
    <row r="295" spans="1:2" x14ac:dyDescent="0.25">
      <c r="A295" s="87" t="s">
        <v>191</v>
      </c>
      <c r="B295" s="87">
        <v>5592</v>
      </c>
    </row>
    <row r="296" spans="1:2" x14ac:dyDescent="0.25">
      <c r="A296" s="87" t="s">
        <v>262</v>
      </c>
      <c r="B296" s="87">
        <v>5645</v>
      </c>
    </row>
    <row r="297" spans="1:2" x14ac:dyDescent="0.25">
      <c r="A297" s="87" t="s">
        <v>242</v>
      </c>
      <c r="B297" s="87">
        <v>5798</v>
      </c>
    </row>
    <row r="298" spans="1:2" x14ac:dyDescent="0.25">
      <c r="A298" s="87" t="s">
        <v>94</v>
      </c>
      <c r="B298" s="87">
        <v>5684</v>
      </c>
    </row>
    <row r="299" spans="1:2" x14ac:dyDescent="0.25">
      <c r="A299" s="87" t="s">
        <v>13</v>
      </c>
      <c r="B299" s="87">
        <v>5842</v>
      </c>
    </row>
    <row r="300" spans="1:2" x14ac:dyDescent="0.25">
      <c r="A300" s="87" t="s">
        <v>14</v>
      </c>
      <c r="B300" s="87">
        <v>5843</v>
      </c>
    </row>
    <row r="301" spans="1:2" x14ac:dyDescent="0.25">
      <c r="A301" s="87" t="s">
        <v>329</v>
      </c>
      <c r="B301" s="87">
        <v>5928</v>
      </c>
    </row>
    <row r="302" spans="1:2" x14ac:dyDescent="0.25">
      <c r="A302" s="87" t="s">
        <v>172</v>
      </c>
      <c r="B302" s="87">
        <v>5534</v>
      </c>
    </row>
    <row r="303" spans="1:2" x14ac:dyDescent="0.25">
      <c r="A303" s="87" t="s">
        <v>29</v>
      </c>
      <c r="B303" s="87">
        <v>5535</v>
      </c>
    </row>
    <row r="304" spans="1:2" x14ac:dyDescent="0.25">
      <c r="A304" s="87" t="s">
        <v>269</v>
      </c>
      <c r="B304" s="87">
        <v>5727</v>
      </c>
    </row>
    <row r="305" spans="1:2" x14ac:dyDescent="0.25">
      <c r="A305" s="87" t="s">
        <v>107</v>
      </c>
      <c r="B305" s="87">
        <v>5568</v>
      </c>
    </row>
    <row r="306" spans="1:2" x14ac:dyDescent="0.25">
      <c r="A306" s="87" t="s">
        <v>305</v>
      </c>
      <c r="B306" s="87">
        <v>5434</v>
      </c>
    </row>
    <row r="307" spans="1:2" x14ac:dyDescent="0.25">
      <c r="A307" s="87" t="s">
        <v>291</v>
      </c>
      <c r="B307" s="87">
        <v>5435</v>
      </c>
    </row>
    <row r="308" spans="1:2" x14ac:dyDescent="0.25">
      <c r="A308" s="87" t="s">
        <v>292</v>
      </c>
      <c r="B308" s="87">
        <v>5436</v>
      </c>
    </row>
    <row r="309" spans="1:2" x14ac:dyDescent="0.25">
      <c r="A309" s="87" t="s">
        <v>263</v>
      </c>
      <c r="B309" s="87">
        <v>5646</v>
      </c>
    </row>
    <row r="310" spans="1:2" x14ac:dyDescent="0.25">
      <c r="A310" s="87" t="s">
        <v>264</v>
      </c>
      <c r="B310" s="87">
        <v>5648</v>
      </c>
    </row>
    <row r="311" spans="1:2" x14ac:dyDescent="0.25">
      <c r="A311" s="87" t="s">
        <v>293</v>
      </c>
      <c r="B311" s="87">
        <v>5437</v>
      </c>
    </row>
    <row r="312" spans="1:2" x14ac:dyDescent="0.25">
      <c r="A312" s="87" t="s">
        <v>252</v>
      </c>
      <c r="B312" s="87">
        <v>5611</v>
      </c>
    </row>
    <row r="313" spans="1:2" x14ac:dyDescent="0.25">
      <c r="A313" s="87" t="s">
        <v>154</v>
      </c>
      <c r="B313" s="87">
        <v>5499</v>
      </c>
    </row>
    <row r="314" spans="1:2" x14ac:dyDescent="0.25">
      <c r="A314" s="87" t="s">
        <v>122</v>
      </c>
      <c r="B314" s="87">
        <v>5762</v>
      </c>
    </row>
    <row r="315" spans="1:2" x14ac:dyDescent="0.25">
      <c r="A315" s="87" t="s">
        <v>243</v>
      </c>
      <c r="B315" s="87">
        <v>5799</v>
      </c>
    </row>
    <row r="316" spans="1:2" x14ac:dyDescent="0.25">
      <c r="A316" s="87" t="s">
        <v>270</v>
      </c>
      <c r="B316" s="87">
        <v>5728</v>
      </c>
    </row>
    <row r="317" spans="1:2" x14ac:dyDescent="0.25">
      <c r="A317" s="87" t="s">
        <v>115</v>
      </c>
      <c r="B317" s="87">
        <v>5610</v>
      </c>
    </row>
    <row r="318" spans="1:2" x14ac:dyDescent="0.25">
      <c r="A318" s="87" t="s">
        <v>330</v>
      </c>
      <c r="B318" s="87">
        <v>5929</v>
      </c>
    </row>
    <row r="319" spans="1:2" x14ac:dyDescent="0.25">
      <c r="A319" s="87" t="s">
        <v>155</v>
      </c>
      <c r="B319" s="87">
        <v>5501</v>
      </c>
    </row>
    <row r="320" spans="1:2" x14ac:dyDescent="0.25">
      <c r="A320" s="87" t="s">
        <v>331</v>
      </c>
      <c r="B320" s="87">
        <v>5930</v>
      </c>
    </row>
    <row r="321" spans="1:2" x14ac:dyDescent="0.25">
      <c r="A321" s="87" t="s">
        <v>95</v>
      </c>
      <c r="B321" s="87">
        <v>5688</v>
      </c>
    </row>
    <row r="322" spans="1:2" x14ac:dyDescent="0.25">
      <c r="A322" s="87" t="s">
        <v>271</v>
      </c>
      <c r="B322" s="87">
        <v>5729</v>
      </c>
    </row>
    <row r="323" spans="1:2" x14ac:dyDescent="0.25">
      <c r="A323" s="87" t="s">
        <v>26</v>
      </c>
      <c r="B323" s="87">
        <v>5862</v>
      </c>
    </row>
    <row r="324" spans="1:2" x14ac:dyDescent="0.25">
      <c r="A324" s="87" t="s">
        <v>343</v>
      </c>
      <c r="B324" s="87">
        <v>5571</v>
      </c>
    </row>
    <row r="325" spans="1:2" x14ac:dyDescent="0.25">
      <c r="A325" s="87" t="s">
        <v>265</v>
      </c>
      <c r="B325" s="87">
        <v>5649</v>
      </c>
    </row>
    <row r="326" spans="1:2" x14ac:dyDescent="0.25">
      <c r="A326" s="87" t="s">
        <v>272</v>
      </c>
      <c r="B326" s="87">
        <v>5730</v>
      </c>
    </row>
    <row r="327" spans="1:2" x14ac:dyDescent="0.25">
      <c r="A327" s="87" t="s">
        <v>10</v>
      </c>
      <c r="B327" s="87">
        <v>5827</v>
      </c>
    </row>
    <row r="328" spans="1:2" x14ac:dyDescent="0.25">
      <c r="A328" s="87" t="s">
        <v>332</v>
      </c>
      <c r="B328" s="87">
        <v>5931</v>
      </c>
    </row>
    <row r="329" spans="1:2" x14ac:dyDescent="0.25">
      <c r="A329" s="87" t="s">
        <v>373</v>
      </c>
      <c r="B329" s="87">
        <v>5828</v>
      </c>
    </row>
    <row r="330" spans="1:2" x14ac:dyDescent="0.25">
      <c r="A330" s="87" t="s">
        <v>237</v>
      </c>
      <c r="B330" s="87">
        <v>5932</v>
      </c>
    </row>
    <row r="331" spans="1:2" x14ac:dyDescent="0.25">
      <c r="A331" s="87" t="s">
        <v>348</v>
      </c>
      <c r="B331" s="87">
        <v>5831</v>
      </c>
    </row>
    <row r="332" spans="1:2" x14ac:dyDescent="0.25">
      <c r="A332" s="87" t="s">
        <v>325</v>
      </c>
      <c r="B332" s="87">
        <v>5933</v>
      </c>
    </row>
    <row r="333" spans="1:2" x14ac:dyDescent="0.25">
      <c r="A333" s="87" t="s">
        <v>123</v>
      </c>
      <c r="B333" s="87">
        <v>5763</v>
      </c>
    </row>
    <row r="334" spans="1:2" x14ac:dyDescent="0.25">
      <c r="A334" s="87" t="s">
        <v>326</v>
      </c>
      <c r="B334" s="87">
        <v>5934</v>
      </c>
    </row>
    <row r="335" spans="1:2" x14ac:dyDescent="0.25">
      <c r="A335" s="87" t="s">
        <v>285</v>
      </c>
      <c r="B335" s="87">
        <v>5764</v>
      </c>
    </row>
    <row r="336" spans="1:2" x14ac:dyDescent="0.25">
      <c r="A336" s="87" t="s">
        <v>286</v>
      </c>
      <c r="B336" s="87">
        <v>5765</v>
      </c>
    </row>
    <row r="337" spans="1:2" x14ac:dyDescent="0.25">
      <c r="A337" s="87" t="s">
        <v>266</v>
      </c>
      <c r="B337" s="87">
        <v>5650</v>
      </c>
    </row>
    <row r="338" spans="1:2" x14ac:dyDescent="0.25">
      <c r="A338" s="87" t="s">
        <v>49</v>
      </c>
      <c r="B338" s="87">
        <v>5890</v>
      </c>
    </row>
    <row r="339" spans="1:2" x14ac:dyDescent="0.25">
      <c r="A339" s="87" t="s">
        <v>50</v>
      </c>
      <c r="B339" s="87">
        <v>5891</v>
      </c>
    </row>
    <row r="340" spans="1:2" x14ac:dyDescent="0.25">
      <c r="A340" s="87" t="s">
        <v>274</v>
      </c>
      <c r="B340" s="87">
        <v>5732</v>
      </c>
    </row>
    <row r="341" spans="1:2" x14ac:dyDescent="0.25">
      <c r="A341" s="87" t="s">
        <v>254</v>
      </c>
      <c r="B341" s="87">
        <v>5935</v>
      </c>
    </row>
    <row r="342" spans="1:2" x14ac:dyDescent="0.25">
      <c r="A342" s="87" t="s">
        <v>96</v>
      </c>
      <c r="B342" s="87">
        <v>5690</v>
      </c>
    </row>
    <row r="343" spans="1:2" x14ac:dyDescent="0.25">
      <c r="A343" s="87" t="s">
        <v>30</v>
      </c>
      <c r="B343" s="87">
        <v>5537</v>
      </c>
    </row>
    <row r="344" spans="1:2" x14ac:dyDescent="0.25">
      <c r="A344" s="87" t="s">
        <v>267</v>
      </c>
      <c r="B344" s="87">
        <v>5651</v>
      </c>
    </row>
    <row r="345" spans="1:2" x14ac:dyDescent="0.25">
      <c r="A345" s="87" t="s">
        <v>178</v>
      </c>
      <c r="B345" s="87">
        <v>5652</v>
      </c>
    </row>
    <row r="346" spans="1:2" x14ac:dyDescent="0.25">
      <c r="A346" s="87" t="s">
        <v>11</v>
      </c>
      <c r="B346" s="87">
        <v>5830</v>
      </c>
    </row>
    <row r="347" spans="1:2" x14ac:dyDescent="0.25">
      <c r="A347" s="87" t="s">
        <v>120</v>
      </c>
      <c r="B347" s="87">
        <v>5414</v>
      </c>
    </row>
    <row r="348" spans="1:2" x14ac:dyDescent="0.25">
      <c r="A348" s="87" t="s">
        <v>27</v>
      </c>
      <c r="B348" s="87">
        <v>5863</v>
      </c>
    </row>
    <row r="349" spans="1:2" x14ac:dyDescent="0.25">
      <c r="A349" s="87" t="s">
        <v>31</v>
      </c>
      <c r="B349" s="87">
        <v>5539</v>
      </c>
    </row>
    <row r="350" spans="1:2" x14ac:dyDescent="0.25">
      <c r="A350" s="87" t="s">
        <v>97</v>
      </c>
      <c r="B350" s="87">
        <v>5692</v>
      </c>
    </row>
    <row r="351" spans="1:2" x14ac:dyDescent="0.25">
      <c r="A351" s="87" t="s">
        <v>156</v>
      </c>
      <c r="B351" s="87">
        <v>5503</v>
      </c>
    </row>
    <row r="352" spans="1:2" x14ac:dyDescent="0.25">
      <c r="A352" s="87" t="s">
        <v>179</v>
      </c>
      <c r="B352" s="87">
        <v>5653</v>
      </c>
    </row>
    <row r="353" spans="1:2" x14ac:dyDescent="0.25">
      <c r="A353" s="87" t="s">
        <v>238</v>
      </c>
      <c r="B353" s="87">
        <v>5937</v>
      </c>
    </row>
    <row r="354" spans="1:2" x14ac:dyDescent="0.25">
      <c r="A354" s="87" t="s">
        <v>287</v>
      </c>
      <c r="B354" s="87">
        <v>5766</v>
      </c>
    </row>
    <row r="355" spans="1:2" x14ac:dyDescent="0.25">
      <c r="A355" s="87" t="s">
        <v>314</v>
      </c>
      <c r="B355" s="87">
        <v>5803</v>
      </c>
    </row>
    <row r="356" spans="1:2" x14ac:dyDescent="0.25">
      <c r="A356" s="87" t="s">
        <v>180</v>
      </c>
      <c r="B356" s="87">
        <v>5654</v>
      </c>
    </row>
    <row r="357" spans="1:2" x14ac:dyDescent="0.25">
      <c r="A357" s="87" t="s">
        <v>344</v>
      </c>
      <c r="B357" s="87">
        <v>5464</v>
      </c>
    </row>
    <row r="358" spans="1:2" x14ac:dyDescent="0.25">
      <c r="A358" s="87" t="s">
        <v>181</v>
      </c>
      <c r="B358" s="87">
        <v>5655</v>
      </c>
    </row>
    <row r="359" spans="1:2" x14ac:dyDescent="0.25">
      <c r="A359" s="87" t="s">
        <v>133</v>
      </c>
      <c r="B359" s="87">
        <v>5938</v>
      </c>
    </row>
    <row r="360" spans="1:2" x14ac:dyDescent="0.25">
      <c r="A360" s="87" t="s">
        <v>132</v>
      </c>
      <c r="B360" s="87">
        <v>5939</v>
      </c>
    </row>
    <row r="361" spans="1:2" x14ac:dyDescent="0.25">
      <c r="A361" s="87" t="s">
        <v>66</v>
      </c>
      <c r="B361" s="87">
        <v>5415</v>
      </c>
    </row>
    <row r="371" spans="2:2" x14ac:dyDescent="0.25">
      <c r="B371" s="88"/>
    </row>
    <row r="372" spans="2:2" x14ac:dyDescent="0.25">
      <c r="B372" s="88"/>
    </row>
    <row r="373" spans="2:2" x14ac:dyDescent="0.25">
      <c r="B373" s="88"/>
    </row>
    <row r="374" spans="2:2" x14ac:dyDescent="0.25">
      <c r="B374" s="88"/>
    </row>
    <row r="375" spans="2:2" x14ac:dyDescent="0.25">
      <c r="B375" s="88"/>
    </row>
    <row r="376" spans="2:2" x14ac:dyDescent="0.25">
      <c r="B376" s="88"/>
    </row>
    <row r="377" spans="2:2" x14ac:dyDescent="0.25">
      <c r="B377" s="88"/>
    </row>
    <row r="378" spans="2:2" x14ac:dyDescent="0.25">
      <c r="B378" s="88"/>
    </row>
    <row r="379" spans="2:2" x14ac:dyDescent="0.25">
      <c r="B379" s="88"/>
    </row>
    <row r="380" spans="2:2" x14ac:dyDescent="0.25">
      <c r="B380" s="88"/>
    </row>
    <row r="381" spans="2:2" x14ac:dyDescent="0.25">
      <c r="B381" s="88"/>
    </row>
    <row r="382" spans="2:2" x14ac:dyDescent="0.25">
      <c r="B382" s="88"/>
    </row>
    <row r="383" spans="2:2" x14ac:dyDescent="0.25">
      <c r="B383" s="88"/>
    </row>
    <row r="384" spans="2:2" x14ac:dyDescent="0.25">
      <c r="B384" s="88"/>
    </row>
    <row r="385" spans="2:2" x14ac:dyDescent="0.25">
      <c r="B385" s="88"/>
    </row>
    <row r="386" spans="2:2" x14ac:dyDescent="0.25">
      <c r="B386" s="88"/>
    </row>
    <row r="387" spans="2:2" x14ac:dyDescent="0.25">
      <c r="B387" s="88"/>
    </row>
    <row r="388" spans="2:2" x14ac:dyDescent="0.25">
      <c r="B388" s="88"/>
    </row>
    <row r="389" spans="2:2" x14ac:dyDescent="0.25">
      <c r="B389" s="88"/>
    </row>
    <row r="390" spans="2:2" x14ac:dyDescent="0.25">
      <c r="B390" s="88"/>
    </row>
    <row r="391" spans="2:2" x14ac:dyDescent="0.25">
      <c r="B391" s="88"/>
    </row>
    <row r="392" spans="2:2" x14ac:dyDescent="0.25">
      <c r="B392" s="88"/>
    </row>
    <row r="393" spans="2:2" x14ac:dyDescent="0.25">
      <c r="B393" s="88"/>
    </row>
    <row r="394" spans="2:2" x14ac:dyDescent="0.25">
      <c r="B394" s="88"/>
    </row>
    <row r="395" spans="2:2" x14ac:dyDescent="0.25">
      <c r="B395" s="88"/>
    </row>
    <row r="396" spans="2:2" x14ac:dyDescent="0.25">
      <c r="B396" s="88"/>
    </row>
    <row r="397" spans="2:2" x14ac:dyDescent="0.25">
      <c r="B397" s="88"/>
    </row>
    <row r="398" spans="2:2" x14ac:dyDescent="0.25">
      <c r="B398" s="88"/>
    </row>
    <row r="399" spans="2:2" x14ac:dyDescent="0.25">
      <c r="B399" s="88"/>
    </row>
    <row r="400" spans="2:2" x14ac:dyDescent="0.25">
      <c r="B400" s="88"/>
    </row>
    <row r="401" spans="2:2" x14ac:dyDescent="0.25">
      <c r="B401" s="88"/>
    </row>
    <row r="402" spans="2:2" x14ac:dyDescent="0.25">
      <c r="B402" s="88"/>
    </row>
    <row r="403" spans="2:2" x14ac:dyDescent="0.25">
      <c r="B403" s="88"/>
    </row>
    <row r="404" spans="2:2" x14ac:dyDescent="0.25">
      <c r="B404" s="88"/>
    </row>
    <row r="405" spans="2:2" x14ac:dyDescent="0.25">
      <c r="B405" s="88"/>
    </row>
    <row r="406" spans="2:2" x14ac:dyDescent="0.25">
      <c r="B406" s="88"/>
    </row>
    <row r="407" spans="2:2" x14ac:dyDescent="0.25">
      <c r="B407" s="88"/>
    </row>
    <row r="408" spans="2:2" x14ac:dyDescent="0.25">
      <c r="B408" s="88"/>
    </row>
    <row r="409" spans="2:2" x14ac:dyDescent="0.25">
      <c r="B409" s="88"/>
    </row>
    <row r="410" spans="2:2" x14ac:dyDescent="0.25">
      <c r="B410" s="88"/>
    </row>
    <row r="411" spans="2:2" x14ac:dyDescent="0.25">
      <c r="B411" s="88"/>
    </row>
    <row r="412" spans="2:2" x14ac:dyDescent="0.25">
      <c r="B412" s="88"/>
    </row>
    <row r="413" spans="2:2" x14ac:dyDescent="0.25">
      <c r="B413" s="88"/>
    </row>
    <row r="414" spans="2:2" x14ac:dyDescent="0.25">
      <c r="B414" s="88"/>
    </row>
    <row r="415" spans="2:2" x14ac:dyDescent="0.25">
      <c r="B415" s="88"/>
    </row>
    <row r="416" spans="2:2" x14ac:dyDescent="0.25">
      <c r="B416" s="88"/>
    </row>
    <row r="417" spans="2:2" x14ac:dyDescent="0.25">
      <c r="B417" s="88"/>
    </row>
    <row r="418" spans="2:2" x14ac:dyDescent="0.25">
      <c r="B418" s="88"/>
    </row>
    <row r="419" spans="2:2" x14ac:dyDescent="0.25">
      <c r="B419" s="88"/>
    </row>
    <row r="420" spans="2:2" x14ac:dyDescent="0.25">
      <c r="B420" s="88"/>
    </row>
    <row r="421" spans="2:2" x14ac:dyDescent="0.25">
      <c r="B421" s="88"/>
    </row>
    <row r="422" spans="2:2" x14ac:dyDescent="0.25">
      <c r="B422" s="88"/>
    </row>
    <row r="423" spans="2:2" x14ac:dyDescent="0.25">
      <c r="B423" s="88"/>
    </row>
    <row r="424" spans="2:2" x14ac:dyDescent="0.25">
      <c r="B424" s="88"/>
    </row>
    <row r="425" spans="2:2" x14ac:dyDescent="0.25">
      <c r="B425" s="88"/>
    </row>
    <row r="426" spans="2:2" x14ac:dyDescent="0.25">
      <c r="B426" s="88"/>
    </row>
    <row r="427" spans="2:2" x14ac:dyDescent="0.25">
      <c r="B427" s="88"/>
    </row>
    <row r="428" spans="2:2" x14ac:dyDescent="0.25">
      <c r="B428" s="88"/>
    </row>
    <row r="429" spans="2:2" x14ac:dyDescent="0.25">
      <c r="B429" s="88"/>
    </row>
    <row r="430" spans="2:2" x14ac:dyDescent="0.25">
      <c r="B430" s="88"/>
    </row>
    <row r="431" spans="2:2" x14ac:dyDescent="0.25">
      <c r="B431" s="88"/>
    </row>
    <row r="432" spans="2:2" x14ac:dyDescent="0.25">
      <c r="B432" s="88"/>
    </row>
    <row r="433" spans="2:2" x14ac:dyDescent="0.25">
      <c r="B433" s="88"/>
    </row>
    <row r="434" spans="2:2" x14ac:dyDescent="0.25">
      <c r="B434" s="88"/>
    </row>
    <row r="435" spans="2:2" x14ac:dyDescent="0.25">
      <c r="B435" s="88"/>
    </row>
    <row r="436" spans="2:2" x14ac:dyDescent="0.25">
      <c r="B436" s="88"/>
    </row>
    <row r="437" spans="2:2" x14ac:dyDescent="0.25">
      <c r="B437" s="88"/>
    </row>
    <row r="438" spans="2:2" x14ac:dyDescent="0.25">
      <c r="B438" s="88"/>
    </row>
    <row r="439" spans="2:2" x14ac:dyDescent="0.25">
      <c r="B439" s="88"/>
    </row>
    <row r="440" spans="2:2" x14ac:dyDescent="0.25">
      <c r="B440" s="88"/>
    </row>
    <row r="441" spans="2:2" x14ac:dyDescent="0.25">
      <c r="B441" s="88"/>
    </row>
    <row r="442" spans="2:2" x14ac:dyDescent="0.25">
      <c r="B442" s="88"/>
    </row>
    <row r="443" spans="2:2" x14ac:dyDescent="0.25">
      <c r="B443" s="88"/>
    </row>
    <row r="444" spans="2:2" x14ac:dyDescent="0.25">
      <c r="B444" s="88"/>
    </row>
    <row r="445" spans="2:2" x14ac:dyDescent="0.25">
      <c r="B445" s="88"/>
    </row>
    <row r="446" spans="2:2" x14ac:dyDescent="0.25">
      <c r="B446" s="88"/>
    </row>
    <row r="447" spans="2:2" x14ac:dyDescent="0.25">
      <c r="B447" s="88"/>
    </row>
    <row r="448" spans="2:2" x14ac:dyDescent="0.25">
      <c r="B448" s="88"/>
    </row>
    <row r="449" spans="2:2" x14ac:dyDescent="0.25">
      <c r="B449" s="88"/>
    </row>
    <row r="450" spans="2:2" x14ac:dyDescent="0.25">
      <c r="B450" s="88"/>
    </row>
    <row r="451" spans="2:2" x14ac:dyDescent="0.25">
      <c r="B451" s="88"/>
    </row>
    <row r="452" spans="2:2" x14ac:dyDescent="0.25">
      <c r="B452" s="88"/>
    </row>
    <row r="453" spans="2:2" x14ac:dyDescent="0.25">
      <c r="B453" s="88"/>
    </row>
    <row r="454" spans="2:2" x14ac:dyDescent="0.25">
      <c r="B454" s="88"/>
    </row>
    <row r="455" spans="2:2" x14ac:dyDescent="0.25">
      <c r="B455" s="88"/>
    </row>
    <row r="456" spans="2:2" x14ac:dyDescent="0.25">
      <c r="B456" s="88"/>
    </row>
    <row r="457" spans="2:2" x14ac:dyDescent="0.25">
      <c r="B457" s="88"/>
    </row>
    <row r="458" spans="2:2" x14ac:dyDescent="0.25">
      <c r="B458" s="88"/>
    </row>
    <row r="459" spans="2:2" x14ac:dyDescent="0.25">
      <c r="B459" s="88"/>
    </row>
    <row r="460" spans="2:2" x14ac:dyDescent="0.25">
      <c r="B460" s="88"/>
    </row>
    <row r="461" spans="2:2" x14ac:dyDescent="0.25">
      <c r="B461" s="88"/>
    </row>
    <row r="462" spans="2:2" x14ac:dyDescent="0.25">
      <c r="B462" s="88"/>
    </row>
    <row r="463" spans="2:2" x14ac:dyDescent="0.25">
      <c r="B463" s="88"/>
    </row>
    <row r="464" spans="2:2" x14ac:dyDescent="0.25">
      <c r="B464" s="88"/>
    </row>
    <row r="465" spans="2:2" x14ac:dyDescent="0.25">
      <c r="B465" s="88"/>
    </row>
    <row r="466" spans="2:2" x14ac:dyDescent="0.25">
      <c r="B466" s="88"/>
    </row>
    <row r="467" spans="2:2" x14ac:dyDescent="0.25">
      <c r="B467" s="88"/>
    </row>
    <row r="468" spans="2:2" x14ac:dyDescent="0.25">
      <c r="B468" s="88"/>
    </row>
    <row r="469" spans="2:2" x14ac:dyDescent="0.25">
      <c r="B469" s="88"/>
    </row>
    <row r="470" spans="2:2" x14ac:dyDescent="0.25">
      <c r="B470" s="88"/>
    </row>
    <row r="471" spans="2:2" x14ac:dyDescent="0.25">
      <c r="B471" s="88"/>
    </row>
    <row r="472" spans="2:2" x14ac:dyDescent="0.25">
      <c r="B472" s="88"/>
    </row>
    <row r="473" spans="2:2" x14ac:dyDescent="0.25">
      <c r="B473" s="88"/>
    </row>
    <row r="474" spans="2:2" x14ac:dyDescent="0.25">
      <c r="B474" s="88"/>
    </row>
    <row r="475" spans="2:2" x14ac:dyDescent="0.25">
      <c r="B475" s="88"/>
    </row>
    <row r="476" spans="2:2" x14ac:dyDescent="0.25">
      <c r="B476" s="88"/>
    </row>
    <row r="477" spans="2:2" x14ac:dyDescent="0.25">
      <c r="B477" s="88"/>
    </row>
    <row r="478" spans="2:2" x14ac:dyDescent="0.25">
      <c r="B478" s="88"/>
    </row>
    <row r="479" spans="2:2" x14ac:dyDescent="0.25">
      <c r="B479" s="88"/>
    </row>
    <row r="480" spans="2:2" x14ac:dyDescent="0.25">
      <c r="B480" s="88"/>
    </row>
    <row r="481" spans="2:2" x14ac:dyDescent="0.25">
      <c r="B481" s="88"/>
    </row>
    <row r="482" spans="2:2" x14ac:dyDescent="0.25">
      <c r="B482" s="88"/>
    </row>
    <row r="483" spans="2:2" x14ac:dyDescent="0.25">
      <c r="B483" s="88"/>
    </row>
    <row r="484" spans="2:2" x14ac:dyDescent="0.25">
      <c r="B484" s="88"/>
    </row>
    <row r="485" spans="2:2" x14ac:dyDescent="0.25">
      <c r="B485" s="88"/>
    </row>
    <row r="486" spans="2:2" x14ac:dyDescent="0.25">
      <c r="B486" s="88"/>
    </row>
    <row r="487" spans="2:2" x14ac:dyDescent="0.25">
      <c r="B487" s="88"/>
    </row>
    <row r="488" spans="2:2" x14ac:dyDescent="0.25">
      <c r="B488" s="88"/>
    </row>
    <row r="489" spans="2:2" x14ac:dyDescent="0.25">
      <c r="B489" s="88"/>
    </row>
    <row r="490" spans="2:2" x14ac:dyDescent="0.25">
      <c r="B490" s="88"/>
    </row>
    <row r="491" spans="2:2" x14ac:dyDescent="0.25">
      <c r="B491" s="88"/>
    </row>
    <row r="492" spans="2:2" x14ac:dyDescent="0.25">
      <c r="B492" s="88"/>
    </row>
    <row r="493" spans="2:2" x14ac:dyDescent="0.25">
      <c r="B493" s="88"/>
    </row>
    <row r="494" spans="2:2" x14ac:dyDescent="0.25">
      <c r="B494" s="88"/>
    </row>
    <row r="495" spans="2:2" x14ac:dyDescent="0.25">
      <c r="B495" s="88"/>
    </row>
    <row r="496" spans="2:2" x14ac:dyDescent="0.25">
      <c r="B496" s="88"/>
    </row>
    <row r="497" spans="2:2" x14ac:dyDescent="0.25">
      <c r="B497" s="88"/>
    </row>
    <row r="498" spans="2:2" x14ac:dyDescent="0.25">
      <c r="B498" s="88"/>
    </row>
    <row r="499" spans="2:2" x14ac:dyDescent="0.25">
      <c r="B499" s="88"/>
    </row>
    <row r="500" spans="2:2" x14ac:dyDescent="0.25">
      <c r="B500" s="88"/>
    </row>
    <row r="501" spans="2:2" x14ac:dyDescent="0.25">
      <c r="B501" s="88"/>
    </row>
    <row r="502" spans="2:2" x14ac:dyDescent="0.25">
      <c r="B502" s="88"/>
    </row>
    <row r="503" spans="2:2" x14ac:dyDescent="0.25">
      <c r="B503" s="88"/>
    </row>
    <row r="504" spans="2:2" x14ac:dyDescent="0.25">
      <c r="B504" s="88"/>
    </row>
    <row r="505" spans="2:2" x14ac:dyDescent="0.25">
      <c r="B505" s="88"/>
    </row>
    <row r="506" spans="2:2" x14ac:dyDescent="0.25">
      <c r="B506" s="88"/>
    </row>
    <row r="507" spans="2:2" x14ac:dyDescent="0.25">
      <c r="B507" s="88"/>
    </row>
    <row r="508" spans="2:2" x14ac:dyDescent="0.25">
      <c r="B508" s="88"/>
    </row>
    <row r="509" spans="2:2" x14ac:dyDescent="0.25">
      <c r="B509" s="88"/>
    </row>
    <row r="510" spans="2:2" x14ac:dyDescent="0.25">
      <c r="B510" s="88"/>
    </row>
    <row r="511" spans="2:2" x14ac:dyDescent="0.25">
      <c r="B511" s="88"/>
    </row>
    <row r="512" spans="2:2" x14ac:dyDescent="0.25">
      <c r="B512" s="88"/>
    </row>
    <row r="513" spans="2:2" x14ac:dyDescent="0.25">
      <c r="B513" s="88"/>
    </row>
    <row r="514" spans="2:2" x14ac:dyDescent="0.25">
      <c r="B514" s="88"/>
    </row>
    <row r="515" spans="2:2" x14ac:dyDescent="0.25">
      <c r="B515" s="88"/>
    </row>
    <row r="516" spans="2:2" x14ac:dyDescent="0.25">
      <c r="B516" s="88"/>
    </row>
    <row r="517" spans="2:2" x14ac:dyDescent="0.25">
      <c r="B517" s="88"/>
    </row>
    <row r="518" spans="2:2" x14ac:dyDescent="0.25">
      <c r="B518" s="88"/>
    </row>
    <row r="519" spans="2:2" x14ac:dyDescent="0.25">
      <c r="B519" s="88"/>
    </row>
    <row r="520" spans="2:2" x14ac:dyDescent="0.25">
      <c r="B520" s="88"/>
    </row>
    <row r="521" spans="2:2" x14ac:dyDescent="0.25">
      <c r="B521" s="88"/>
    </row>
    <row r="522" spans="2:2" x14ac:dyDescent="0.25">
      <c r="B522" s="88"/>
    </row>
    <row r="523" spans="2:2" x14ac:dyDescent="0.25">
      <c r="B523" s="88"/>
    </row>
    <row r="524" spans="2:2" x14ac:dyDescent="0.25">
      <c r="B524" s="88"/>
    </row>
    <row r="525" spans="2:2" x14ac:dyDescent="0.25">
      <c r="B525" s="88"/>
    </row>
    <row r="526" spans="2:2" x14ac:dyDescent="0.25">
      <c r="B526" s="88"/>
    </row>
    <row r="527" spans="2:2" x14ac:dyDescent="0.25">
      <c r="B527" s="88"/>
    </row>
    <row r="528" spans="2:2" x14ac:dyDescent="0.25">
      <c r="B528" s="88"/>
    </row>
    <row r="529" spans="2:2" x14ac:dyDescent="0.25">
      <c r="B529" s="88"/>
    </row>
    <row r="530" spans="2:2" x14ac:dyDescent="0.25">
      <c r="B530" s="88"/>
    </row>
    <row r="531" spans="2:2" x14ac:dyDescent="0.25">
      <c r="B531" s="88"/>
    </row>
    <row r="532" spans="2:2" x14ac:dyDescent="0.25">
      <c r="B532" s="88"/>
    </row>
    <row r="533" spans="2:2" x14ac:dyDescent="0.25">
      <c r="B533" s="88"/>
    </row>
    <row r="534" spans="2:2" x14ac:dyDescent="0.25">
      <c r="B534" s="88"/>
    </row>
    <row r="535" spans="2:2" x14ac:dyDescent="0.25">
      <c r="B535" s="88"/>
    </row>
    <row r="536" spans="2:2" x14ac:dyDescent="0.25">
      <c r="B536" s="88"/>
    </row>
    <row r="537" spans="2:2" x14ac:dyDescent="0.25">
      <c r="B537" s="88"/>
    </row>
  </sheetData>
  <protectedRanges>
    <protectedRange sqref="C50" name="Plage7"/>
    <protectedRange sqref="B11:B16" name="Plage1_2"/>
    <protectedRange sqref="B5:B9" name="Plage1_1"/>
    <protectedRange sqref="B62:B370" name="Plage1_4"/>
    <protectedRange sqref="A62:A370" name="Plage1_3"/>
    <protectedRange sqref="A371:A400 B19:B20 B32 B44:B45 B50:B51 B40:B41 G39 B56 C45:F45 B24:F25 B36:B37" name="Plage1"/>
    <protectedRange sqref="B30:H30" name="Plage2"/>
  </protectedRanges>
  <sortState xmlns:xlrd2="http://schemas.microsoft.com/office/spreadsheetml/2017/richdata2" ref="A62:B361">
    <sortCondition ref="A62:A361"/>
  </sortState>
  <mergeCells count="10">
    <mergeCell ref="D4:H20"/>
    <mergeCell ref="I39:J39"/>
    <mergeCell ref="I40:J40"/>
    <mergeCell ref="E46:G46"/>
    <mergeCell ref="C12:C13"/>
    <mergeCell ref="E48:G48"/>
    <mergeCell ref="I46:J46"/>
    <mergeCell ref="I47:J47"/>
    <mergeCell ref="E47:G47"/>
    <mergeCell ref="I45:J45"/>
  </mergeCells>
  <phoneticPr fontId="20" type="noConversion"/>
  <conditionalFormatting sqref="C50">
    <cfRule type="cellIs" dxfId="11" priority="1" operator="between">
      <formula>0.0001</formula>
      <formula>-0.0001</formula>
    </cfRule>
  </conditionalFormatting>
  <hyperlinks>
    <hyperlink ref="B1" location="'Table des matières'!A1" display="← Précédent" xr:uid="{D2BA6053-0976-40F7-8227-05DFF461E239}"/>
    <hyperlink ref="C1" location="'Table des matières'!A1" display="Table des matières" xr:uid="{8B4C0576-AED6-4CBB-9B94-F0C9D36FE0A6}"/>
    <hyperlink ref="D1" location="Recherche!A1" display="Suivant →" xr:uid="{6A41D26C-1E16-43C0-9824-7CBF963FF2DC}"/>
  </hyperlinks>
  <printOptions horizontalCentered="1"/>
  <pageMargins left="0" right="0" top="0" bottom="0" header="0.51181102362204722" footer="0.51181102362204722"/>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3" tint="0.59999389629810485"/>
    <pageSetUpPr fitToPage="1"/>
  </sheetPr>
  <dimension ref="A1:L72"/>
  <sheetViews>
    <sheetView workbookViewId="0">
      <selection activeCell="C3" sqref="C3:E3"/>
    </sheetView>
  </sheetViews>
  <sheetFormatPr baseColWidth="10" defaultColWidth="10.875" defaultRowHeight="15" x14ac:dyDescent="0.25"/>
  <cols>
    <col min="1" max="1" width="3.375" style="87" customWidth="1"/>
    <col min="2" max="2" width="17.125" style="87" customWidth="1"/>
    <col min="3" max="4" width="12.75" style="87" customWidth="1"/>
    <col min="5" max="6" width="12.75" style="115" customWidth="1"/>
    <col min="7" max="8" width="11.75" style="87" bestFit="1" customWidth="1"/>
    <col min="9" max="9" width="11.5" style="87" customWidth="1"/>
    <col min="10" max="16384" width="10.875" style="87"/>
  </cols>
  <sheetData>
    <row r="1" spans="1:10" ht="26.25" x14ac:dyDescent="0.4">
      <c r="A1" s="252" t="s">
        <v>523</v>
      </c>
      <c r="B1" s="252"/>
      <c r="H1" s="276"/>
      <c r="I1" s="275"/>
      <c r="J1" s="276"/>
    </row>
    <row r="3" spans="1:10" s="116" customFormat="1" ht="26.25" x14ac:dyDescent="0.4">
      <c r="B3" s="119"/>
      <c r="C3" s="694"/>
      <c r="D3" s="694"/>
      <c r="E3" s="694"/>
      <c r="F3" s="117"/>
    </row>
    <row r="6" spans="1:10" ht="18.75" x14ac:dyDescent="0.3">
      <c r="B6" s="693" t="str">
        <f>CONCATENATE("Péréquation ",Paramètres!B5)</f>
        <v>Péréquation 2022</v>
      </c>
      <c r="C6" s="693"/>
      <c r="D6" s="693"/>
      <c r="E6" s="693"/>
      <c r="F6" s="693"/>
    </row>
    <row r="7" spans="1:10" s="145" customFormat="1" ht="18.75" x14ac:dyDescent="0.3">
      <c r="B7" s="693">
        <f>C3</f>
        <v>0</v>
      </c>
      <c r="C7" s="693"/>
      <c r="D7" s="693"/>
      <c r="E7" s="693"/>
      <c r="F7" s="693"/>
    </row>
    <row r="8" spans="1:10" s="145" customFormat="1" ht="12.75" x14ac:dyDescent="0.2">
      <c r="B8" s="152" t="e">
        <f>CONCATENATE("Population : ",TEXT(VLOOKUP($B$7,Synthèse!B5:D304,3,FALSE),"#'##0"))</f>
        <v>#N/A</v>
      </c>
      <c r="C8" s="143"/>
      <c r="D8" s="143"/>
      <c r="E8" s="144"/>
      <c r="F8" s="151" t="e">
        <f>CONCATENATE("N° OFS : ",VLOOKUP($B$7,Paramètres!A62:B361,2,FALSE))</f>
        <v>#N/A</v>
      </c>
    </row>
    <row r="9" spans="1:10" s="145" customFormat="1" ht="12.75" x14ac:dyDescent="0.2">
      <c r="B9" s="152" t="e">
        <f>CONCATENATE("Taux : ",VLOOKUP($B$7,Synthèse!B5:C304,2,FALSE))</f>
        <v>#N/A</v>
      </c>
      <c r="C9" s="143"/>
      <c r="D9" s="143"/>
      <c r="E9" s="144"/>
      <c r="F9" s="180" t="e">
        <f>CONCATENATE("Valeur du point d'impôt péréquatif : ",TEXT(ROUND(VLOOKUP(B7,Ecrêtage!B6:M314,2,FALSE),0),"#'##0"))</f>
        <v>#N/A</v>
      </c>
    </row>
    <row r="10" spans="1:10" s="145" customFormat="1" ht="12.75" x14ac:dyDescent="0.2">
      <c r="B10" s="143"/>
      <c r="C10" s="143"/>
      <c r="D10" s="143"/>
      <c r="E10" s="144"/>
      <c r="F10" s="180"/>
      <c r="H10" s="182"/>
      <c r="I10" s="182"/>
    </row>
    <row r="11" spans="1:10" ht="18" x14ac:dyDescent="0.35">
      <c r="B11" s="138" t="s">
        <v>415</v>
      </c>
      <c r="C11" s="67"/>
      <c r="D11" s="67"/>
      <c r="E11" s="118"/>
      <c r="F11" s="118"/>
    </row>
    <row r="12" spans="1:10" s="145" customFormat="1" ht="6" customHeight="1" x14ac:dyDescent="0.2">
      <c r="B12" s="143"/>
      <c r="C12" s="143"/>
      <c r="D12" s="143"/>
      <c r="E12" s="144"/>
      <c r="F12" s="144"/>
    </row>
    <row r="13" spans="1:10" s="145" customFormat="1" ht="12.75" x14ac:dyDescent="0.2">
      <c r="B13" s="150" t="s">
        <v>350</v>
      </c>
      <c r="C13" s="143"/>
      <c r="D13" s="143"/>
      <c r="E13" s="144"/>
      <c r="F13" s="144"/>
    </row>
    <row r="14" spans="1:10" s="145" customFormat="1" ht="12.75" x14ac:dyDescent="0.2">
      <c r="B14" s="143" t="s">
        <v>528</v>
      </c>
      <c r="C14" s="143"/>
      <c r="D14" s="143"/>
      <c r="E14" s="146" t="e">
        <f>VLOOKUP(C3,PCS!B12:E311,4,FALSE)*PCS!$E$11</f>
        <v>#N/A</v>
      </c>
      <c r="F14" s="144"/>
    </row>
    <row r="15" spans="1:10" s="145" customFormat="1" ht="12.75" x14ac:dyDescent="0.2">
      <c r="B15" s="143" t="s">
        <v>421</v>
      </c>
      <c r="C15" s="143"/>
      <c r="D15" s="143"/>
      <c r="E15" s="146" t="e">
        <f>VLOOKUP(C3,PCS!B12:D311,3,FALSE)*PCS!$D$11</f>
        <v>#N/A</v>
      </c>
      <c r="F15" s="144" t="e">
        <f>E14+E15</f>
        <v>#N/A</v>
      </c>
    </row>
    <row r="16" spans="1:10" s="145" customFormat="1" ht="6" customHeight="1" x14ac:dyDescent="0.2">
      <c r="B16" s="143"/>
      <c r="C16" s="143"/>
      <c r="D16" s="143"/>
      <c r="E16" s="144"/>
      <c r="F16" s="144"/>
    </row>
    <row r="17" spans="2:8" s="145" customFormat="1" ht="12.75" x14ac:dyDescent="0.2">
      <c r="B17" s="150" t="s">
        <v>365</v>
      </c>
      <c r="C17" s="143"/>
      <c r="D17" s="143"/>
      <c r="E17" s="144"/>
      <c r="F17" s="144"/>
    </row>
    <row r="18" spans="2:8" s="145" customFormat="1" ht="12.75" x14ac:dyDescent="0.2">
      <c r="B18" s="143" t="e">
        <f>CONCATENATE("Ecrêtage en points d'impôt: ",ROUND(VLOOKUP($C$3,Ecrêtage!B6:L305,11,FALSE),2))</f>
        <v>#N/A</v>
      </c>
      <c r="C18" s="143"/>
      <c r="D18" s="147"/>
      <c r="E18" s="144"/>
      <c r="F18" s="144" t="e">
        <f>VLOOKUP($C$3,Ecrêtage!B6:M305,12,FALSE)</f>
        <v>#N/A</v>
      </c>
    </row>
    <row r="19" spans="2:8" s="145" customFormat="1" ht="6" customHeight="1" x14ac:dyDescent="0.2">
      <c r="B19" s="143"/>
      <c r="C19" s="143"/>
      <c r="D19" s="143"/>
      <c r="E19" s="144"/>
      <c r="F19" s="144"/>
    </row>
    <row r="20" spans="2:8" s="145" customFormat="1" ht="12.75" x14ac:dyDescent="0.2">
      <c r="B20" s="150" t="s">
        <v>518</v>
      </c>
      <c r="C20" s="143"/>
      <c r="D20" s="143"/>
      <c r="E20" s="144"/>
      <c r="F20" s="144"/>
    </row>
    <row r="21" spans="2:8" s="145" customFormat="1" ht="12.75" x14ac:dyDescent="0.2">
      <c r="B21" s="143" t="str">
        <f>CONCATENATE("Solde en points d'impôt: ",ROUND(PCS!H11,2))</f>
        <v>Solde en points d'impôt: 11.66</v>
      </c>
      <c r="C21" s="143"/>
      <c r="D21" s="143"/>
      <c r="E21" s="144"/>
      <c r="F21" s="144"/>
    </row>
    <row r="22" spans="2:8" s="145" customFormat="1" ht="12.75" x14ac:dyDescent="0.2">
      <c r="B22" s="143" t="s">
        <v>369</v>
      </c>
      <c r="C22" s="143"/>
      <c r="D22" s="143"/>
      <c r="E22" s="144"/>
      <c r="F22" s="144" t="e">
        <f>VLOOKUP($C$3,PCS!B12:H311,7,FALSE)</f>
        <v>#N/A</v>
      </c>
      <c r="G22" s="213"/>
    </row>
    <row r="23" spans="2:8" s="145" customFormat="1" ht="6" customHeight="1" x14ac:dyDescent="0.2">
      <c r="B23" s="143"/>
      <c r="C23" s="143"/>
      <c r="D23" s="143"/>
      <c r="E23" s="144"/>
      <c r="F23" s="148"/>
    </row>
    <row r="24" spans="2:8" s="145" customFormat="1" ht="12.75" x14ac:dyDescent="0.2">
      <c r="B24" s="150" t="s">
        <v>381</v>
      </c>
      <c r="C24" s="143"/>
      <c r="D24" s="143"/>
      <c r="E24" s="144"/>
      <c r="F24" s="149" t="e">
        <f>F15+F18+F22</f>
        <v>#N/A</v>
      </c>
      <c r="G24" s="213"/>
      <c r="H24" s="213"/>
    </row>
    <row r="25" spans="2:8" s="145" customFormat="1" ht="6" customHeight="1" x14ac:dyDescent="0.2">
      <c r="B25" s="143"/>
      <c r="C25" s="143"/>
      <c r="D25" s="143"/>
      <c r="E25" s="144"/>
      <c r="F25" s="144"/>
    </row>
    <row r="26" spans="2:8" ht="18" x14ac:dyDescent="0.35">
      <c r="B26" s="138" t="s">
        <v>372</v>
      </c>
      <c r="C26" s="67"/>
      <c r="D26" s="67"/>
      <c r="E26" s="118"/>
      <c r="F26" s="118"/>
      <c r="G26" s="212"/>
    </row>
    <row r="27" spans="2:8" s="145" customFormat="1" ht="6" customHeight="1" x14ac:dyDescent="0.2">
      <c r="B27" s="143"/>
      <c r="C27" s="143"/>
      <c r="D27" s="143"/>
      <c r="E27" s="144"/>
      <c r="F27" s="144"/>
    </row>
    <row r="28" spans="2:8" s="145" customFormat="1" ht="12.75" x14ac:dyDescent="0.2">
      <c r="B28" s="150" t="s">
        <v>502</v>
      </c>
      <c r="C28" s="143"/>
      <c r="D28" s="143"/>
      <c r="E28" s="144"/>
      <c r="F28" s="144" t="e">
        <f>VLOOKUP(B7,'Péréquation directe'!B12:E311,4,FALSE)</f>
        <v>#N/A</v>
      </c>
      <c r="G28" s="214"/>
      <c r="H28" s="480"/>
    </row>
    <row r="29" spans="2:8" s="145" customFormat="1" ht="6" customHeight="1" x14ac:dyDescent="0.2">
      <c r="B29" s="143"/>
      <c r="C29" s="143"/>
      <c r="D29" s="143"/>
      <c r="E29" s="144"/>
      <c r="F29" s="144"/>
    </row>
    <row r="30" spans="2:8" s="145" customFormat="1" ht="12.75" x14ac:dyDescent="0.2">
      <c r="B30" s="150" t="s">
        <v>503</v>
      </c>
      <c r="C30" s="143"/>
      <c r="D30" s="143"/>
      <c r="E30" s="144"/>
      <c r="F30" s="144" t="e">
        <f>VLOOKUP(B7,'Péréquation directe'!B12:F311,5,FALSE)</f>
        <v>#N/A</v>
      </c>
    </row>
    <row r="31" spans="2:8" s="145" customFormat="1" ht="6" customHeight="1" x14ac:dyDescent="0.2">
      <c r="B31" s="143"/>
      <c r="C31" s="143"/>
      <c r="D31" s="143"/>
      <c r="E31" s="144"/>
      <c r="F31" s="144"/>
    </row>
    <row r="32" spans="2:8" s="145" customFormat="1" ht="12.75" x14ac:dyDescent="0.2">
      <c r="B32" s="150" t="s">
        <v>432</v>
      </c>
      <c r="C32" s="143"/>
      <c r="D32" s="143"/>
      <c r="E32" s="144"/>
      <c r="F32" s="144"/>
    </row>
    <row r="33" spans="2:12" s="145" customFormat="1" ht="12.75" customHeight="1" x14ac:dyDescent="0.2">
      <c r="B33" s="143" t="s">
        <v>375</v>
      </c>
      <c r="C33" s="143"/>
      <c r="D33" s="143"/>
      <c r="E33" s="146" t="e">
        <f>VLOOKUP(B7,Effort!B6:K305,10,FALSE)</f>
        <v>#N/A</v>
      </c>
      <c r="F33" s="144"/>
      <c r="L33" s="227"/>
    </row>
    <row r="34" spans="2:12" s="145" customFormat="1" ht="12.75" customHeight="1" x14ac:dyDescent="0.2">
      <c r="B34" s="143" t="s">
        <v>367</v>
      </c>
      <c r="C34" s="143"/>
      <c r="D34" s="143"/>
      <c r="E34" s="146" t="e">
        <f>VLOOKUP(B7,Aide!B6:I305,8,FALSE)</f>
        <v>#N/A</v>
      </c>
      <c r="F34" s="144"/>
      <c r="L34" s="227"/>
    </row>
    <row r="35" spans="2:12" s="145" customFormat="1" ht="12.75" customHeight="1" x14ac:dyDescent="0.2">
      <c r="B35" s="143" t="s">
        <v>368</v>
      </c>
      <c r="C35" s="143"/>
      <c r="D35" s="143"/>
      <c r="E35" s="146" t="e">
        <f>VLOOKUP(B7,Taux!B6:J305,9,FALSE)</f>
        <v>#N/A</v>
      </c>
      <c r="F35" s="144" t="e">
        <f>SUM(E33:E35)</f>
        <v>#N/A</v>
      </c>
      <c r="L35" s="227"/>
    </row>
    <row r="36" spans="2:12" s="145" customFormat="1" ht="6" customHeight="1" x14ac:dyDescent="0.2">
      <c r="B36" s="143"/>
      <c r="C36" s="143"/>
      <c r="D36" s="143"/>
      <c r="E36" s="144"/>
      <c r="F36" s="144"/>
      <c r="L36" s="227"/>
    </row>
    <row r="37" spans="2:12" s="145" customFormat="1" ht="12.75" customHeight="1" x14ac:dyDescent="0.2">
      <c r="B37" s="150" t="s">
        <v>499</v>
      </c>
      <c r="C37" s="143"/>
      <c r="D37" s="143"/>
      <c r="E37" s="144"/>
      <c r="F37" s="144" t="e">
        <f>VLOOKUP(B7,'Péréquation directe'!B12:J311,9,FALSE)</f>
        <v>#N/A</v>
      </c>
      <c r="G37" s="213"/>
      <c r="L37" s="227"/>
    </row>
    <row r="38" spans="2:12" s="145" customFormat="1" ht="6" customHeight="1" x14ac:dyDescent="0.2">
      <c r="B38" s="143"/>
      <c r="C38" s="143"/>
      <c r="D38" s="143"/>
      <c r="E38" s="144"/>
      <c r="F38" s="148"/>
      <c r="L38" s="227"/>
    </row>
    <row r="39" spans="2:12" s="145" customFormat="1" ht="6" customHeight="1" x14ac:dyDescent="0.2">
      <c r="B39" s="143"/>
      <c r="C39" s="143"/>
      <c r="D39" s="143"/>
      <c r="E39" s="144"/>
      <c r="F39" s="490"/>
      <c r="L39" s="227"/>
    </row>
    <row r="40" spans="2:12" s="145" customFormat="1" ht="12.75" customHeight="1" x14ac:dyDescent="0.2">
      <c r="B40" s="491" t="s">
        <v>566</v>
      </c>
      <c r="C40" s="492"/>
      <c r="D40" s="492"/>
      <c r="E40" s="493"/>
      <c r="F40" s="494" t="e">
        <f>+F30+F35+F37+F28</f>
        <v>#N/A</v>
      </c>
      <c r="L40" s="227"/>
    </row>
    <row r="41" spans="2:12" s="145" customFormat="1" ht="12.75" customHeight="1" x14ac:dyDescent="0.2">
      <c r="B41" s="143"/>
      <c r="C41" s="143"/>
      <c r="D41" s="143"/>
      <c r="E41" s="144"/>
      <c r="F41" s="490"/>
      <c r="L41" s="227"/>
    </row>
    <row r="42" spans="2:12" s="145" customFormat="1" ht="12.75" customHeight="1" x14ac:dyDescent="0.2">
      <c r="B42" s="150" t="s">
        <v>567</v>
      </c>
      <c r="C42" s="143"/>
      <c r="D42" s="143"/>
      <c r="E42" s="144"/>
      <c r="F42" s="230"/>
      <c r="L42" s="227"/>
    </row>
    <row r="43" spans="2:12" s="145" customFormat="1" ht="12.75" customHeight="1" x14ac:dyDescent="0.2">
      <c r="B43" s="232" t="s">
        <v>385</v>
      </c>
      <c r="C43" s="231"/>
      <c r="D43" s="231"/>
      <c r="E43" s="545" t="e">
        <f>VLOOKUP(C3,DT!B:M,7,FALSE)</f>
        <v>#N/A</v>
      </c>
      <c r="F43" s="231"/>
      <c r="L43" s="227"/>
    </row>
    <row r="44" spans="2:12" s="145" customFormat="1" ht="12.75" customHeight="1" x14ac:dyDescent="0.2">
      <c r="B44" s="232" t="s">
        <v>386</v>
      </c>
      <c r="C44" s="231"/>
      <c r="D44" s="231"/>
      <c r="E44" s="546" t="e">
        <f>VLOOKUP(C3,DT!B:M,12,FALSE)</f>
        <v>#N/A</v>
      </c>
      <c r="F44" s="495" t="e">
        <f>+E43+E44</f>
        <v>#N/A</v>
      </c>
      <c r="L44" s="227"/>
    </row>
    <row r="45" spans="2:12" s="145" customFormat="1" ht="6" customHeight="1" x14ac:dyDescent="0.2">
      <c r="B45" s="232"/>
      <c r="C45" s="231"/>
      <c r="D45" s="231"/>
      <c r="E45" s="496"/>
      <c r="F45" s="497"/>
      <c r="L45" s="227"/>
    </row>
    <row r="46" spans="2:12" s="145" customFormat="1" ht="6" customHeight="1" x14ac:dyDescent="0.2">
      <c r="B46" s="232"/>
      <c r="C46" s="231"/>
      <c r="D46" s="231"/>
      <c r="E46" s="233"/>
      <c r="F46" s="498"/>
      <c r="L46" s="227"/>
    </row>
    <row r="47" spans="2:12" s="145" customFormat="1" ht="12.75" x14ac:dyDescent="0.2">
      <c r="B47" s="150" t="s">
        <v>524</v>
      </c>
      <c r="C47" s="143"/>
      <c r="D47" s="143"/>
      <c r="E47" s="144"/>
      <c r="F47" s="183" t="e">
        <f>F40+F44</f>
        <v>#N/A</v>
      </c>
      <c r="G47" s="213"/>
      <c r="H47" s="214"/>
    </row>
    <row r="48" spans="2:12" s="145" customFormat="1" ht="6" customHeight="1" x14ac:dyDescent="0.2">
      <c r="B48" s="143"/>
      <c r="C48" s="143"/>
      <c r="D48" s="143"/>
      <c r="E48" s="144"/>
      <c r="F48" s="144"/>
    </row>
    <row r="49" spans="2:11" ht="18" x14ac:dyDescent="0.35">
      <c r="B49" s="138" t="s">
        <v>520</v>
      </c>
      <c r="C49" s="67"/>
      <c r="D49" s="67"/>
      <c r="E49" s="118"/>
      <c r="F49" s="118"/>
      <c r="G49" s="145"/>
      <c r="H49" s="145"/>
      <c r="I49" s="145"/>
      <c r="J49" s="145"/>
      <c r="K49" s="145"/>
    </row>
    <row r="50" spans="2:11" s="145" customFormat="1" ht="6" customHeight="1" x14ac:dyDescent="0.2">
      <c r="B50" s="143"/>
      <c r="C50" s="143"/>
      <c r="D50" s="143"/>
      <c r="E50" s="144"/>
      <c r="F50" s="144"/>
    </row>
    <row r="51" spans="2:11" s="145" customFormat="1" ht="12.75" x14ac:dyDescent="0.2">
      <c r="B51" s="143" t="s">
        <v>519</v>
      </c>
      <c r="C51" s="143"/>
      <c r="D51" s="143"/>
      <c r="E51" s="146" t="e">
        <f>VLOOKUP(B7,'Facture policière'!B6:I305,8,FALSE)</f>
        <v>#N/A</v>
      </c>
      <c r="F51" s="144"/>
    </row>
    <row r="52" spans="2:11" s="145" customFormat="1" ht="12.75" x14ac:dyDescent="0.2">
      <c r="B52" s="143" t="s">
        <v>521</v>
      </c>
      <c r="C52" s="143"/>
      <c r="D52" s="143"/>
      <c r="E52" s="146" t="e">
        <f>VLOOKUP(B7,'Facture policière'!B6:K305,10,FALSE)</f>
        <v>#N/A</v>
      </c>
      <c r="F52" s="144" t="e">
        <f>E51+E52</f>
        <v>#N/A</v>
      </c>
    </row>
    <row r="53" spans="2:11" s="145" customFormat="1" ht="12.75" x14ac:dyDescent="0.2">
      <c r="B53" s="143"/>
      <c r="C53" s="143"/>
      <c r="D53" s="143"/>
      <c r="E53" s="144"/>
      <c r="F53" s="148"/>
    </row>
    <row r="54" spans="2:11" s="145" customFormat="1" ht="12.75" x14ac:dyDescent="0.2">
      <c r="B54" s="150" t="s">
        <v>522</v>
      </c>
      <c r="C54" s="143"/>
      <c r="D54" s="143"/>
      <c r="E54" s="144"/>
      <c r="F54" s="149" t="e">
        <f>F52</f>
        <v>#N/A</v>
      </c>
    </row>
    <row r="55" spans="2:11" s="145" customFormat="1" ht="6" customHeight="1" x14ac:dyDescent="0.2">
      <c r="B55" s="143"/>
      <c r="C55" s="143"/>
      <c r="D55" s="143"/>
      <c r="E55" s="144"/>
      <c r="F55" s="144"/>
    </row>
    <row r="56" spans="2:11" ht="18" x14ac:dyDescent="0.35">
      <c r="B56" s="138" t="s">
        <v>416</v>
      </c>
      <c r="C56" s="67"/>
      <c r="D56" s="67"/>
      <c r="E56" s="118"/>
      <c r="F56" s="118"/>
    </row>
    <row r="57" spans="2:11" ht="6" customHeight="1" x14ac:dyDescent="0.25">
      <c r="B57" s="143"/>
      <c r="C57" s="143"/>
      <c r="D57" s="143"/>
      <c r="E57" s="143"/>
      <c r="F57" s="143"/>
    </row>
    <row r="58" spans="2:11" x14ac:dyDescent="0.25">
      <c r="B58" s="150" t="s">
        <v>599</v>
      </c>
      <c r="C58" s="143"/>
      <c r="D58" s="143"/>
      <c r="E58" s="143"/>
      <c r="F58" s="149" t="e">
        <f>+F24+F47+F54</f>
        <v>#N/A</v>
      </c>
    </row>
    <row r="59" spans="2:11" ht="6" customHeight="1" x14ac:dyDescent="0.25">
      <c r="B59" s="143"/>
      <c r="C59" s="143"/>
      <c r="D59" s="143"/>
      <c r="E59" s="143"/>
      <c r="F59" s="143"/>
    </row>
    <row r="60" spans="2:11" ht="18" x14ac:dyDescent="0.35">
      <c r="B60" s="138" t="s">
        <v>376</v>
      </c>
      <c r="C60" s="67"/>
      <c r="D60" s="67"/>
      <c r="E60" s="118"/>
      <c r="F60" s="118"/>
    </row>
    <row r="61" spans="2:11" ht="6" customHeight="1" x14ac:dyDescent="0.25">
      <c r="B61" s="143"/>
      <c r="C61" s="143"/>
      <c r="D61" s="143"/>
      <c r="E61" s="144"/>
      <c r="F61" s="144"/>
    </row>
    <row r="62" spans="2:11" ht="38.25" x14ac:dyDescent="0.25">
      <c r="B62" s="143"/>
      <c r="C62" s="234" t="s">
        <v>387</v>
      </c>
      <c r="D62" s="235" t="s">
        <v>394</v>
      </c>
      <c r="E62" s="235" t="s">
        <v>277</v>
      </c>
      <c r="F62" s="236" t="s">
        <v>526</v>
      </c>
    </row>
    <row r="63" spans="2:11" x14ac:dyDescent="0.25">
      <c r="B63" s="237" t="s">
        <v>388</v>
      </c>
      <c r="C63" s="397" t="e">
        <f>SUM(D63:F63)</f>
        <v>#N/A</v>
      </c>
      <c r="D63" s="398" t="e">
        <f>VLOOKUP($C$3,'Décompte vs acomptes'!$B$6:$K$305,2,FALSE)</f>
        <v>#N/A</v>
      </c>
      <c r="E63" s="398" t="e">
        <f>VLOOKUP($C$3,'Décompte vs acomptes'!$B$6:$K$305,5,FALSE)</f>
        <v>#N/A</v>
      </c>
      <c r="F63" s="399" t="e">
        <f>VLOOKUP($C$3,'Décompte vs acomptes'!$B$6:$K$305,8,FALSE)</f>
        <v>#N/A</v>
      </c>
    </row>
    <row r="64" spans="2:11" x14ac:dyDescent="0.25">
      <c r="B64" s="237" t="s">
        <v>393</v>
      </c>
      <c r="C64" s="396" t="e">
        <f>IF(SUM(D64:F64)=0,"À venir", SUM(D64:F64))</f>
        <v>#N/A</v>
      </c>
      <c r="D64" s="394" t="e">
        <f>VLOOKUP($C$3,'Décompte vs acomptes'!$B$6:$K$305,3,FALSE)</f>
        <v>#N/A</v>
      </c>
      <c r="E64" s="394" t="e">
        <f>VLOOKUP($C$3,'Décompte vs acomptes'!$B$6:$K$305,6,FALSE)</f>
        <v>#N/A</v>
      </c>
      <c r="F64" s="395" t="e">
        <f>VLOOKUP($C$3,'Décompte vs acomptes'!$B$6:$K$305,9,FALSE)</f>
        <v>#N/A</v>
      </c>
    </row>
    <row r="65" spans="2:6" x14ac:dyDescent="0.25">
      <c r="B65" s="237" t="s">
        <v>527</v>
      </c>
      <c r="C65" s="397" t="e">
        <f>IF(SUM(D65:F65)=0,"À venir", SUM(D65:F605))</f>
        <v>#N/A</v>
      </c>
      <c r="D65" s="397" t="e">
        <f>VLOOKUP(B7,'Décompte vs acomptes'!B6:K305,4,FALSE)</f>
        <v>#N/A</v>
      </c>
      <c r="E65" s="397" t="e">
        <f>VLOOKUP(B7,'Décompte vs acomptes'!B6:K305,7,FALSE)</f>
        <v>#N/A</v>
      </c>
      <c r="F65" s="397" t="e">
        <f>VLOOKUP(B7,'Décompte vs acomptes'!B6:K305,10,FALSE)</f>
        <v>#N/A</v>
      </c>
    </row>
    <row r="66" spans="2:6" x14ac:dyDescent="0.25">
      <c r="B66" s="202"/>
      <c r="C66" s="238" t="s">
        <v>389</v>
      </c>
      <c r="D66" s="202"/>
      <c r="E66" s="5"/>
      <c r="F66" s="5"/>
    </row>
    <row r="67" spans="2:6" x14ac:dyDescent="0.25">
      <c r="B67" s="695" t="s">
        <v>538</v>
      </c>
      <c r="C67" s="695"/>
      <c r="D67" s="695"/>
      <c r="E67" s="695"/>
      <c r="F67" s="695"/>
    </row>
    <row r="68" spans="2:6" x14ac:dyDescent="0.25">
      <c r="B68" s="695"/>
      <c r="C68" s="695"/>
      <c r="D68" s="695"/>
      <c r="E68" s="695"/>
      <c r="F68" s="695"/>
    </row>
    <row r="69" spans="2:6" x14ac:dyDescent="0.25">
      <c r="B69" s="695"/>
      <c r="C69" s="695"/>
      <c r="D69" s="695"/>
      <c r="E69" s="695"/>
      <c r="F69" s="695"/>
    </row>
    <row r="70" spans="2:6" ht="18.75" customHeight="1" x14ac:dyDescent="0.25">
      <c r="B70" s="695"/>
      <c r="C70" s="695"/>
      <c r="D70" s="695"/>
      <c r="E70" s="695"/>
      <c r="F70" s="695"/>
    </row>
    <row r="71" spans="2:6" x14ac:dyDescent="0.25">
      <c r="B71" s="695"/>
      <c r="C71" s="695"/>
      <c r="D71" s="695"/>
      <c r="E71" s="695"/>
      <c r="F71" s="695"/>
    </row>
    <row r="72" spans="2:6" x14ac:dyDescent="0.25">
      <c r="B72" s="695"/>
      <c r="C72" s="695"/>
      <c r="D72" s="695"/>
      <c r="E72" s="695"/>
      <c r="F72" s="695"/>
    </row>
  </sheetData>
  <protectedRanges>
    <protectedRange sqref="C3:E3" name="Plage1"/>
  </protectedRanges>
  <mergeCells count="4">
    <mergeCell ref="B6:F6"/>
    <mergeCell ref="B7:F7"/>
    <mergeCell ref="C3:E3"/>
    <mergeCell ref="B67:F72"/>
  </mergeCells>
  <printOptions horizontalCentered="1" verticalCentered="1"/>
  <pageMargins left="0.70866141732283472" right="0.70866141732283472" top="0.35433070866141736" bottom="0.35433070866141736" header="0.31496062992125984" footer="0.31496062992125984"/>
  <pageSetup paperSize="9" scale="95"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311B9C-B1F5-4E57-8162-0ECA1A164850}">
          <x14:formula1>
            <xm:f>Paramètres!$A$62:$A$361</xm:f>
          </x14:formula1>
          <xm:sqref>C3:E3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C95FF-34A2-4A7D-BD3F-1788E448AE05}">
  <sheetPr codeName="Feuil18">
    <tabColor rgb="FF92D050"/>
    <pageSetUpPr fitToPage="1"/>
  </sheetPr>
  <dimension ref="B1:E53"/>
  <sheetViews>
    <sheetView zoomScaleNormal="100" zoomScaleSheetLayoutView="90" workbookViewId="0">
      <selection activeCell="C3" sqref="C3:D3"/>
    </sheetView>
  </sheetViews>
  <sheetFormatPr baseColWidth="10" defaultColWidth="10.875" defaultRowHeight="15" x14ac:dyDescent="0.25"/>
  <cols>
    <col min="1" max="1" width="3.375" style="500" customWidth="1"/>
    <col min="2" max="2" width="9.75" style="500" customWidth="1"/>
    <col min="3" max="3" width="33.75" style="500" bestFit="1" customWidth="1"/>
    <col min="4" max="4" width="12.5" style="500" customWidth="1"/>
    <col min="5" max="5" width="31.125" style="500" customWidth="1"/>
    <col min="6" max="16384" width="10.875" style="500"/>
  </cols>
  <sheetData>
    <row r="1" spans="2:5" ht="30.75" customHeight="1" x14ac:dyDescent="0.5">
      <c r="B1" s="499" t="s">
        <v>568</v>
      </c>
      <c r="E1" s="501"/>
    </row>
    <row r="3" spans="2:5" s="503" customFormat="1" ht="26.25" x14ac:dyDescent="0.4">
      <c r="B3" s="502"/>
      <c r="C3" s="698"/>
      <c r="D3" s="698"/>
      <c r="E3" s="500"/>
    </row>
    <row r="6" spans="2:5" ht="37.5" customHeight="1" x14ac:dyDescent="0.25">
      <c r="B6" s="699" t="s">
        <v>597</v>
      </c>
      <c r="C6" s="699"/>
      <c r="D6" s="699"/>
      <c r="E6" s="699"/>
    </row>
    <row r="7" spans="2:5" ht="23.25" x14ac:dyDescent="0.35">
      <c r="B7" s="700">
        <f>C3</f>
        <v>0</v>
      </c>
      <c r="C7" s="700"/>
      <c r="D7" s="700"/>
      <c r="E7" s="700"/>
    </row>
    <row r="8" spans="2:5" s="508" customFormat="1" ht="12.75" x14ac:dyDescent="0.2">
      <c r="B8" s="504"/>
      <c r="C8" s="505"/>
      <c r="D8" s="506"/>
      <c r="E8" s="507" t="e">
        <f>CONCATENATE("N° OFS : ",VLOOKUP($B$7,[1]Paramètres!A64:B371,2,FALSE))</f>
        <v>#N/A</v>
      </c>
    </row>
    <row r="9" spans="2:5" ht="18" x14ac:dyDescent="0.35">
      <c r="B9" s="509" t="s">
        <v>569</v>
      </c>
      <c r="C9" s="510"/>
      <c r="D9" s="511" t="s">
        <v>359</v>
      </c>
      <c r="E9" s="512" t="s">
        <v>570</v>
      </c>
    </row>
    <row r="10" spans="2:5" s="508" customFormat="1" ht="3.75" customHeight="1" x14ac:dyDescent="0.2">
      <c r="B10" s="506"/>
      <c r="C10" s="506"/>
      <c r="D10" s="506"/>
      <c r="E10" s="506"/>
    </row>
    <row r="11" spans="2:5" s="517" customFormat="1" ht="12.75" x14ac:dyDescent="0.2">
      <c r="B11" s="513">
        <v>4001</v>
      </c>
      <c r="C11" s="514" t="s">
        <v>571</v>
      </c>
      <c r="D11" s="515" t="e">
        <f>VLOOKUP($B$7,Données!$B:$Z,2,FALSE)</f>
        <v>#N/A</v>
      </c>
      <c r="E11" s="516"/>
    </row>
    <row r="12" spans="2:5" s="517" customFormat="1" ht="12.75" x14ac:dyDescent="0.2">
      <c r="B12" s="513">
        <v>4002</v>
      </c>
      <c r="C12" s="514" t="s">
        <v>572</v>
      </c>
      <c r="D12" s="515" t="e">
        <f>VLOOKUP($B$7,Données!$B:$Z,3,FALSE)</f>
        <v>#N/A</v>
      </c>
      <c r="E12" s="518"/>
    </row>
    <row r="13" spans="2:5" s="517" customFormat="1" ht="12.75" x14ac:dyDescent="0.2">
      <c r="B13" s="513">
        <v>4005</v>
      </c>
      <c r="C13" s="514" t="s">
        <v>573</v>
      </c>
      <c r="D13" s="515" t="e">
        <f>VLOOKUP($B$7,Données!$B:$Z,5,FALSE)</f>
        <v>#N/A</v>
      </c>
      <c r="E13" s="516"/>
    </row>
    <row r="14" spans="2:5" s="517" customFormat="1" ht="12.75" x14ac:dyDescent="0.2">
      <c r="B14" s="513">
        <v>4011</v>
      </c>
      <c r="C14" s="514" t="s">
        <v>574</v>
      </c>
      <c r="D14" s="515" t="e">
        <f>VLOOKUP($B$7,Données!$B:$Z,6,FALSE)</f>
        <v>#N/A</v>
      </c>
      <c r="E14" s="516"/>
    </row>
    <row r="15" spans="2:5" s="517" customFormat="1" ht="12.75" x14ac:dyDescent="0.2">
      <c r="B15" s="513">
        <v>4012</v>
      </c>
      <c r="C15" s="514" t="s">
        <v>575</v>
      </c>
      <c r="D15" s="515" t="e">
        <f>VLOOKUP($B$7,Données!$B:$Z,7,FALSE)</f>
        <v>#N/A</v>
      </c>
      <c r="E15" s="516"/>
    </row>
    <row r="16" spans="2:5" s="517" customFormat="1" ht="12.75" x14ac:dyDescent="0.2">
      <c r="B16" s="513">
        <v>4004</v>
      </c>
      <c r="C16" s="514" t="s">
        <v>576</v>
      </c>
      <c r="D16" s="515" t="e">
        <f>VLOOKUP($B$7,Données!$B:$Z,8,FALSE)</f>
        <v>#N/A</v>
      </c>
      <c r="E16" s="516"/>
    </row>
    <row r="17" spans="2:5" s="517" customFormat="1" ht="12.75" x14ac:dyDescent="0.2">
      <c r="B17" s="513">
        <v>4003</v>
      </c>
      <c r="C17" s="514" t="s">
        <v>312</v>
      </c>
      <c r="D17" s="515" t="e">
        <f>VLOOKUP($B$7,Données!$B:$Z,9,FALSE)</f>
        <v>#N/A</v>
      </c>
      <c r="E17" s="516"/>
    </row>
    <row r="18" spans="2:5" s="517" customFormat="1" ht="12.75" x14ac:dyDescent="0.2">
      <c r="B18" s="513">
        <v>4013</v>
      </c>
      <c r="C18" s="514" t="s">
        <v>577</v>
      </c>
      <c r="D18" s="515" t="e">
        <f>VLOOKUP($B$7,Données!$B:$Z,10,FALSE)</f>
        <v>#N/A</v>
      </c>
      <c r="E18" s="516"/>
    </row>
    <row r="19" spans="2:5" s="517" customFormat="1" ht="12.75" x14ac:dyDescent="0.2">
      <c r="B19" s="513">
        <v>4020</v>
      </c>
      <c r="C19" s="514" t="s">
        <v>578</v>
      </c>
      <c r="D19" s="515" t="e">
        <f>VLOOKUP($B$7,Données!$B:$Z,11,FALSE)</f>
        <v>#N/A</v>
      </c>
      <c r="E19" s="516"/>
    </row>
    <row r="20" spans="2:5" s="517" customFormat="1" ht="12.75" x14ac:dyDescent="0.2">
      <c r="B20" s="513"/>
      <c r="C20" s="519" t="s">
        <v>579</v>
      </c>
      <c r="D20" s="520" t="e">
        <f>SUM(D11:D19)</f>
        <v>#N/A</v>
      </c>
      <c r="E20" s="520"/>
    </row>
    <row r="21" spans="2:5" s="517" customFormat="1" ht="7.15" customHeight="1" x14ac:dyDescent="0.2">
      <c r="B21" s="513"/>
      <c r="C21" s="514"/>
      <c r="D21" s="521"/>
      <c r="E21" s="521"/>
    </row>
    <row r="22" spans="2:5" s="517" customFormat="1" ht="12.75" x14ac:dyDescent="0.2">
      <c r="B22" s="513" t="s">
        <v>580</v>
      </c>
      <c r="C22" s="514" t="s">
        <v>581</v>
      </c>
      <c r="D22" s="515" t="e">
        <f>VLOOKUP($B$7,Données!$B:$Z,13,FALSE)</f>
        <v>#N/A</v>
      </c>
      <c r="E22" s="516"/>
    </row>
    <row r="23" spans="2:5" s="517" customFormat="1" ht="12.75" x14ac:dyDescent="0.2">
      <c r="B23" s="513">
        <v>4050</v>
      </c>
      <c r="C23" s="514" t="s">
        <v>582</v>
      </c>
      <c r="D23" s="515" t="e">
        <f>VLOOKUP($B$7,Données!$B:$Z,14,FALSE)</f>
        <v>#N/A</v>
      </c>
      <c r="E23" s="516"/>
    </row>
    <row r="24" spans="2:5" s="517" customFormat="1" ht="12.75" x14ac:dyDescent="0.2">
      <c r="B24" s="513">
        <v>4040</v>
      </c>
      <c r="C24" s="514" t="s">
        <v>176</v>
      </c>
      <c r="D24" s="515" t="e">
        <f>VLOOKUP($B$7,Données!$B:$Z,15,FALSE)</f>
        <v>#N/A</v>
      </c>
      <c r="E24" s="516"/>
    </row>
    <row r="25" spans="2:5" s="517" customFormat="1" ht="12.75" x14ac:dyDescent="0.2">
      <c r="B25" s="513">
        <v>4090</v>
      </c>
      <c r="C25" s="514" t="s">
        <v>337</v>
      </c>
      <c r="D25" s="515" t="e">
        <f>VLOOKUP($B$7,Données!$B:$Z,16,FALSE)</f>
        <v>#N/A</v>
      </c>
      <c r="E25" s="516"/>
    </row>
    <row r="26" spans="2:5" s="517" customFormat="1" ht="12.75" x14ac:dyDescent="0.2">
      <c r="B26" s="513">
        <v>4411</v>
      </c>
      <c r="C26" s="514" t="s">
        <v>583</v>
      </c>
      <c r="D26" s="515" t="e">
        <f>VLOOKUP($B$7,Données!$B:$Z,17,FALSE)</f>
        <v>#N/A</v>
      </c>
      <c r="E26" s="516"/>
    </row>
    <row r="27" spans="2:5" s="517" customFormat="1" ht="12.75" x14ac:dyDescent="0.2">
      <c r="B27" s="513">
        <v>451</v>
      </c>
      <c r="C27" s="514" t="s">
        <v>584</v>
      </c>
      <c r="D27" s="515" t="e">
        <f>VLOOKUP($B$7,Données!$B:$Z,18,FALSE)</f>
        <v>#N/A</v>
      </c>
      <c r="E27" s="516"/>
    </row>
    <row r="28" spans="2:5" s="517" customFormat="1" ht="12.75" x14ac:dyDescent="0.2">
      <c r="B28" s="513"/>
      <c r="C28" s="519" t="s">
        <v>173</v>
      </c>
      <c r="D28" s="520" t="e">
        <f>SUM(D22:D27)</f>
        <v>#N/A</v>
      </c>
      <c r="E28" s="520"/>
    </row>
    <row r="29" spans="2:5" s="517" customFormat="1" ht="12.75" x14ac:dyDescent="0.2">
      <c r="B29" s="513"/>
      <c r="C29" s="519" t="s">
        <v>585</v>
      </c>
      <c r="D29" s="520" t="e">
        <f>+D28+D20</f>
        <v>#N/A</v>
      </c>
      <c r="E29" s="520"/>
    </row>
    <row r="30" spans="2:5" s="517" customFormat="1" ht="6" customHeight="1" x14ac:dyDescent="0.2">
      <c r="B30" s="513"/>
      <c r="C30" s="514"/>
      <c r="D30" s="515"/>
      <c r="E30" s="515"/>
    </row>
    <row r="31" spans="2:5" s="517" customFormat="1" ht="7.15" customHeight="1" x14ac:dyDescent="0.2">
      <c r="B31" s="513"/>
      <c r="C31" s="519"/>
      <c r="D31" s="515"/>
      <c r="E31" s="515"/>
    </row>
    <row r="32" spans="2:5" s="517" customFormat="1" ht="12.75" x14ac:dyDescent="0.2">
      <c r="B32" s="513" t="s">
        <v>586</v>
      </c>
      <c r="C32" s="514" t="s">
        <v>587</v>
      </c>
      <c r="D32" s="515" t="e">
        <f>VLOOKUP($B$7,Données!$B:$Z,20,FALSE)</f>
        <v>#N/A</v>
      </c>
      <c r="E32" s="516"/>
    </row>
    <row r="33" spans="2:5" s="517" customFormat="1" ht="12.75" x14ac:dyDescent="0.2">
      <c r="B33" s="513"/>
      <c r="C33" s="514" t="s">
        <v>529</v>
      </c>
      <c r="D33" s="515" t="e">
        <f>VLOOKUP($B$7,Données!$B:$Z,21,FALSE)</f>
        <v>#N/A</v>
      </c>
      <c r="E33" s="516"/>
    </row>
    <row r="34" spans="2:5" s="517" customFormat="1" ht="12.75" x14ac:dyDescent="0.2">
      <c r="B34" s="513"/>
      <c r="C34" s="514" t="s">
        <v>219</v>
      </c>
      <c r="D34" s="515" t="e">
        <f>VLOOKUP($B$7,Données!$B:$Z,22,FALSE)</f>
        <v>#N/A</v>
      </c>
      <c r="E34" s="516"/>
    </row>
    <row r="35" spans="2:5" s="517" customFormat="1" ht="6" customHeight="1" x14ac:dyDescent="0.2">
      <c r="B35" s="513"/>
      <c r="C35" s="514"/>
      <c r="D35" s="515"/>
      <c r="E35" s="515"/>
    </row>
    <row r="36" spans="2:5" s="526" customFormat="1" ht="18" x14ac:dyDescent="0.2">
      <c r="B36" s="522" t="s">
        <v>588</v>
      </c>
      <c r="C36" s="523"/>
      <c r="D36" s="524"/>
      <c r="E36" s="525"/>
    </row>
    <row r="37" spans="2:5" s="517" customFormat="1" ht="6" customHeight="1" x14ac:dyDescent="0.2">
      <c r="B37" s="527"/>
      <c r="C37" s="528"/>
      <c r="D37" s="515"/>
      <c r="E37" s="515"/>
    </row>
    <row r="38" spans="2:5" s="517" customFormat="1" ht="13.9" customHeight="1" x14ac:dyDescent="0.2">
      <c r="B38" s="529"/>
      <c r="C38" s="529" t="s">
        <v>594</v>
      </c>
      <c r="D38" s="515" t="e">
        <f>VLOOKUP($B$7,Données!$B:$Z,23,FALSE)</f>
        <v>#N/A</v>
      </c>
      <c r="E38" s="516"/>
    </row>
    <row r="39" spans="2:5" s="517" customFormat="1" ht="13.9" customHeight="1" x14ac:dyDescent="0.2">
      <c r="B39" s="529"/>
      <c r="C39" s="529" t="s">
        <v>595</v>
      </c>
      <c r="D39" s="515" t="e">
        <f>VLOOKUP($B$7,Données!$B:$Z,24,FALSE)</f>
        <v>#N/A</v>
      </c>
      <c r="E39" s="516"/>
    </row>
    <row r="40" spans="2:5" s="517" customFormat="1" ht="13.9" customHeight="1" x14ac:dyDescent="0.2">
      <c r="B40" s="529"/>
      <c r="C40" s="529" t="s">
        <v>596</v>
      </c>
      <c r="D40" s="530" t="e">
        <f>VLOOKUP($B$7,Données!$B:$Z,25,FALSE)</f>
        <v>#N/A</v>
      </c>
      <c r="E40" s="516"/>
    </row>
    <row r="41" spans="2:5" s="508" customFormat="1" ht="6" customHeight="1" x14ac:dyDescent="0.2">
      <c r="B41" s="506"/>
      <c r="C41" s="506"/>
      <c r="D41" s="506"/>
      <c r="E41" s="506"/>
    </row>
    <row r="42" spans="2:5" ht="18" x14ac:dyDescent="0.35">
      <c r="B42" s="509"/>
      <c r="C42" s="510"/>
      <c r="D42" s="531"/>
      <c r="E42" s="532"/>
    </row>
    <row r="43" spans="2:5" s="508" customFormat="1" ht="6" customHeight="1" x14ac:dyDescent="0.2">
      <c r="B43" s="506"/>
      <c r="C43" s="506"/>
      <c r="D43" s="506"/>
      <c r="E43" s="506"/>
    </row>
    <row r="44" spans="2:5" ht="45.6" customHeight="1" x14ac:dyDescent="0.25">
      <c r="B44" s="701" t="s">
        <v>593</v>
      </c>
      <c r="C44" s="701"/>
      <c r="D44" s="701"/>
      <c r="E44" s="701"/>
    </row>
    <row r="45" spans="2:5" x14ac:dyDescent="0.25">
      <c r="B45" s="702" t="str">
        <f>CONCATENATE(B7,", le")</f>
        <v>0, le</v>
      </c>
      <c r="C45" s="702"/>
      <c r="D45" s="533"/>
      <c r="E45" s="533"/>
    </row>
    <row r="46" spans="2:5" x14ac:dyDescent="0.25">
      <c r="B46" s="534">
        <f ca="1">TODAY()</f>
        <v>43642</v>
      </c>
      <c r="C46" s="535"/>
      <c r="D46" s="533"/>
      <c r="E46" s="533"/>
    </row>
    <row r="47" spans="2:5" x14ac:dyDescent="0.25">
      <c r="B47" s="534"/>
      <c r="C47" s="535"/>
      <c r="D47" s="533"/>
      <c r="E47" s="533"/>
    </row>
    <row r="48" spans="2:5" x14ac:dyDescent="0.25">
      <c r="B48" s="536" t="s">
        <v>589</v>
      </c>
      <c r="C48" s="535"/>
      <c r="D48" s="533"/>
      <c r="E48" s="537" t="s">
        <v>590</v>
      </c>
    </row>
    <row r="49" spans="2:5" x14ac:dyDescent="0.25">
      <c r="B49" s="538"/>
      <c r="C49" s="535"/>
      <c r="D49" s="533"/>
      <c r="E49" s="533"/>
    </row>
    <row r="50" spans="2:5" x14ac:dyDescent="0.25">
      <c r="B50" s="696"/>
      <c r="C50" s="696"/>
      <c r="D50" s="697"/>
      <c r="E50" s="697"/>
    </row>
    <row r="51" spans="2:5" x14ac:dyDescent="0.25">
      <c r="B51" s="539" t="s">
        <v>591</v>
      </c>
      <c r="C51" s="535"/>
      <c r="D51" s="533"/>
      <c r="E51" s="533"/>
    </row>
    <row r="52" spans="2:5" x14ac:dyDescent="0.25">
      <c r="B52" s="696"/>
      <c r="C52" s="696"/>
      <c r="D52" s="697"/>
      <c r="E52" s="697"/>
    </row>
    <row r="53" spans="2:5" x14ac:dyDescent="0.25">
      <c r="B53" s="539" t="s">
        <v>592</v>
      </c>
      <c r="C53" s="535"/>
      <c r="D53" s="533"/>
      <c r="E53" s="533"/>
    </row>
  </sheetData>
  <protectedRanges>
    <protectedRange sqref="E13:E19 E32:E34 E38:E40 E11 E22:E27" name="Plage2_2"/>
    <protectedRange sqref="C3" name="Plage1_2"/>
  </protectedRanges>
  <mergeCells count="9">
    <mergeCell ref="B52:C52"/>
    <mergeCell ref="D52:E52"/>
    <mergeCell ref="C3:D3"/>
    <mergeCell ref="B6:E6"/>
    <mergeCell ref="B7:E7"/>
    <mergeCell ref="B44:E44"/>
    <mergeCell ref="B45:C45"/>
    <mergeCell ref="B50:C50"/>
    <mergeCell ref="D50:E50"/>
  </mergeCells>
  <pageMargins left="0.7" right="0.7" top="0.75" bottom="0.75" header="0.3" footer="0.3"/>
  <pageSetup paperSize="9" scale="8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63CB738-5F6F-4D4C-896E-9713DD567328}">
          <x14:formula1>
            <xm:f>Paramètres!$A$62:$A$361</xm:f>
          </x14:formula1>
          <xm:sqref>C3:D3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theme="3" tint="0.59999389629810485"/>
  </sheetPr>
  <dimension ref="A1:BDT338"/>
  <sheetViews>
    <sheetView zoomScaleNormal="100" workbookViewId="0">
      <pane xSplit="2" ySplit="5" topLeftCell="C6" activePane="bottomRight" state="frozen"/>
      <selection pane="topRight" activeCell="C1" sqref="C1"/>
      <selection pane="bottomLeft" activeCell="A6" sqref="A6"/>
      <selection pane="bottomRight" activeCell="A6" sqref="A6"/>
    </sheetView>
  </sheetViews>
  <sheetFormatPr baseColWidth="10" defaultColWidth="8.625" defaultRowHeight="15" x14ac:dyDescent="0.25"/>
  <cols>
    <col min="1" max="1" width="8.5" style="652" customWidth="1"/>
    <col min="2" max="2" width="21.875" style="575" bestFit="1" customWidth="1"/>
    <col min="3" max="3" width="14.375" style="647" bestFit="1" customWidth="1"/>
    <col min="4" max="4" width="13" style="575" bestFit="1" customWidth="1"/>
    <col min="5" max="5" width="10.875" style="575" bestFit="1" customWidth="1"/>
    <col min="6" max="6" width="10.125" style="575" bestFit="1" customWidth="1"/>
    <col min="7" max="7" width="13.125" style="575" bestFit="1" customWidth="1"/>
    <col min="8" max="11" width="12.25" style="575" bestFit="1" customWidth="1"/>
    <col min="12" max="12" width="13.125" style="575" bestFit="1" customWidth="1"/>
    <col min="13" max="13" width="15.625" style="575" bestFit="1" customWidth="1"/>
    <col min="14" max="14" width="12.375" style="576" bestFit="1" customWidth="1"/>
    <col min="15" max="16" width="13.125" style="576" bestFit="1" customWidth="1"/>
    <col min="17" max="17" width="12.75" style="576" bestFit="1" customWidth="1"/>
    <col min="18" max="18" width="12.375" style="576" bestFit="1" customWidth="1"/>
    <col min="19" max="19" width="12.75" style="576" bestFit="1" customWidth="1"/>
    <col min="20" max="20" width="15.625" style="578" bestFit="1" customWidth="1"/>
    <col min="21" max="21" width="13.25" style="575" bestFit="1" customWidth="1"/>
    <col min="22" max="22" width="12" style="575" customWidth="1"/>
    <col min="23" max="23" width="13.625" style="575" bestFit="1" customWidth="1"/>
    <col min="24" max="24" width="10.375" style="575" customWidth="1"/>
    <col min="25" max="25" width="11.25" style="575" bestFit="1" customWidth="1"/>
    <col min="26" max="26" width="11.125" style="576" bestFit="1" customWidth="1"/>
    <col min="27" max="27" width="3.625" style="575" customWidth="1"/>
    <col min="28" max="28" width="12.25" style="581" bestFit="1" customWidth="1"/>
    <col min="29" max="29" width="6.5" style="581" bestFit="1" customWidth="1"/>
    <col min="30" max="30" width="13" style="581" bestFit="1" customWidth="1"/>
    <col min="31" max="31" width="6.5" style="581" bestFit="1" customWidth="1"/>
    <col min="32" max="32" width="13.125" style="581" customWidth="1"/>
    <col min="33" max="34" width="11.5" style="581" customWidth="1"/>
    <col min="35" max="35" width="3.625" style="581" customWidth="1"/>
    <col min="36" max="36" width="9.25" style="581" customWidth="1"/>
    <col min="37" max="37" width="5.5" style="581" bestFit="1" customWidth="1"/>
    <col min="38" max="38" width="12.125" style="581" bestFit="1" customWidth="1"/>
    <col min="39" max="39" width="6.375" style="581" bestFit="1" customWidth="1"/>
    <col min="40" max="40" width="12.25" style="581" bestFit="1" customWidth="1"/>
    <col min="41" max="41" width="3.75" style="575" customWidth="1"/>
    <col min="42" max="42" width="16" style="575" customWidth="1"/>
    <col min="43" max="43" width="3.75" style="575" customWidth="1"/>
    <col min="44" max="44" width="10.125" style="575" customWidth="1"/>
    <col min="45" max="16384" width="8.625" style="575"/>
  </cols>
  <sheetData>
    <row r="1" spans="1:1476" ht="26.25" x14ac:dyDescent="0.4">
      <c r="A1" s="570" t="str">
        <f>CONCATENATE("Données (",Paramètres!B5,")")</f>
        <v>Données (2022)</v>
      </c>
      <c r="B1" s="571"/>
      <c r="C1" s="572" t="s">
        <v>405</v>
      </c>
      <c r="D1" s="573" t="s">
        <v>397</v>
      </c>
      <c r="E1" s="574" t="s">
        <v>406</v>
      </c>
      <c r="F1" s="571"/>
      <c r="G1" s="571"/>
      <c r="H1" s="571"/>
      <c r="I1" s="571"/>
      <c r="J1" s="571"/>
      <c r="S1" s="577"/>
      <c r="V1" s="579"/>
      <c r="X1" s="580"/>
    </row>
    <row r="2" spans="1:1476" ht="15.75" x14ac:dyDescent="0.25">
      <c r="A2" s="582" t="str">
        <f>Paramètres!B4</f>
        <v>Décompte 2022</v>
      </c>
      <c r="C2" s="583"/>
      <c r="D2" s="583"/>
      <c r="E2" s="583"/>
      <c r="F2" s="583"/>
      <c r="G2" s="583"/>
      <c r="H2" s="583"/>
      <c r="I2" s="583"/>
      <c r="J2" s="583"/>
      <c r="K2" s="583"/>
      <c r="L2" s="583"/>
      <c r="M2" s="583"/>
      <c r="N2" s="584"/>
      <c r="O2" s="584"/>
      <c r="P2" s="584"/>
      <c r="Q2" s="584"/>
      <c r="R2" s="584"/>
      <c r="S2" s="584"/>
      <c r="T2" s="585"/>
      <c r="U2" s="583"/>
      <c r="V2" s="583"/>
      <c r="W2" s="583"/>
      <c r="X2" s="583"/>
      <c r="Y2" s="583"/>
      <c r="Z2" s="583"/>
      <c r="AA2" s="583"/>
      <c r="AB2" s="586"/>
      <c r="AC2" s="586"/>
      <c r="AD2" s="586"/>
      <c r="AE2" s="586"/>
      <c r="AF2" s="586"/>
      <c r="AG2" s="586"/>
      <c r="AH2" s="586"/>
    </row>
    <row r="3" spans="1:1476" x14ac:dyDescent="0.25">
      <c r="A3" s="587"/>
      <c r="B3" s="571"/>
      <c r="C3" s="588"/>
      <c r="D3" s="571"/>
      <c r="E3" s="571"/>
      <c r="F3" s="571"/>
      <c r="G3" s="571"/>
      <c r="H3" s="571"/>
      <c r="I3" s="571"/>
      <c r="J3" s="571"/>
      <c r="L3" s="589"/>
      <c r="S3" s="577"/>
      <c r="X3" s="580"/>
      <c r="AB3" s="703" t="s">
        <v>537</v>
      </c>
      <c r="AC3" s="704"/>
      <c r="AD3" s="704"/>
      <c r="AE3" s="704"/>
      <c r="AF3" s="705"/>
      <c r="AJ3" s="703" t="s">
        <v>462</v>
      </c>
      <c r="AK3" s="704"/>
      <c r="AL3" s="704"/>
      <c r="AM3" s="704"/>
      <c r="AN3" s="705"/>
    </row>
    <row r="4" spans="1:1476" s="597" customFormat="1" ht="74.25" customHeight="1" x14ac:dyDescent="0.2">
      <c r="A4" s="715" t="s">
        <v>44</v>
      </c>
      <c r="B4" s="717" t="s">
        <v>395</v>
      </c>
      <c r="C4" s="590" t="s">
        <v>446</v>
      </c>
      <c r="D4" s="590" t="s">
        <v>447</v>
      </c>
      <c r="E4" s="591" t="s">
        <v>222</v>
      </c>
      <c r="F4" s="591" t="s">
        <v>223</v>
      </c>
      <c r="G4" s="591" t="s">
        <v>448</v>
      </c>
      <c r="H4" s="591" t="s">
        <v>449</v>
      </c>
      <c r="I4" s="591" t="s">
        <v>530</v>
      </c>
      <c r="J4" s="591" t="s">
        <v>417</v>
      </c>
      <c r="K4" s="591" t="s">
        <v>450</v>
      </c>
      <c r="L4" s="591" t="s">
        <v>313</v>
      </c>
      <c r="M4" s="591" t="s">
        <v>173</v>
      </c>
      <c r="N4" s="592" t="s">
        <v>174</v>
      </c>
      <c r="O4" s="592" t="s">
        <v>175</v>
      </c>
      <c r="P4" s="592" t="s">
        <v>176</v>
      </c>
      <c r="Q4" s="719" t="s">
        <v>337</v>
      </c>
      <c r="R4" s="592" t="s">
        <v>177</v>
      </c>
      <c r="S4" s="719" t="s">
        <v>418</v>
      </c>
      <c r="T4" s="593" t="s">
        <v>124</v>
      </c>
      <c r="U4" s="721" t="s">
        <v>218</v>
      </c>
      <c r="V4" s="721" t="s">
        <v>529</v>
      </c>
      <c r="W4" s="721" t="s">
        <v>219</v>
      </c>
      <c r="X4" s="590" t="s">
        <v>71</v>
      </c>
      <c r="Y4" s="721" t="s">
        <v>371</v>
      </c>
      <c r="Z4" s="594" t="s">
        <v>356</v>
      </c>
      <c r="AA4" s="595"/>
      <c r="AB4" s="706" t="s">
        <v>383</v>
      </c>
      <c r="AC4" s="707"/>
      <c r="AD4" s="706" t="s">
        <v>382</v>
      </c>
      <c r="AE4" s="707"/>
      <c r="AF4" s="710" t="s">
        <v>439</v>
      </c>
      <c r="AG4" s="710" t="s">
        <v>278</v>
      </c>
      <c r="AH4" s="710" t="s">
        <v>279</v>
      </c>
      <c r="AI4" s="596"/>
      <c r="AJ4" s="708" t="s">
        <v>384</v>
      </c>
      <c r="AK4" s="709"/>
      <c r="AL4" s="708" t="s">
        <v>382</v>
      </c>
      <c r="AM4" s="709"/>
      <c r="AN4" s="710" t="s">
        <v>430</v>
      </c>
      <c r="AP4" s="598" t="s">
        <v>494</v>
      </c>
      <c r="AR4" s="713" t="s">
        <v>440</v>
      </c>
    </row>
    <row r="5" spans="1:1476" s="571" customFormat="1" x14ac:dyDescent="0.25">
      <c r="A5" s="716"/>
      <c r="B5" s="718"/>
      <c r="C5" s="599" t="s">
        <v>338</v>
      </c>
      <c r="D5" s="600" t="s">
        <v>339</v>
      </c>
      <c r="E5" s="601" t="s">
        <v>72</v>
      </c>
      <c r="F5" s="601" t="s">
        <v>73</v>
      </c>
      <c r="G5" s="601" t="s">
        <v>340</v>
      </c>
      <c r="H5" s="601" t="s">
        <v>341</v>
      </c>
      <c r="I5" s="601" t="s">
        <v>74</v>
      </c>
      <c r="J5" s="601" t="s">
        <v>75</v>
      </c>
      <c r="K5" s="601" t="s">
        <v>76</v>
      </c>
      <c r="L5" s="601" t="s">
        <v>77</v>
      </c>
      <c r="M5" s="601" t="s">
        <v>78</v>
      </c>
      <c r="N5" s="602" t="s">
        <v>79</v>
      </c>
      <c r="O5" s="602" t="s">
        <v>80</v>
      </c>
      <c r="P5" s="602" t="s">
        <v>81</v>
      </c>
      <c r="Q5" s="720"/>
      <c r="R5" s="602" t="s">
        <v>82</v>
      </c>
      <c r="S5" s="720"/>
      <c r="T5" s="603" t="s">
        <v>83</v>
      </c>
      <c r="U5" s="723"/>
      <c r="V5" s="723"/>
      <c r="W5" s="722"/>
      <c r="X5" s="604">
        <f>Paramètres!B5</f>
        <v>2022</v>
      </c>
      <c r="Y5" s="722"/>
      <c r="Z5" s="605">
        <f>+Paramètres!B6</f>
        <v>43464</v>
      </c>
      <c r="AA5" s="595"/>
      <c r="AB5" s="606" t="s">
        <v>359</v>
      </c>
      <c r="AC5" s="606" t="s">
        <v>360</v>
      </c>
      <c r="AD5" s="606" t="s">
        <v>359</v>
      </c>
      <c r="AE5" s="606" t="s">
        <v>360</v>
      </c>
      <c r="AF5" s="711"/>
      <c r="AG5" s="711"/>
      <c r="AH5" s="712"/>
      <c r="AI5" s="607"/>
      <c r="AJ5" s="606" t="s">
        <v>359</v>
      </c>
      <c r="AK5" s="606" t="s">
        <v>360</v>
      </c>
      <c r="AL5" s="606" t="s">
        <v>359</v>
      </c>
      <c r="AM5" s="606" t="s">
        <v>360</v>
      </c>
      <c r="AN5" s="712"/>
      <c r="AP5" s="598" t="str">
        <f>CONCATENATE(LEFT(Paramètres!B4,LENB(Paramètres!B4)-4), "T-1")</f>
        <v>Décompte T-1</v>
      </c>
      <c r="AR5" s="714"/>
    </row>
    <row r="6" spans="1:1476" x14ac:dyDescent="0.25">
      <c r="A6" s="608">
        <v>5401</v>
      </c>
      <c r="B6" s="609" t="s">
        <v>224</v>
      </c>
      <c r="C6" s="610">
        <v>13702154.710000001</v>
      </c>
      <c r="D6" s="610">
        <v>1567422.45</v>
      </c>
      <c r="E6" s="610"/>
      <c r="F6" s="611"/>
      <c r="G6" s="610">
        <v>1104997</v>
      </c>
      <c r="H6" s="610">
        <v>164745.1</v>
      </c>
      <c r="I6" s="610">
        <v>46694.29</v>
      </c>
      <c r="J6" s="610">
        <v>732596.5</v>
      </c>
      <c r="K6" s="610">
        <v>228798.45</v>
      </c>
      <c r="L6" s="610">
        <v>2506428</v>
      </c>
      <c r="M6" s="434">
        <f>SUM(C6:L6)</f>
        <v>20053836.499999996</v>
      </c>
      <c r="N6" s="612">
        <v>1326279.6499999999</v>
      </c>
      <c r="O6" s="612">
        <v>453837.75</v>
      </c>
      <c r="P6" s="612">
        <v>842569.15</v>
      </c>
      <c r="Q6" s="612">
        <v>67721.289999999994</v>
      </c>
      <c r="R6" s="612">
        <v>602187.4</v>
      </c>
      <c r="S6" s="610">
        <v>132694.57</v>
      </c>
      <c r="T6" s="543">
        <f>SUM(M6:S6)</f>
        <v>23479126.309999991</v>
      </c>
      <c r="U6" s="575">
        <v>-379686.17</v>
      </c>
      <c r="V6" s="613"/>
      <c r="W6" s="613">
        <v>-10950.15</v>
      </c>
      <c r="X6" s="614">
        <v>66</v>
      </c>
      <c r="Y6" s="615">
        <v>1.2</v>
      </c>
      <c r="Z6" s="616">
        <f>VLOOKUP(A6,'[2]2022 toutes communes'!$B$9:$D$317,3,FALSE)</f>
        <v>10937</v>
      </c>
      <c r="AA6" s="617"/>
      <c r="AB6" s="618">
        <v>916480</v>
      </c>
      <c r="AC6" s="547">
        <f>AB6/VPI!R6</f>
        <v>3.1105656363563212</v>
      </c>
      <c r="AD6" s="548">
        <f>AF6-AB6</f>
        <v>3389203</v>
      </c>
      <c r="AE6" s="547">
        <f>AD6/VPI!R6</f>
        <v>11.503075229613033</v>
      </c>
      <c r="AF6" s="619">
        <v>4305683</v>
      </c>
      <c r="AG6" s="619">
        <v>2859690</v>
      </c>
      <c r="AH6" s="618">
        <v>26483</v>
      </c>
      <c r="AI6" s="620"/>
      <c r="AJ6" s="621">
        <v>0</v>
      </c>
      <c r="AK6" s="547">
        <f>AJ6/VPI!R6</f>
        <v>0</v>
      </c>
      <c r="AL6" s="548">
        <f>AN6-AJ6</f>
        <v>520347</v>
      </c>
      <c r="AM6" s="547">
        <f>AL6/VPI!R6</f>
        <v>1.7660761797105258</v>
      </c>
      <c r="AN6" s="616">
        <v>520347</v>
      </c>
      <c r="AO6" s="620"/>
      <c r="AP6" s="622">
        <v>-4.7163916696975434</v>
      </c>
      <c r="AR6" s="623">
        <v>1</v>
      </c>
    </row>
    <row r="7" spans="1:1476" x14ac:dyDescent="0.25">
      <c r="A7" s="608">
        <v>5402</v>
      </c>
      <c r="B7" s="609" t="s">
        <v>225</v>
      </c>
      <c r="C7" s="610">
        <v>9554392.6699999999</v>
      </c>
      <c r="D7" s="610">
        <v>1483791.05</v>
      </c>
      <c r="E7" s="610"/>
      <c r="F7" s="611"/>
      <c r="G7" s="610">
        <v>631702.85</v>
      </c>
      <c r="H7" s="610">
        <v>93111.5</v>
      </c>
      <c r="I7" s="610">
        <v>27379.55</v>
      </c>
      <c r="J7" s="610">
        <v>377996.02</v>
      </c>
      <c r="K7" s="610">
        <v>133607.20000000001</v>
      </c>
      <c r="L7" s="610">
        <v>1756610</v>
      </c>
      <c r="M7" s="434">
        <f t="shared" ref="M7:M70" si="0">SUM(C7:L7)</f>
        <v>14058590.84</v>
      </c>
      <c r="N7" s="612">
        <v>327388.7</v>
      </c>
      <c r="O7" s="612">
        <v>246945.3</v>
      </c>
      <c r="P7" s="612">
        <v>835876.35</v>
      </c>
      <c r="Q7" s="612">
        <v>106337.92</v>
      </c>
      <c r="R7" s="612">
        <v>561562</v>
      </c>
      <c r="S7" s="610">
        <v>75746.820000000007</v>
      </c>
      <c r="T7" s="543">
        <f t="shared" ref="T7:T70" si="1">SUM(M7:S7)</f>
        <v>16212447.93</v>
      </c>
      <c r="U7" s="575">
        <v>-258933.35</v>
      </c>
      <c r="V7" s="612"/>
      <c r="W7" s="612">
        <v>-1175.92</v>
      </c>
      <c r="X7" s="624">
        <v>71</v>
      </c>
      <c r="Y7" s="625">
        <v>1.25</v>
      </c>
      <c r="Z7" s="626">
        <f>VLOOKUP(A7,'[2]2022 toutes communes'!$B$9:$D$317,3,FALSE)</f>
        <v>8151</v>
      </c>
      <c r="AA7" s="617"/>
      <c r="AB7" s="618">
        <v>556431</v>
      </c>
      <c r="AC7" s="547">
        <f>AB7/VPI!R7</f>
        <v>2.8986640859474035</v>
      </c>
      <c r="AD7" s="548">
        <f t="shared" ref="AD7:AD70" si="2">AF7-AB7</f>
        <v>2429803</v>
      </c>
      <c r="AE7" s="547">
        <f>AD7/VPI!R7</f>
        <v>12.657782711652045</v>
      </c>
      <c r="AF7" s="618">
        <v>2986234</v>
      </c>
      <c r="AG7" s="618">
        <v>1868074</v>
      </c>
      <c r="AH7" s="618">
        <v>111410</v>
      </c>
      <c r="AI7" s="627"/>
      <c r="AJ7" s="628">
        <v>0</v>
      </c>
      <c r="AK7" s="547">
        <f>AJ7/VPI!R7</f>
        <v>0</v>
      </c>
      <c r="AL7" s="548">
        <f t="shared" ref="AL7:AL70" si="3">AN7-AJ7</f>
        <v>630027</v>
      </c>
      <c r="AM7" s="547">
        <f>AL7/VPI!R7</f>
        <v>3.282054087707523</v>
      </c>
      <c r="AN7" s="628">
        <v>630027</v>
      </c>
      <c r="AO7" s="627"/>
      <c r="AP7" s="629">
        <v>-8.7469694401254685</v>
      </c>
      <c r="AR7" s="630">
        <v>1</v>
      </c>
    </row>
    <row r="8" spans="1:1476" x14ac:dyDescent="0.25">
      <c r="A8" s="608">
        <v>5403</v>
      </c>
      <c r="B8" s="609" t="s">
        <v>100</v>
      </c>
      <c r="C8" s="610">
        <v>610712.13</v>
      </c>
      <c r="D8" s="610">
        <v>86795</v>
      </c>
      <c r="E8" s="610"/>
      <c r="F8" s="611"/>
      <c r="G8" s="610">
        <v>61419.55</v>
      </c>
      <c r="H8" s="610">
        <v>1423.25</v>
      </c>
      <c r="I8" s="610"/>
      <c r="J8" s="610">
        <v>41708.410000000003</v>
      </c>
      <c r="K8" s="610">
        <v>6861.1</v>
      </c>
      <c r="L8" s="610">
        <v>89263.5</v>
      </c>
      <c r="M8" s="434">
        <f t="shared" si="0"/>
        <v>898182.94000000006</v>
      </c>
      <c r="N8" s="612">
        <v>5643</v>
      </c>
      <c r="O8" s="612">
        <v>27</v>
      </c>
      <c r="P8" s="612">
        <v>15928</v>
      </c>
      <c r="Q8" s="612">
        <v>1744.89</v>
      </c>
      <c r="R8" s="612">
        <v>13392.25</v>
      </c>
      <c r="S8" s="610">
        <v>6567.4</v>
      </c>
      <c r="T8" s="543">
        <f t="shared" si="1"/>
        <v>941485.4800000001</v>
      </c>
      <c r="U8" s="575">
        <v>-27602.83</v>
      </c>
      <c r="V8" s="612"/>
      <c r="W8" s="612">
        <v>0.59</v>
      </c>
      <c r="X8" s="624">
        <v>65</v>
      </c>
      <c r="Y8" s="631">
        <v>1</v>
      </c>
      <c r="Z8" s="628">
        <f>VLOOKUP(A8,'[2]2022 toutes communes'!$B$9:$D$317,3,FALSE)</f>
        <v>528</v>
      </c>
      <c r="AA8" s="617"/>
      <c r="AB8" s="618">
        <v>15214</v>
      </c>
      <c r="AC8" s="547">
        <f>AB8/VPI!R8</f>
        <v>1.1251767976895573</v>
      </c>
      <c r="AD8" s="548">
        <f t="shared" si="2"/>
        <v>37552</v>
      </c>
      <c r="AE8" s="547">
        <f>AD8/VPI!R8</f>
        <v>2.777220921969124</v>
      </c>
      <c r="AF8" s="618">
        <v>52766</v>
      </c>
      <c r="AG8" s="618">
        <v>37986</v>
      </c>
      <c r="AH8" s="618">
        <v>10574</v>
      </c>
      <c r="AI8" s="627"/>
      <c r="AJ8" s="628">
        <v>0</v>
      </c>
      <c r="AK8" s="547">
        <f>AJ8/VPI!R8</f>
        <v>0</v>
      </c>
      <c r="AL8" s="548">
        <f t="shared" si="3"/>
        <v>44204</v>
      </c>
      <c r="AM8" s="547">
        <f>AL8/VPI!R8</f>
        <v>3.2691806996890485</v>
      </c>
      <c r="AN8" s="628">
        <v>44204</v>
      </c>
      <c r="AO8" s="627"/>
      <c r="AP8" s="629">
        <v>4.0899769806375206</v>
      </c>
      <c r="AR8" s="630">
        <v>0</v>
      </c>
    </row>
    <row r="9" spans="1:1476" x14ac:dyDescent="0.25">
      <c r="A9" s="608">
        <v>5404</v>
      </c>
      <c r="B9" s="609" t="s">
        <v>101</v>
      </c>
      <c r="C9" s="610">
        <v>601627.55000000005</v>
      </c>
      <c r="D9" s="610">
        <v>168188.44</v>
      </c>
      <c r="E9" s="610"/>
      <c r="F9" s="611"/>
      <c r="G9" s="610">
        <v>-104</v>
      </c>
      <c r="H9" s="610">
        <v>6114.05</v>
      </c>
      <c r="I9" s="610"/>
      <c r="J9" s="610">
        <v>8970.39</v>
      </c>
      <c r="K9" s="610">
        <v>1763.05</v>
      </c>
      <c r="L9" s="610">
        <v>134510.15</v>
      </c>
      <c r="M9" s="434">
        <f t="shared" si="0"/>
        <v>921069.63000000012</v>
      </c>
      <c r="N9" s="612">
        <v>21844.1</v>
      </c>
      <c r="O9" s="612">
        <v>51174.400000000001</v>
      </c>
      <c r="P9" s="612">
        <v>66797</v>
      </c>
      <c r="Q9" s="612">
        <v>553.05999999999995</v>
      </c>
      <c r="R9" s="612">
        <v>78064.899999999994</v>
      </c>
      <c r="S9" s="610">
        <v>628.08000000000004</v>
      </c>
      <c r="T9" s="543">
        <f t="shared" si="1"/>
        <v>1140131.1700000002</v>
      </c>
      <c r="U9" s="575">
        <v>-12569.58</v>
      </c>
      <c r="V9" s="612"/>
      <c r="W9" s="612">
        <v>-1764.13</v>
      </c>
      <c r="X9" s="624">
        <v>74</v>
      </c>
      <c r="Y9" s="631">
        <v>1.5</v>
      </c>
      <c r="Z9" s="628">
        <f>VLOOKUP(A9,'[2]2022 toutes communes'!$B$9:$D$317,3,FALSE)</f>
        <v>440</v>
      </c>
      <c r="AA9" s="617"/>
      <c r="AB9" s="618">
        <v>11825</v>
      </c>
      <c r="AC9" s="547">
        <f>AB9/VPI!R9</f>
        <v>1.0138685311965723</v>
      </c>
      <c r="AD9" s="548">
        <f t="shared" si="2"/>
        <v>263075</v>
      </c>
      <c r="AE9" s="547">
        <f>AD9/VPI!R9</f>
        <v>22.555895462540231</v>
      </c>
      <c r="AF9" s="618">
        <v>274900</v>
      </c>
      <c r="AG9" s="618">
        <v>22368</v>
      </c>
      <c r="AH9" s="618">
        <v>30886</v>
      </c>
      <c r="AI9" s="627"/>
      <c r="AJ9" s="628">
        <v>0</v>
      </c>
      <c r="AK9" s="547">
        <f>AJ9/VPI!R9</f>
        <v>0</v>
      </c>
      <c r="AL9" s="548">
        <f t="shared" si="3"/>
        <v>33852</v>
      </c>
      <c r="AM9" s="547">
        <f>AL9/VPI!R9</f>
        <v>2.9024505300690371</v>
      </c>
      <c r="AN9" s="628">
        <v>33852</v>
      </c>
      <c r="AO9" s="627"/>
      <c r="AP9" s="629">
        <v>7.87655651655108</v>
      </c>
      <c r="AR9" s="630">
        <v>0</v>
      </c>
    </row>
    <row r="10" spans="1:1476" x14ac:dyDescent="0.25">
      <c r="A10" s="608">
        <v>5405</v>
      </c>
      <c r="B10" s="609" t="s">
        <v>102</v>
      </c>
      <c r="C10" s="610">
        <v>2950143.31</v>
      </c>
      <c r="D10" s="610">
        <v>1392264.01</v>
      </c>
      <c r="E10" s="610"/>
      <c r="F10" s="611"/>
      <c r="G10" s="610">
        <v>118714.4</v>
      </c>
      <c r="H10" s="610">
        <v>7888.8</v>
      </c>
      <c r="I10" s="610">
        <v>84568.01</v>
      </c>
      <c r="J10" s="610">
        <v>155104.95000000001</v>
      </c>
      <c r="K10" s="610">
        <v>21060.9</v>
      </c>
      <c r="L10" s="610">
        <v>1237857.6499999999</v>
      </c>
      <c r="M10" s="434">
        <f t="shared" si="0"/>
        <v>5967602.0300000012</v>
      </c>
      <c r="N10" s="612">
        <v>3649.4</v>
      </c>
      <c r="O10" s="612">
        <v>95435.85</v>
      </c>
      <c r="P10" s="612">
        <v>683664.85</v>
      </c>
      <c r="Q10" s="612">
        <v>101969.08</v>
      </c>
      <c r="R10" s="612">
        <v>405427.85</v>
      </c>
      <c r="S10" s="610">
        <v>13230.68</v>
      </c>
      <c r="T10" s="543">
        <f t="shared" si="1"/>
        <v>7270979.7400000002</v>
      </c>
      <c r="U10" s="575">
        <v>-276779.18</v>
      </c>
      <c r="V10" s="612"/>
      <c r="W10" s="612">
        <v>-6866.63</v>
      </c>
      <c r="X10" s="624">
        <v>73.5</v>
      </c>
      <c r="Y10" s="631">
        <v>1.5</v>
      </c>
      <c r="Z10" s="628">
        <f>VLOOKUP(A10,'[2]2022 toutes communes'!$B$9:$D$317,3,FALSE)</f>
        <v>1389</v>
      </c>
      <c r="AA10" s="617"/>
      <c r="AB10" s="618">
        <v>191054</v>
      </c>
      <c r="AC10" s="547">
        <f>AB10/VPI!R10</f>
        <v>2.6069568661609099</v>
      </c>
      <c r="AD10" s="548">
        <f t="shared" si="2"/>
        <v>999392</v>
      </c>
      <c r="AE10" s="547">
        <f>AD10/VPI!R10</f>
        <v>13.636834802654139</v>
      </c>
      <c r="AF10" s="618">
        <v>1190446</v>
      </c>
      <c r="AG10" s="618">
        <v>140836</v>
      </c>
      <c r="AH10" s="618">
        <v>59095</v>
      </c>
      <c r="AI10" s="627"/>
      <c r="AJ10" s="628">
        <v>0</v>
      </c>
      <c r="AK10" s="547">
        <f>AJ10/VPI!R10</f>
        <v>0</v>
      </c>
      <c r="AL10" s="548">
        <f t="shared" si="3"/>
        <v>12343</v>
      </c>
      <c r="AM10" s="547">
        <f>AL10/VPI!R10</f>
        <v>0.16842185245545296</v>
      </c>
      <c r="AN10" s="628">
        <v>12343</v>
      </c>
      <c r="AO10" s="627"/>
      <c r="AP10" s="629">
        <v>29.660499569515913</v>
      </c>
      <c r="AR10" s="630">
        <v>0</v>
      </c>
    </row>
    <row r="11" spans="1:1476" x14ac:dyDescent="0.25">
      <c r="A11" s="608">
        <v>5406</v>
      </c>
      <c r="B11" s="609" t="s">
        <v>103</v>
      </c>
      <c r="C11" s="610">
        <v>1145090.74</v>
      </c>
      <c r="D11" s="610">
        <v>179611.47</v>
      </c>
      <c r="E11" s="610"/>
      <c r="F11" s="611"/>
      <c r="G11" s="610">
        <v>32208.25</v>
      </c>
      <c r="H11" s="610">
        <v>11480.95</v>
      </c>
      <c r="I11" s="610"/>
      <c r="J11" s="610">
        <v>43829.760000000002</v>
      </c>
      <c r="K11" s="610">
        <v>6049.5</v>
      </c>
      <c r="L11" s="610">
        <v>209774.8</v>
      </c>
      <c r="M11" s="434">
        <f t="shared" si="0"/>
        <v>1628045.47</v>
      </c>
      <c r="N11" s="612">
        <v>9333.2999999999993</v>
      </c>
      <c r="O11" s="612">
        <v>145168.4</v>
      </c>
      <c r="P11" s="612">
        <v>101511.5</v>
      </c>
      <c r="Q11" s="612">
        <v>16420.2</v>
      </c>
      <c r="R11" s="612">
        <v>82417.8</v>
      </c>
      <c r="S11" s="610">
        <v>4565.75</v>
      </c>
      <c r="T11" s="543">
        <f t="shared" si="1"/>
        <v>1987462.42</v>
      </c>
      <c r="U11" s="575">
        <v>-19647.5</v>
      </c>
      <c r="V11" s="612"/>
      <c r="W11" s="612">
        <v>0</v>
      </c>
      <c r="X11" s="624">
        <v>71.5</v>
      </c>
      <c r="Y11" s="631">
        <v>1.3</v>
      </c>
      <c r="Z11" s="628">
        <f>VLOOKUP(A11,'[2]2022 toutes communes'!$B$9:$D$317,3,FALSE)</f>
        <v>979</v>
      </c>
      <c r="AA11" s="617"/>
      <c r="AB11" s="618">
        <v>85197</v>
      </c>
      <c r="AC11" s="547">
        <f>AB11/VPI!R11</f>
        <v>3.8530577659505418</v>
      </c>
      <c r="AD11" s="548">
        <f t="shared" si="2"/>
        <v>232391</v>
      </c>
      <c r="AE11" s="547">
        <f>AD11/VPI!R11</f>
        <v>10.509946914645028</v>
      </c>
      <c r="AF11" s="618">
        <v>317588</v>
      </c>
      <c r="AG11" s="618">
        <v>49221</v>
      </c>
      <c r="AH11" s="618">
        <v>35300</v>
      </c>
      <c r="AI11" s="627"/>
      <c r="AJ11" s="628">
        <v>0</v>
      </c>
      <c r="AK11" s="547">
        <f>AJ11/VPI!R11</f>
        <v>0</v>
      </c>
      <c r="AL11" s="548">
        <f t="shared" si="3"/>
        <v>24861</v>
      </c>
      <c r="AM11" s="547">
        <f>AL11/VPI!R11</f>
        <v>1.1243455652111742</v>
      </c>
      <c r="AN11" s="628">
        <v>24861</v>
      </c>
      <c r="AO11" s="627"/>
      <c r="AP11" s="629">
        <v>1.3050180150908257</v>
      </c>
      <c r="AR11" s="630">
        <v>0</v>
      </c>
    </row>
    <row r="12" spans="1:1476" x14ac:dyDescent="0.25">
      <c r="A12" s="608">
        <v>5407</v>
      </c>
      <c r="B12" s="609" t="s">
        <v>104</v>
      </c>
      <c r="C12" s="610">
        <v>4358008.05</v>
      </c>
      <c r="D12" s="610">
        <v>1099725.3999999999</v>
      </c>
      <c r="E12" s="610"/>
      <c r="F12" s="611"/>
      <c r="G12" s="610">
        <v>-18129.7</v>
      </c>
      <c r="H12" s="610">
        <v>106052.05</v>
      </c>
      <c r="I12" s="610">
        <v>79181.899999999994</v>
      </c>
      <c r="J12" s="610">
        <v>524661.31999999995</v>
      </c>
      <c r="K12" s="610">
        <v>66066.5</v>
      </c>
      <c r="L12" s="610">
        <v>1288236.7</v>
      </c>
      <c r="M12" s="434">
        <f t="shared" si="0"/>
        <v>7503802.2199999997</v>
      </c>
      <c r="N12" s="612">
        <v>86933</v>
      </c>
      <c r="O12" s="612">
        <v>42968.2</v>
      </c>
      <c r="P12" s="612">
        <v>498300.4</v>
      </c>
      <c r="Q12" s="612">
        <v>7665.81</v>
      </c>
      <c r="R12" s="612">
        <v>357891.85</v>
      </c>
      <c r="S12" s="610">
        <v>9188.34</v>
      </c>
      <c r="T12" s="543">
        <f t="shared" si="1"/>
        <v>8506749.8200000003</v>
      </c>
      <c r="U12" s="575">
        <v>-79299.17</v>
      </c>
      <c r="V12" s="612"/>
      <c r="W12" s="612">
        <v>-4314.79</v>
      </c>
      <c r="X12" s="624">
        <v>78</v>
      </c>
      <c r="Y12" s="631">
        <v>1.5</v>
      </c>
      <c r="Z12" s="628">
        <f>VLOOKUP(A12,'[2]2022 toutes communes'!$B$9:$D$317,3,FALSE)</f>
        <v>3743</v>
      </c>
      <c r="AA12" s="617"/>
      <c r="AB12" s="618">
        <v>328237</v>
      </c>
      <c r="AC12" s="547">
        <f>AB12/VPI!R12</f>
        <v>3.6535155758145876</v>
      </c>
      <c r="AD12" s="548">
        <f t="shared" si="2"/>
        <v>1823824</v>
      </c>
      <c r="AE12" s="547">
        <f>AD12/VPI!R12</f>
        <v>20.300482247718765</v>
      </c>
      <c r="AF12" s="618">
        <v>2152061</v>
      </c>
      <c r="AG12" s="618">
        <v>463297</v>
      </c>
      <c r="AH12" s="618">
        <v>228246</v>
      </c>
      <c r="AI12" s="627"/>
      <c r="AJ12" s="628">
        <v>0</v>
      </c>
      <c r="AK12" s="547">
        <f>AJ12/VPI!R12</f>
        <v>0</v>
      </c>
      <c r="AL12" s="548">
        <f t="shared" si="3"/>
        <v>85561</v>
      </c>
      <c r="AM12" s="547">
        <f>AL12/VPI!R12</f>
        <v>0.95235590802460401</v>
      </c>
      <c r="AN12" s="628">
        <v>85561</v>
      </c>
      <c r="AO12" s="627"/>
      <c r="AP12" s="629">
        <v>-4.5890261915199062</v>
      </c>
      <c r="AR12" s="630">
        <v>0</v>
      </c>
    </row>
    <row r="13" spans="1:1476" x14ac:dyDescent="0.25">
      <c r="A13" s="608">
        <v>5408</v>
      </c>
      <c r="B13" s="609" t="s">
        <v>105</v>
      </c>
      <c r="C13" s="610">
        <v>2195150.2400000002</v>
      </c>
      <c r="D13" s="610">
        <v>299927.24</v>
      </c>
      <c r="E13" s="610"/>
      <c r="F13" s="611"/>
      <c r="G13" s="610">
        <v>209194.4</v>
      </c>
      <c r="H13" s="610">
        <v>9099.15</v>
      </c>
      <c r="I13" s="610"/>
      <c r="J13" s="610">
        <v>45375.89</v>
      </c>
      <c r="K13" s="610">
        <v>13990.5</v>
      </c>
      <c r="L13" s="610">
        <v>531149.05000000005</v>
      </c>
      <c r="M13" s="434">
        <f t="shared" si="0"/>
        <v>3303886.4700000007</v>
      </c>
      <c r="N13" s="612">
        <v>164080.04999999999</v>
      </c>
      <c r="O13" s="612">
        <v>7562.2</v>
      </c>
      <c r="P13" s="612">
        <v>98069.1</v>
      </c>
      <c r="Q13" s="612">
        <v>10805.47</v>
      </c>
      <c r="R13" s="612">
        <v>51863.85</v>
      </c>
      <c r="S13" s="610">
        <v>22812.799999999999</v>
      </c>
      <c r="T13" s="543">
        <f t="shared" si="1"/>
        <v>3659079.9400000009</v>
      </c>
      <c r="U13" s="575">
        <v>-12136.44</v>
      </c>
      <c r="V13" s="612"/>
      <c r="W13" s="612">
        <v>-315.11</v>
      </c>
      <c r="X13" s="624">
        <v>75</v>
      </c>
      <c r="Y13" s="631">
        <v>1.5</v>
      </c>
      <c r="Z13" s="628">
        <f>VLOOKUP(A13,'[2]2022 toutes communes'!$B$9:$D$317,3,FALSE)</f>
        <v>1169</v>
      </c>
      <c r="AA13" s="617"/>
      <c r="AB13" s="618">
        <v>104739</v>
      </c>
      <c r="AC13" s="547">
        <f>AB13/VPI!R13</f>
        <v>2.4953672965624771</v>
      </c>
      <c r="AD13" s="548">
        <f t="shared" si="2"/>
        <v>259793</v>
      </c>
      <c r="AE13" s="547">
        <f>AD13/VPI!R13</f>
        <v>6.1894705513309809</v>
      </c>
      <c r="AF13" s="618">
        <v>364532</v>
      </c>
      <c r="AG13" s="618">
        <v>89347</v>
      </c>
      <c r="AH13" s="618">
        <v>30061</v>
      </c>
      <c r="AI13" s="627"/>
      <c r="AJ13" s="628">
        <v>0</v>
      </c>
      <c r="AK13" s="547">
        <f>AJ13/VPI!R13</f>
        <v>0</v>
      </c>
      <c r="AL13" s="548">
        <f t="shared" si="3"/>
        <v>65637</v>
      </c>
      <c r="AM13" s="547">
        <f>AL13/VPI!R13</f>
        <v>1.5637768476352774</v>
      </c>
      <c r="AN13" s="628">
        <v>65637</v>
      </c>
      <c r="AO13" s="627"/>
      <c r="AP13" s="629">
        <v>17.386048038640972</v>
      </c>
      <c r="AR13" s="630">
        <v>0</v>
      </c>
    </row>
    <row r="14" spans="1:1476" x14ac:dyDescent="0.25">
      <c r="A14" s="608">
        <v>5409</v>
      </c>
      <c r="B14" s="609" t="s">
        <v>106</v>
      </c>
      <c r="C14" s="610">
        <v>14213777.109999999</v>
      </c>
      <c r="D14" s="610">
        <v>6463406.6299999999</v>
      </c>
      <c r="E14" s="610"/>
      <c r="F14" s="611"/>
      <c r="G14" s="610">
        <v>564073.30000000005</v>
      </c>
      <c r="H14" s="610">
        <v>99268.85</v>
      </c>
      <c r="I14" s="610">
        <v>2125016.7000000002</v>
      </c>
      <c r="J14" s="610">
        <v>750992.26</v>
      </c>
      <c r="K14" s="610">
        <v>32427.4</v>
      </c>
      <c r="L14" s="610">
        <v>4359080.3499999996</v>
      </c>
      <c r="M14" s="434">
        <f t="shared" si="0"/>
        <v>28608042.600000001</v>
      </c>
      <c r="N14" s="612">
        <v>96927.8</v>
      </c>
      <c r="O14" s="612">
        <v>1110.04999999999</v>
      </c>
      <c r="P14" s="612">
        <v>2773112.95</v>
      </c>
      <c r="Q14" s="612">
        <v>154857.75</v>
      </c>
      <c r="R14" s="612">
        <v>2058006.65</v>
      </c>
      <c r="S14" s="610">
        <v>69322.66</v>
      </c>
      <c r="T14" s="543">
        <f t="shared" si="1"/>
        <v>33761380.460000001</v>
      </c>
      <c r="U14" s="575">
        <v>-188383.66</v>
      </c>
      <c r="V14" s="612"/>
      <c r="W14" s="612">
        <v>-34093.519999999997</v>
      </c>
      <c r="X14" s="624">
        <v>68</v>
      </c>
      <c r="Y14" s="631">
        <v>1.3</v>
      </c>
      <c r="Z14" s="628">
        <f>VLOOKUP(A14,'[2]2022 toutes communes'!$B$9:$D$317,3,FALSE)</f>
        <v>7967</v>
      </c>
      <c r="AA14" s="617"/>
      <c r="AB14" s="618">
        <v>985958</v>
      </c>
      <c r="AC14" s="547">
        <f>AB14/VPI!R14</f>
        <v>2.4288371083954905</v>
      </c>
      <c r="AD14" s="548">
        <f t="shared" si="2"/>
        <v>3899273</v>
      </c>
      <c r="AE14" s="547">
        <f>AD14/VPI!R14</f>
        <v>9.6055805198239792</v>
      </c>
      <c r="AF14" s="618">
        <v>4885231</v>
      </c>
      <c r="AG14" s="618">
        <f>1006846.2+810484</f>
        <v>1817330.2</v>
      </c>
      <c r="AH14" s="618">
        <v>312040</v>
      </c>
      <c r="AI14" s="627"/>
      <c r="AJ14" s="628">
        <v>49898</v>
      </c>
      <c r="AK14" s="547">
        <f>AJ14/VPI!R14</f>
        <v>0.12292015890607734</v>
      </c>
      <c r="AL14" s="548">
        <f t="shared" si="3"/>
        <v>1287717</v>
      </c>
      <c r="AM14" s="547">
        <f>AL14/VPI!R14</f>
        <v>3.1721988509771371</v>
      </c>
      <c r="AN14" s="628">
        <v>1337615</v>
      </c>
      <c r="AO14" s="627"/>
      <c r="AP14" s="629">
        <v>23.992091330052517</v>
      </c>
      <c r="AR14" s="630">
        <v>1</v>
      </c>
    </row>
    <row r="15" spans="1:1476" s="632" customFormat="1" x14ac:dyDescent="0.25">
      <c r="A15" s="608">
        <v>5410</v>
      </c>
      <c r="B15" s="609" t="s">
        <v>116</v>
      </c>
      <c r="C15" s="610">
        <v>1823445.22</v>
      </c>
      <c r="D15" s="610">
        <v>693296.76</v>
      </c>
      <c r="E15" s="610"/>
      <c r="F15" s="611"/>
      <c r="G15" s="610">
        <v>33514.699999999997</v>
      </c>
      <c r="H15" s="610">
        <v>3813.1</v>
      </c>
      <c r="I15" s="610"/>
      <c r="J15" s="610">
        <v>69775.56</v>
      </c>
      <c r="K15" s="610">
        <v>11208</v>
      </c>
      <c r="L15" s="610">
        <v>597560.5</v>
      </c>
      <c r="M15" s="434">
        <f t="shared" si="0"/>
        <v>3232613.8400000003</v>
      </c>
      <c r="N15" s="612">
        <v>10917.9</v>
      </c>
      <c r="O15" s="612">
        <v>8213.4</v>
      </c>
      <c r="P15" s="612">
        <v>226879.85</v>
      </c>
      <c r="Q15" s="612">
        <v>19210.84</v>
      </c>
      <c r="R15" s="612">
        <v>275733.95</v>
      </c>
      <c r="S15" s="610">
        <v>3900.95</v>
      </c>
      <c r="T15" s="543">
        <f t="shared" si="1"/>
        <v>3777470.7300000004</v>
      </c>
      <c r="U15" s="575">
        <v>-98476.02</v>
      </c>
      <c r="V15" s="612"/>
      <c r="W15" s="612">
        <v>-234.34</v>
      </c>
      <c r="X15" s="624">
        <v>77</v>
      </c>
      <c r="Y15" s="631">
        <v>1.5</v>
      </c>
      <c r="Z15" s="628">
        <f>VLOOKUP(A15,'[2]2022 toutes communes'!$B$9:$D$317,3,FALSE)</f>
        <v>1178</v>
      </c>
      <c r="AA15" s="617"/>
      <c r="AB15" s="618">
        <v>286960</v>
      </c>
      <c r="AC15" s="547">
        <f>AB15/VPI!R15</f>
        <v>7.4703183342510089</v>
      </c>
      <c r="AD15" s="548">
        <f t="shared" si="2"/>
        <v>1004868</v>
      </c>
      <c r="AE15" s="547">
        <f>AD15/VPI!R15</f>
        <v>26.159338736765203</v>
      </c>
      <c r="AF15" s="618">
        <v>1291828</v>
      </c>
      <c r="AG15" s="618">
        <v>118417</v>
      </c>
      <c r="AH15" s="618">
        <v>53834</v>
      </c>
      <c r="AI15" s="627"/>
      <c r="AJ15" s="628">
        <v>0</v>
      </c>
      <c r="AK15" s="547">
        <f>AJ15/VPI!R15</f>
        <v>0</v>
      </c>
      <c r="AL15" s="548">
        <f t="shared" si="3"/>
        <v>90384</v>
      </c>
      <c r="AM15" s="547">
        <f>AL15/VPI!R15</f>
        <v>2.3529316013484221</v>
      </c>
      <c r="AN15" s="628">
        <v>90384</v>
      </c>
      <c r="AO15" s="627"/>
      <c r="AP15" s="629">
        <v>15.353719343699154</v>
      </c>
      <c r="AQ15" s="575"/>
      <c r="AR15" s="630">
        <v>0</v>
      </c>
      <c r="AS15" s="575"/>
      <c r="AT15" s="575"/>
      <c r="AU15" s="575"/>
      <c r="AV15" s="575"/>
      <c r="AW15" s="575"/>
      <c r="AX15" s="575"/>
      <c r="AY15" s="575"/>
      <c r="AZ15" s="575"/>
      <c r="BA15" s="575"/>
      <c r="BB15" s="575"/>
      <c r="BC15" s="575"/>
      <c r="BD15" s="575"/>
      <c r="BE15" s="575"/>
      <c r="BF15" s="575"/>
      <c r="BG15" s="575"/>
      <c r="BH15" s="575"/>
      <c r="BI15" s="575"/>
      <c r="BJ15" s="575"/>
      <c r="BK15" s="575"/>
      <c r="BL15" s="575"/>
      <c r="BM15" s="575"/>
      <c r="BN15" s="575"/>
      <c r="BO15" s="575"/>
      <c r="BP15" s="575"/>
      <c r="BQ15" s="575"/>
      <c r="BR15" s="575"/>
      <c r="BS15" s="575"/>
      <c r="BT15" s="575"/>
      <c r="BU15" s="575"/>
      <c r="BV15" s="575"/>
      <c r="BW15" s="575"/>
      <c r="BX15" s="575"/>
      <c r="BY15" s="575"/>
      <c r="BZ15" s="575"/>
      <c r="CA15" s="575"/>
      <c r="CB15" s="575"/>
      <c r="CC15" s="575"/>
      <c r="CD15" s="575"/>
      <c r="CE15" s="575"/>
      <c r="CF15" s="575"/>
      <c r="CG15" s="575"/>
      <c r="CH15" s="575"/>
      <c r="CI15" s="575"/>
      <c r="CJ15" s="575"/>
      <c r="CK15" s="575"/>
      <c r="CL15" s="575"/>
      <c r="CM15" s="575"/>
      <c r="CN15" s="575"/>
      <c r="CO15" s="575"/>
      <c r="CP15" s="575"/>
      <c r="CQ15" s="575"/>
      <c r="CR15" s="575"/>
      <c r="CS15" s="575"/>
      <c r="CT15" s="575"/>
      <c r="CU15" s="575"/>
      <c r="CV15" s="575"/>
      <c r="CW15" s="575"/>
      <c r="CX15" s="575"/>
      <c r="CY15" s="575"/>
      <c r="CZ15" s="575"/>
      <c r="DA15" s="575"/>
      <c r="DB15" s="575"/>
      <c r="DC15" s="575"/>
      <c r="DD15" s="575"/>
      <c r="DE15" s="575"/>
      <c r="DF15" s="575"/>
      <c r="DG15" s="575"/>
      <c r="DH15" s="575"/>
      <c r="DI15" s="575"/>
      <c r="DJ15" s="575"/>
      <c r="DK15" s="575"/>
      <c r="DL15" s="575"/>
      <c r="DM15" s="575"/>
      <c r="DN15" s="575"/>
      <c r="DO15" s="575"/>
      <c r="DP15" s="575"/>
      <c r="DQ15" s="575"/>
      <c r="DR15" s="575"/>
      <c r="DS15" s="575"/>
      <c r="DT15" s="575"/>
      <c r="DU15" s="575"/>
      <c r="DV15" s="575"/>
      <c r="DW15" s="575"/>
      <c r="DX15" s="575"/>
      <c r="DY15" s="575"/>
      <c r="DZ15" s="575"/>
      <c r="EA15" s="575"/>
      <c r="EB15" s="575"/>
      <c r="EC15" s="575"/>
      <c r="ED15" s="575"/>
      <c r="EE15" s="575"/>
      <c r="EF15" s="575"/>
      <c r="EG15" s="575"/>
      <c r="EH15" s="575"/>
      <c r="EI15" s="575"/>
      <c r="EJ15" s="575"/>
      <c r="EK15" s="575"/>
      <c r="EL15" s="575"/>
      <c r="EM15" s="575"/>
      <c r="EN15" s="575"/>
      <c r="EO15" s="575"/>
      <c r="EP15" s="575"/>
      <c r="EQ15" s="575"/>
      <c r="ER15" s="575"/>
      <c r="ES15" s="575"/>
      <c r="ET15" s="575"/>
      <c r="EU15" s="575"/>
      <c r="EV15" s="575"/>
      <c r="EW15" s="575"/>
      <c r="EX15" s="575"/>
      <c r="EY15" s="575"/>
      <c r="EZ15" s="575"/>
      <c r="FA15" s="575"/>
      <c r="FB15" s="575"/>
      <c r="FC15" s="575"/>
      <c r="FD15" s="575"/>
      <c r="FE15" s="575"/>
      <c r="FF15" s="575"/>
      <c r="FG15" s="575"/>
      <c r="FH15" s="575"/>
      <c r="FI15" s="575"/>
      <c r="FJ15" s="575"/>
      <c r="FK15" s="575"/>
      <c r="FL15" s="575"/>
      <c r="FM15" s="575"/>
      <c r="FN15" s="575"/>
      <c r="FO15" s="575"/>
      <c r="FP15" s="575"/>
      <c r="FQ15" s="575"/>
      <c r="FR15" s="575"/>
      <c r="FS15" s="575"/>
      <c r="FT15" s="575"/>
      <c r="FU15" s="575"/>
      <c r="FV15" s="575"/>
      <c r="FW15" s="575"/>
      <c r="FX15" s="575"/>
      <c r="FY15" s="575"/>
      <c r="FZ15" s="575"/>
      <c r="GA15" s="575"/>
      <c r="GB15" s="575"/>
      <c r="GC15" s="575"/>
      <c r="GD15" s="575"/>
      <c r="GE15" s="575"/>
      <c r="GF15" s="575"/>
      <c r="GG15" s="575"/>
      <c r="GH15" s="575"/>
      <c r="GI15" s="575"/>
      <c r="GJ15" s="575"/>
      <c r="GK15" s="575"/>
      <c r="GL15" s="575"/>
      <c r="GM15" s="575"/>
      <c r="GN15" s="575"/>
      <c r="GO15" s="575"/>
      <c r="GP15" s="575"/>
      <c r="GQ15" s="575"/>
      <c r="GR15" s="575"/>
      <c r="GS15" s="575"/>
      <c r="GT15" s="575"/>
      <c r="GU15" s="575"/>
      <c r="GV15" s="575"/>
      <c r="GW15" s="575"/>
      <c r="GX15" s="575"/>
      <c r="GY15" s="575"/>
      <c r="GZ15" s="575"/>
      <c r="HA15" s="575"/>
      <c r="HB15" s="575"/>
      <c r="HC15" s="575"/>
      <c r="HD15" s="575"/>
      <c r="HE15" s="575"/>
      <c r="HF15" s="575"/>
      <c r="HG15" s="575"/>
      <c r="HH15" s="575"/>
      <c r="HI15" s="575"/>
      <c r="HJ15" s="575"/>
      <c r="HK15" s="575"/>
      <c r="HL15" s="575"/>
      <c r="HM15" s="575"/>
      <c r="HN15" s="575"/>
      <c r="HO15" s="575"/>
      <c r="HP15" s="575"/>
      <c r="HQ15" s="575"/>
      <c r="HR15" s="575"/>
      <c r="HS15" s="575"/>
      <c r="HT15" s="575"/>
      <c r="HU15" s="575"/>
      <c r="HV15" s="575"/>
      <c r="HW15" s="575"/>
      <c r="HX15" s="575"/>
      <c r="HY15" s="575"/>
      <c r="HZ15" s="575"/>
      <c r="IA15" s="575"/>
      <c r="IB15" s="575"/>
      <c r="IC15" s="575"/>
      <c r="ID15" s="575"/>
      <c r="IE15" s="575"/>
      <c r="IF15" s="575"/>
      <c r="IG15" s="575"/>
      <c r="IH15" s="575"/>
      <c r="II15" s="575"/>
      <c r="IJ15" s="575"/>
      <c r="IK15" s="575"/>
      <c r="IL15" s="575"/>
      <c r="IM15" s="575"/>
      <c r="IN15" s="575"/>
      <c r="IO15" s="575"/>
      <c r="IP15" s="575"/>
      <c r="IQ15" s="575"/>
      <c r="IR15" s="575"/>
      <c r="IS15" s="575"/>
      <c r="IT15" s="575"/>
      <c r="IU15" s="575"/>
      <c r="IV15" s="575"/>
      <c r="IW15" s="575"/>
      <c r="IX15" s="575"/>
      <c r="IY15" s="575"/>
      <c r="IZ15" s="575"/>
      <c r="JA15" s="575"/>
      <c r="JB15" s="575"/>
      <c r="JC15" s="575"/>
      <c r="JD15" s="575"/>
      <c r="JE15" s="575"/>
      <c r="JF15" s="575"/>
      <c r="JG15" s="575"/>
      <c r="JH15" s="575"/>
      <c r="JI15" s="575"/>
      <c r="JJ15" s="575"/>
      <c r="JK15" s="575"/>
      <c r="JL15" s="575"/>
      <c r="JM15" s="575"/>
      <c r="JN15" s="575"/>
      <c r="JO15" s="575"/>
      <c r="JP15" s="575"/>
      <c r="JQ15" s="575"/>
      <c r="JR15" s="575"/>
      <c r="JS15" s="575"/>
      <c r="JT15" s="575"/>
      <c r="JU15" s="575"/>
      <c r="JV15" s="575"/>
      <c r="JW15" s="575"/>
      <c r="JX15" s="575"/>
      <c r="JY15" s="575"/>
      <c r="JZ15" s="575"/>
      <c r="KA15" s="575"/>
      <c r="KB15" s="575"/>
      <c r="KC15" s="575"/>
      <c r="KD15" s="575"/>
      <c r="KE15" s="575"/>
      <c r="KF15" s="575"/>
      <c r="KG15" s="575"/>
      <c r="KH15" s="575"/>
      <c r="KI15" s="575"/>
      <c r="KJ15" s="575"/>
      <c r="KK15" s="575"/>
      <c r="KL15" s="575"/>
      <c r="KM15" s="575"/>
      <c r="KN15" s="575"/>
      <c r="KO15" s="575"/>
      <c r="KP15" s="575"/>
      <c r="KQ15" s="575"/>
      <c r="KR15" s="575"/>
      <c r="KS15" s="575"/>
      <c r="KT15" s="575"/>
      <c r="KU15" s="575"/>
      <c r="KV15" s="575"/>
      <c r="KW15" s="575"/>
      <c r="KX15" s="575"/>
      <c r="KY15" s="575"/>
      <c r="KZ15" s="575"/>
      <c r="LA15" s="575"/>
      <c r="LB15" s="575"/>
      <c r="LC15" s="575"/>
      <c r="LD15" s="575"/>
      <c r="LE15" s="575"/>
      <c r="LF15" s="575"/>
      <c r="LG15" s="575"/>
      <c r="LH15" s="575"/>
      <c r="LI15" s="575"/>
      <c r="LJ15" s="575"/>
      <c r="LK15" s="575"/>
      <c r="LL15" s="575"/>
      <c r="LM15" s="575"/>
      <c r="LN15" s="575"/>
      <c r="LO15" s="575"/>
      <c r="LP15" s="575"/>
      <c r="LQ15" s="575"/>
      <c r="LR15" s="575"/>
      <c r="LS15" s="575"/>
      <c r="LT15" s="575"/>
      <c r="LU15" s="575"/>
      <c r="LV15" s="575"/>
      <c r="LW15" s="575"/>
      <c r="LX15" s="575"/>
      <c r="LY15" s="575"/>
      <c r="LZ15" s="575"/>
      <c r="MA15" s="575"/>
      <c r="MB15" s="575"/>
      <c r="MC15" s="575"/>
      <c r="MD15" s="575"/>
      <c r="ME15" s="575"/>
      <c r="MF15" s="575"/>
      <c r="MG15" s="575"/>
      <c r="MH15" s="575"/>
      <c r="MI15" s="575"/>
      <c r="MJ15" s="575"/>
      <c r="MK15" s="575"/>
      <c r="ML15" s="575"/>
      <c r="MM15" s="575"/>
      <c r="MN15" s="575"/>
      <c r="MO15" s="575"/>
      <c r="MP15" s="575"/>
      <c r="MQ15" s="575"/>
      <c r="MR15" s="575"/>
      <c r="MS15" s="575"/>
      <c r="MT15" s="575"/>
      <c r="MU15" s="575"/>
      <c r="MV15" s="575"/>
      <c r="MW15" s="575"/>
      <c r="MX15" s="575"/>
      <c r="MY15" s="575"/>
      <c r="MZ15" s="575"/>
      <c r="NA15" s="575"/>
      <c r="NB15" s="575"/>
      <c r="NC15" s="575"/>
      <c r="ND15" s="575"/>
      <c r="NE15" s="575"/>
      <c r="NF15" s="575"/>
      <c r="NG15" s="575"/>
      <c r="NH15" s="575"/>
      <c r="NI15" s="575"/>
      <c r="NJ15" s="575"/>
      <c r="NK15" s="575"/>
      <c r="NL15" s="575"/>
      <c r="NM15" s="575"/>
      <c r="NN15" s="575"/>
      <c r="NO15" s="575"/>
      <c r="NP15" s="575"/>
      <c r="NQ15" s="575"/>
      <c r="NR15" s="575"/>
      <c r="NS15" s="575"/>
      <c r="NT15" s="575"/>
      <c r="NU15" s="575"/>
      <c r="NV15" s="575"/>
      <c r="NW15" s="575"/>
      <c r="NX15" s="575"/>
      <c r="NY15" s="575"/>
      <c r="NZ15" s="575"/>
      <c r="OA15" s="575"/>
      <c r="OB15" s="575"/>
      <c r="OC15" s="575"/>
      <c r="OD15" s="575"/>
      <c r="OE15" s="575"/>
      <c r="OF15" s="575"/>
      <c r="OG15" s="575"/>
      <c r="OH15" s="575"/>
      <c r="OI15" s="575"/>
      <c r="OJ15" s="575"/>
      <c r="OK15" s="575"/>
      <c r="OL15" s="575"/>
      <c r="OM15" s="575"/>
      <c r="ON15" s="575"/>
      <c r="OO15" s="575"/>
      <c r="OP15" s="575"/>
      <c r="OQ15" s="575"/>
      <c r="OR15" s="575"/>
      <c r="OS15" s="575"/>
      <c r="OT15" s="575"/>
      <c r="OU15" s="575"/>
      <c r="OV15" s="575"/>
      <c r="OW15" s="575"/>
      <c r="OX15" s="575"/>
      <c r="OY15" s="575"/>
      <c r="OZ15" s="575"/>
      <c r="PA15" s="575"/>
      <c r="PB15" s="575"/>
      <c r="PC15" s="575"/>
      <c r="PD15" s="575"/>
      <c r="PE15" s="575"/>
      <c r="PF15" s="575"/>
      <c r="PG15" s="575"/>
      <c r="PH15" s="575"/>
      <c r="PI15" s="575"/>
      <c r="PJ15" s="575"/>
      <c r="PK15" s="575"/>
      <c r="PL15" s="575"/>
      <c r="PM15" s="575"/>
      <c r="PN15" s="575"/>
      <c r="PO15" s="575"/>
      <c r="PP15" s="575"/>
      <c r="PQ15" s="575"/>
      <c r="PR15" s="575"/>
      <c r="PS15" s="575"/>
      <c r="PT15" s="575"/>
      <c r="PU15" s="575"/>
      <c r="PV15" s="575"/>
      <c r="PW15" s="575"/>
      <c r="PX15" s="575"/>
      <c r="PY15" s="575"/>
      <c r="PZ15" s="575"/>
      <c r="QA15" s="575"/>
      <c r="QB15" s="575"/>
      <c r="QC15" s="575"/>
      <c r="QD15" s="575"/>
      <c r="QE15" s="575"/>
      <c r="QF15" s="575"/>
      <c r="QG15" s="575"/>
      <c r="QH15" s="575"/>
      <c r="QI15" s="575"/>
      <c r="QJ15" s="575"/>
      <c r="QK15" s="575"/>
      <c r="QL15" s="575"/>
      <c r="QM15" s="575"/>
      <c r="QN15" s="575"/>
      <c r="QO15" s="575"/>
      <c r="QP15" s="575"/>
      <c r="QQ15" s="575"/>
      <c r="QR15" s="575"/>
      <c r="QS15" s="575"/>
      <c r="QT15" s="575"/>
      <c r="QU15" s="575"/>
      <c r="QV15" s="575"/>
      <c r="QW15" s="575"/>
      <c r="QX15" s="575"/>
      <c r="QY15" s="575"/>
      <c r="QZ15" s="575"/>
      <c r="RA15" s="575"/>
      <c r="RB15" s="575"/>
      <c r="RC15" s="575"/>
      <c r="RD15" s="575"/>
      <c r="RE15" s="575"/>
      <c r="RF15" s="575"/>
      <c r="RG15" s="575"/>
      <c r="RH15" s="575"/>
      <c r="RI15" s="575"/>
      <c r="RJ15" s="575"/>
      <c r="RK15" s="575"/>
      <c r="RL15" s="575"/>
      <c r="RM15" s="575"/>
      <c r="RN15" s="575"/>
      <c r="RO15" s="575"/>
      <c r="RP15" s="575"/>
      <c r="RQ15" s="575"/>
      <c r="RR15" s="575"/>
      <c r="RS15" s="575"/>
      <c r="RT15" s="575"/>
      <c r="RU15" s="575"/>
      <c r="RV15" s="575"/>
      <c r="RW15" s="575"/>
      <c r="RX15" s="575"/>
      <c r="RY15" s="575"/>
      <c r="RZ15" s="575"/>
      <c r="SA15" s="575"/>
      <c r="SB15" s="575"/>
      <c r="SC15" s="575"/>
      <c r="SD15" s="575"/>
      <c r="SE15" s="575"/>
      <c r="SF15" s="575"/>
      <c r="SG15" s="575"/>
      <c r="SH15" s="575"/>
      <c r="SI15" s="575"/>
      <c r="SJ15" s="575"/>
      <c r="SK15" s="575"/>
      <c r="SL15" s="575"/>
      <c r="SM15" s="575"/>
      <c r="SN15" s="575"/>
      <c r="SO15" s="575"/>
      <c r="SP15" s="575"/>
      <c r="SQ15" s="575"/>
      <c r="SR15" s="575"/>
      <c r="SS15" s="575"/>
      <c r="ST15" s="575"/>
      <c r="SU15" s="575"/>
      <c r="SV15" s="575"/>
      <c r="SW15" s="575"/>
      <c r="SX15" s="575"/>
      <c r="SY15" s="575"/>
      <c r="SZ15" s="575"/>
      <c r="TA15" s="575"/>
      <c r="TB15" s="575"/>
      <c r="TC15" s="575"/>
      <c r="TD15" s="575"/>
      <c r="TE15" s="575"/>
      <c r="TF15" s="575"/>
      <c r="TG15" s="575"/>
      <c r="TH15" s="575"/>
      <c r="TI15" s="575"/>
      <c r="TJ15" s="575"/>
      <c r="TK15" s="575"/>
      <c r="TL15" s="575"/>
      <c r="TM15" s="575"/>
      <c r="TN15" s="575"/>
      <c r="TO15" s="575"/>
      <c r="TP15" s="575"/>
      <c r="TQ15" s="575"/>
      <c r="TR15" s="575"/>
      <c r="TS15" s="575"/>
      <c r="TT15" s="575"/>
      <c r="TU15" s="575"/>
      <c r="TV15" s="575"/>
      <c r="TW15" s="575"/>
      <c r="TX15" s="575"/>
      <c r="TY15" s="575"/>
      <c r="TZ15" s="575"/>
      <c r="UA15" s="575"/>
      <c r="UB15" s="575"/>
      <c r="UC15" s="575"/>
      <c r="UD15" s="575"/>
      <c r="UE15" s="575"/>
      <c r="UF15" s="575"/>
      <c r="UG15" s="575"/>
      <c r="UH15" s="575"/>
      <c r="UI15" s="575"/>
      <c r="UJ15" s="575"/>
      <c r="UK15" s="575"/>
      <c r="UL15" s="575"/>
      <c r="UM15" s="575"/>
      <c r="UN15" s="575"/>
      <c r="UO15" s="575"/>
      <c r="UP15" s="575"/>
      <c r="UQ15" s="575"/>
      <c r="UR15" s="575"/>
      <c r="US15" s="575"/>
      <c r="UT15" s="575"/>
      <c r="UU15" s="575"/>
      <c r="UV15" s="575"/>
      <c r="UW15" s="575"/>
      <c r="UX15" s="575"/>
      <c r="UY15" s="575"/>
      <c r="UZ15" s="575"/>
      <c r="VA15" s="575"/>
      <c r="VB15" s="575"/>
      <c r="VC15" s="575"/>
      <c r="VD15" s="575"/>
      <c r="VE15" s="575"/>
      <c r="VF15" s="575"/>
      <c r="VG15" s="575"/>
      <c r="VH15" s="575"/>
      <c r="VI15" s="575"/>
      <c r="VJ15" s="575"/>
      <c r="VK15" s="575"/>
      <c r="VL15" s="575"/>
      <c r="VM15" s="575"/>
      <c r="VN15" s="575"/>
      <c r="VO15" s="575"/>
      <c r="VP15" s="575"/>
      <c r="VQ15" s="575"/>
      <c r="VR15" s="575"/>
      <c r="VS15" s="575"/>
      <c r="VT15" s="575"/>
      <c r="VU15" s="575"/>
      <c r="VV15" s="575"/>
      <c r="VW15" s="575"/>
      <c r="VX15" s="575"/>
      <c r="VY15" s="575"/>
      <c r="VZ15" s="575"/>
      <c r="WA15" s="575"/>
      <c r="WB15" s="575"/>
      <c r="WC15" s="575"/>
      <c r="WD15" s="575"/>
      <c r="WE15" s="575"/>
      <c r="WF15" s="575"/>
      <c r="WG15" s="575"/>
      <c r="WH15" s="575"/>
      <c r="WI15" s="575"/>
      <c r="WJ15" s="575"/>
      <c r="WK15" s="575"/>
      <c r="WL15" s="575"/>
      <c r="WM15" s="575"/>
      <c r="WN15" s="575"/>
      <c r="WO15" s="575"/>
      <c r="WP15" s="575"/>
      <c r="WQ15" s="575"/>
      <c r="WR15" s="575"/>
      <c r="WS15" s="575"/>
      <c r="WT15" s="575"/>
      <c r="WU15" s="575"/>
      <c r="WV15" s="575"/>
      <c r="WW15" s="575"/>
      <c r="WX15" s="575"/>
      <c r="WY15" s="575"/>
      <c r="WZ15" s="575"/>
      <c r="XA15" s="575"/>
      <c r="XB15" s="575"/>
      <c r="XC15" s="575"/>
      <c r="XD15" s="575"/>
      <c r="XE15" s="575"/>
      <c r="XF15" s="575"/>
      <c r="XG15" s="575"/>
      <c r="XH15" s="575"/>
      <c r="XI15" s="575"/>
      <c r="XJ15" s="575"/>
      <c r="XK15" s="575"/>
      <c r="XL15" s="575"/>
      <c r="XM15" s="575"/>
      <c r="XN15" s="575"/>
      <c r="XO15" s="575"/>
      <c r="XP15" s="575"/>
      <c r="XQ15" s="575"/>
      <c r="XR15" s="575"/>
      <c r="XS15" s="575"/>
      <c r="XT15" s="575"/>
      <c r="XU15" s="575"/>
      <c r="XV15" s="575"/>
      <c r="XW15" s="575"/>
      <c r="XX15" s="575"/>
      <c r="XY15" s="575"/>
      <c r="XZ15" s="575"/>
      <c r="YA15" s="575"/>
      <c r="YB15" s="575"/>
      <c r="YC15" s="575"/>
      <c r="YD15" s="575"/>
      <c r="YE15" s="575"/>
      <c r="YF15" s="575"/>
      <c r="YG15" s="575"/>
      <c r="YH15" s="575"/>
      <c r="YI15" s="575"/>
      <c r="YJ15" s="575"/>
      <c r="YK15" s="575"/>
      <c r="YL15" s="575"/>
      <c r="YM15" s="575"/>
      <c r="YN15" s="575"/>
      <c r="YO15" s="575"/>
      <c r="YP15" s="575"/>
      <c r="YQ15" s="575"/>
      <c r="YR15" s="575"/>
      <c r="YS15" s="575"/>
      <c r="YT15" s="575"/>
      <c r="YU15" s="575"/>
      <c r="YV15" s="575"/>
      <c r="YW15" s="575"/>
      <c r="YX15" s="575"/>
      <c r="YY15" s="575"/>
      <c r="YZ15" s="575"/>
      <c r="ZA15" s="575"/>
      <c r="ZB15" s="575"/>
      <c r="ZC15" s="575"/>
      <c r="ZD15" s="575"/>
      <c r="ZE15" s="575"/>
      <c r="ZF15" s="575"/>
      <c r="ZG15" s="575"/>
      <c r="ZH15" s="575"/>
      <c r="ZI15" s="575"/>
      <c r="ZJ15" s="575"/>
      <c r="ZK15" s="575"/>
      <c r="ZL15" s="575"/>
      <c r="ZM15" s="575"/>
      <c r="ZN15" s="575"/>
      <c r="ZO15" s="575"/>
      <c r="ZP15" s="575"/>
      <c r="ZQ15" s="575"/>
      <c r="ZR15" s="575"/>
      <c r="ZS15" s="575"/>
      <c r="ZT15" s="575"/>
      <c r="ZU15" s="575"/>
      <c r="ZV15" s="575"/>
      <c r="ZW15" s="575"/>
      <c r="ZX15" s="575"/>
      <c r="ZY15" s="575"/>
      <c r="ZZ15" s="575"/>
      <c r="AAA15" s="575"/>
      <c r="AAB15" s="575"/>
      <c r="AAC15" s="575"/>
      <c r="AAD15" s="575"/>
      <c r="AAE15" s="575"/>
      <c r="AAF15" s="575"/>
      <c r="AAG15" s="575"/>
      <c r="AAH15" s="575"/>
      <c r="AAI15" s="575"/>
      <c r="AAJ15" s="575"/>
      <c r="AAK15" s="575"/>
      <c r="AAL15" s="575"/>
      <c r="AAM15" s="575"/>
      <c r="AAN15" s="575"/>
      <c r="AAO15" s="575"/>
      <c r="AAP15" s="575"/>
      <c r="AAQ15" s="575"/>
      <c r="AAR15" s="575"/>
      <c r="AAS15" s="575"/>
      <c r="AAT15" s="575"/>
      <c r="AAU15" s="575"/>
      <c r="AAV15" s="575"/>
      <c r="AAW15" s="575"/>
      <c r="AAX15" s="575"/>
      <c r="AAY15" s="575"/>
      <c r="AAZ15" s="575"/>
      <c r="ABA15" s="575"/>
      <c r="ABB15" s="575"/>
      <c r="ABC15" s="575"/>
      <c r="ABD15" s="575"/>
      <c r="ABE15" s="575"/>
      <c r="ABF15" s="575"/>
      <c r="ABG15" s="575"/>
      <c r="ABH15" s="575"/>
      <c r="ABI15" s="575"/>
      <c r="ABJ15" s="575"/>
      <c r="ABK15" s="575"/>
      <c r="ABL15" s="575"/>
      <c r="ABM15" s="575"/>
      <c r="ABN15" s="575"/>
      <c r="ABO15" s="575"/>
      <c r="ABP15" s="575"/>
      <c r="ABQ15" s="575"/>
      <c r="ABR15" s="575"/>
      <c r="ABS15" s="575"/>
      <c r="ABT15" s="575"/>
      <c r="ABU15" s="575"/>
      <c r="ABV15" s="575"/>
      <c r="ABW15" s="575"/>
      <c r="ABX15" s="575"/>
      <c r="ABY15" s="575"/>
      <c r="ABZ15" s="575"/>
      <c r="ACA15" s="575"/>
      <c r="ACB15" s="575"/>
      <c r="ACC15" s="575"/>
      <c r="ACD15" s="575"/>
      <c r="ACE15" s="575"/>
      <c r="ACF15" s="575"/>
      <c r="ACG15" s="575"/>
      <c r="ACH15" s="575"/>
      <c r="ACI15" s="575"/>
      <c r="ACJ15" s="575"/>
      <c r="ACK15" s="575"/>
      <c r="ACL15" s="575"/>
      <c r="ACM15" s="575"/>
      <c r="ACN15" s="575"/>
      <c r="ACO15" s="575"/>
      <c r="ACP15" s="575"/>
      <c r="ACQ15" s="575"/>
      <c r="ACR15" s="575"/>
      <c r="ACS15" s="575"/>
      <c r="ACT15" s="575"/>
      <c r="ACU15" s="575"/>
      <c r="ACV15" s="575"/>
      <c r="ACW15" s="575"/>
      <c r="ACX15" s="575"/>
      <c r="ACY15" s="575"/>
      <c r="ACZ15" s="575"/>
      <c r="ADA15" s="575"/>
      <c r="ADB15" s="575"/>
      <c r="ADC15" s="575"/>
      <c r="ADD15" s="575"/>
      <c r="ADE15" s="575"/>
      <c r="ADF15" s="575"/>
      <c r="ADG15" s="575"/>
      <c r="ADH15" s="575"/>
      <c r="ADI15" s="575"/>
      <c r="ADJ15" s="575"/>
      <c r="ADK15" s="575"/>
      <c r="ADL15" s="575"/>
      <c r="ADM15" s="575"/>
      <c r="ADN15" s="575"/>
      <c r="ADO15" s="575"/>
      <c r="ADP15" s="575"/>
      <c r="ADQ15" s="575"/>
      <c r="ADR15" s="575"/>
      <c r="ADS15" s="575"/>
      <c r="ADT15" s="575"/>
      <c r="ADU15" s="575"/>
      <c r="ADV15" s="575"/>
      <c r="ADW15" s="575"/>
      <c r="ADX15" s="575"/>
      <c r="ADY15" s="575"/>
      <c r="ADZ15" s="575"/>
      <c r="AEA15" s="575"/>
      <c r="AEB15" s="575"/>
      <c r="AEC15" s="575"/>
      <c r="AED15" s="575"/>
      <c r="AEE15" s="575"/>
      <c r="AEF15" s="575"/>
      <c r="AEG15" s="575"/>
      <c r="AEH15" s="575"/>
      <c r="AEI15" s="575"/>
      <c r="AEJ15" s="575"/>
      <c r="AEK15" s="575"/>
      <c r="AEL15" s="575"/>
      <c r="AEM15" s="575"/>
      <c r="AEN15" s="575"/>
      <c r="AEO15" s="575"/>
      <c r="AEP15" s="575"/>
      <c r="AEQ15" s="575"/>
      <c r="AER15" s="575"/>
      <c r="AES15" s="575"/>
      <c r="AET15" s="575"/>
      <c r="AEU15" s="575"/>
      <c r="AEV15" s="575"/>
      <c r="AEW15" s="575"/>
      <c r="AEX15" s="575"/>
      <c r="AEY15" s="575"/>
      <c r="AEZ15" s="575"/>
      <c r="AFA15" s="575"/>
      <c r="AFB15" s="575"/>
      <c r="AFC15" s="575"/>
      <c r="AFD15" s="575"/>
      <c r="AFE15" s="575"/>
      <c r="AFF15" s="575"/>
      <c r="AFG15" s="575"/>
      <c r="AFH15" s="575"/>
      <c r="AFI15" s="575"/>
      <c r="AFJ15" s="575"/>
      <c r="AFK15" s="575"/>
      <c r="AFL15" s="575"/>
      <c r="AFM15" s="575"/>
      <c r="AFN15" s="575"/>
      <c r="AFO15" s="575"/>
      <c r="AFP15" s="575"/>
      <c r="AFQ15" s="575"/>
      <c r="AFR15" s="575"/>
      <c r="AFS15" s="575"/>
      <c r="AFT15" s="575"/>
      <c r="AFU15" s="575"/>
      <c r="AFV15" s="575"/>
      <c r="AFW15" s="575"/>
      <c r="AFX15" s="575"/>
      <c r="AFY15" s="575"/>
      <c r="AFZ15" s="575"/>
      <c r="AGA15" s="575"/>
      <c r="AGB15" s="575"/>
      <c r="AGC15" s="575"/>
      <c r="AGD15" s="575"/>
      <c r="AGE15" s="575"/>
      <c r="AGF15" s="575"/>
      <c r="AGG15" s="575"/>
      <c r="AGH15" s="575"/>
      <c r="AGI15" s="575"/>
      <c r="AGJ15" s="575"/>
      <c r="AGK15" s="575"/>
      <c r="AGL15" s="575"/>
      <c r="AGM15" s="575"/>
      <c r="AGN15" s="575"/>
      <c r="AGO15" s="575"/>
      <c r="AGP15" s="575"/>
      <c r="AGQ15" s="575"/>
      <c r="AGR15" s="575"/>
      <c r="AGS15" s="575"/>
      <c r="AGT15" s="575"/>
      <c r="AGU15" s="575"/>
      <c r="AGV15" s="575"/>
      <c r="AGW15" s="575"/>
      <c r="AGX15" s="575"/>
      <c r="AGY15" s="575"/>
      <c r="AGZ15" s="575"/>
      <c r="AHA15" s="575"/>
      <c r="AHB15" s="575"/>
      <c r="AHC15" s="575"/>
      <c r="AHD15" s="575"/>
      <c r="AHE15" s="575"/>
      <c r="AHF15" s="575"/>
      <c r="AHG15" s="575"/>
      <c r="AHH15" s="575"/>
      <c r="AHI15" s="575"/>
      <c r="AHJ15" s="575"/>
      <c r="AHK15" s="575"/>
      <c r="AHL15" s="575"/>
      <c r="AHM15" s="575"/>
      <c r="AHN15" s="575"/>
      <c r="AHO15" s="575"/>
      <c r="AHP15" s="575"/>
      <c r="AHQ15" s="575"/>
      <c r="AHR15" s="575"/>
      <c r="AHS15" s="575"/>
      <c r="AHT15" s="575"/>
      <c r="AHU15" s="575"/>
      <c r="AHV15" s="575"/>
      <c r="AHW15" s="575"/>
      <c r="AHX15" s="575"/>
      <c r="AHY15" s="575"/>
      <c r="AHZ15" s="575"/>
      <c r="AIA15" s="575"/>
      <c r="AIB15" s="575"/>
      <c r="AIC15" s="575"/>
      <c r="AID15" s="575"/>
      <c r="AIE15" s="575"/>
      <c r="AIF15" s="575"/>
      <c r="AIG15" s="575"/>
      <c r="AIH15" s="575"/>
      <c r="AII15" s="575"/>
      <c r="AIJ15" s="575"/>
      <c r="AIK15" s="575"/>
      <c r="AIL15" s="575"/>
      <c r="AIM15" s="575"/>
      <c r="AIN15" s="575"/>
      <c r="AIO15" s="575"/>
      <c r="AIP15" s="575"/>
      <c r="AIQ15" s="575"/>
      <c r="AIR15" s="575"/>
      <c r="AIS15" s="575"/>
      <c r="AIT15" s="575"/>
      <c r="AIU15" s="575"/>
      <c r="AIV15" s="575"/>
      <c r="AIW15" s="575"/>
      <c r="AIX15" s="575"/>
      <c r="AIY15" s="575"/>
      <c r="AIZ15" s="575"/>
      <c r="AJA15" s="575"/>
      <c r="AJB15" s="575"/>
      <c r="AJC15" s="575"/>
      <c r="AJD15" s="575"/>
      <c r="AJE15" s="575"/>
      <c r="AJF15" s="575"/>
      <c r="AJG15" s="575"/>
      <c r="AJH15" s="575"/>
      <c r="AJI15" s="575"/>
      <c r="AJJ15" s="575"/>
      <c r="AJK15" s="575"/>
      <c r="AJL15" s="575"/>
      <c r="AJM15" s="575"/>
      <c r="AJN15" s="575"/>
      <c r="AJO15" s="575"/>
      <c r="AJP15" s="575"/>
      <c r="AJQ15" s="575"/>
      <c r="AJR15" s="575"/>
      <c r="AJS15" s="575"/>
      <c r="AJT15" s="575"/>
      <c r="AJU15" s="575"/>
      <c r="AJV15" s="575"/>
      <c r="AJW15" s="575"/>
      <c r="AJX15" s="575"/>
      <c r="AJY15" s="575"/>
      <c r="AJZ15" s="575"/>
      <c r="AKA15" s="575"/>
      <c r="AKB15" s="575"/>
      <c r="AKC15" s="575"/>
      <c r="AKD15" s="575"/>
      <c r="AKE15" s="575"/>
      <c r="AKF15" s="575"/>
      <c r="AKG15" s="575"/>
      <c r="AKH15" s="575"/>
      <c r="AKI15" s="575"/>
      <c r="AKJ15" s="575"/>
      <c r="AKK15" s="575"/>
      <c r="AKL15" s="575"/>
      <c r="AKM15" s="575"/>
      <c r="AKN15" s="575"/>
      <c r="AKO15" s="575"/>
      <c r="AKP15" s="575"/>
      <c r="AKQ15" s="575"/>
      <c r="AKR15" s="575"/>
      <c r="AKS15" s="575"/>
      <c r="AKT15" s="575"/>
      <c r="AKU15" s="575"/>
      <c r="AKV15" s="575"/>
      <c r="AKW15" s="575"/>
      <c r="AKX15" s="575"/>
      <c r="AKY15" s="575"/>
      <c r="AKZ15" s="575"/>
      <c r="ALA15" s="575"/>
      <c r="ALB15" s="575"/>
      <c r="ALC15" s="575"/>
      <c r="ALD15" s="575"/>
      <c r="ALE15" s="575"/>
      <c r="ALF15" s="575"/>
      <c r="ALG15" s="575"/>
      <c r="ALH15" s="575"/>
      <c r="ALI15" s="575"/>
      <c r="ALJ15" s="575"/>
      <c r="ALK15" s="575"/>
      <c r="ALL15" s="575"/>
      <c r="ALM15" s="575"/>
      <c r="ALN15" s="575"/>
      <c r="ALO15" s="575"/>
      <c r="ALP15" s="575"/>
      <c r="ALQ15" s="575"/>
      <c r="ALR15" s="575"/>
      <c r="ALS15" s="575"/>
      <c r="ALT15" s="575"/>
      <c r="ALU15" s="575"/>
      <c r="ALV15" s="575"/>
      <c r="ALW15" s="575"/>
      <c r="ALX15" s="575"/>
      <c r="ALY15" s="575"/>
      <c r="ALZ15" s="575"/>
      <c r="AMA15" s="575"/>
      <c r="AMB15" s="575"/>
      <c r="AMC15" s="575"/>
      <c r="AMD15" s="575"/>
      <c r="AME15" s="575"/>
      <c r="AMF15" s="575"/>
      <c r="AMG15" s="575"/>
      <c r="AMH15" s="575"/>
      <c r="AMI15" s="575"/>
      <c r="AMJ15" s="575"/>
      <c r="AMK15" s="575"/>
      <c r="AML15" s="575"/>
      <c r="AMM15" s="575"/>
      <c r="AMN15" s="575"/>
      <c r="AMO15" s="575"/>
      <c r="AMP15" s="575"/>
      <c r="AMQ15" s="575"/>
      <c r="AMR15" s="575"/>
      <c r="AMS15" s="575"/>
      <c r="AMT15" s="575"/>
      <c r="AMU15" s="575"/>
      <c r="AMV15" s="575"/>
      <c r="AMW15" s="575"/>
      <c r="AMX15" s="575"/>
      <c r="AMY15" s="575"/>
      <c r="AMZ15" s="575"/>
      <c r="ANA15" s="575"/>
      <c r="ANB15" s="575"/>
      <c r="ANC15" s="575"/>
      <c r="AND15" s="575"/>
      <c r="ANE15" s="575"/>
      <c r="ANF15" s="575"/>
      <c r="ANG15" s="575"/>
      <c r="ANH15" s="575"/>
      <c r="ANI15" s="575"/>
      <c r="ANJ15" s="575"/>
      <c r="ANK15" s="575"/>
      <c r="ANL15" s="575"/>
      <c r="ANM15" s="575"/>
      <c r="ANN15" s="575"/>
      <c r="ANO15" s="575"/>
      <c r="ANP15" s="575"/>
      <c r="ANQ15" s="575"/>
      <c r="ANR15" s="575"/>
      <c r="ANS15" s="575"/>
      <c r="ANT15" s="575"/>
      <c r="ANU15" s="575"/>
      <c r="ANV15" s="575"/>
      <c r="ANW15" s="575"/>
      <c r="ANX15" s="575"/>
      <c r="ANY15" s="575"/>
      <c r="ANZ15" s="575"/>
      <c r="AOA15" s="575"/>
      <c r="AOB15" s="575"/>
      <c r="AOC15" s="575"/>
      <c r="AOD15" s="575"/>
      <c r="AOE15" s="575"/>
      <c r="AOF15" s="575"/>
      <c r="AOG15" s="575"/>
      <c r="AOH15" s="575"/>
      <c r="AOI15" s="575"/>
      <c r="AOJ15" s="575"/>
      <c r="AOK15" s="575"/>
      <c r="AOL15" s="575"/>
      <c r="AOM15" s="575"/>
      <c r="AON15" s="575"/>
      <c r="AOO15" s="575"/>
      <c r="AOP15" s="575"/>
      <c r="AOQ15" s="575"/>
      <c r="AOR15" s="575"/>
      <c r="AOS15" s="575"/>
      <c r="AOT15" s="575"/>
      <c r="AOU15" s="575"/>
      <c r="AOV15" s="575"/>
      <c r="AOW15" s="575"/>
      <c r="AOX15" s="575"/>
      <c r="AOY15" s="575"/>
      <c r="AOZ15" s="575"/>
      <c r="APA15" s="575"/>
      <c r="APB15" s="575"/>
      <c r="APC15" s="575"/>
      <c r="APD15" s="575"/>
      <c r="APE15" s="575"/>
      <c r="APF15" s="575"/>
      <c r="APG15" s="575"/>
      <c r="APH15" s="575"/>
      <c r="API15" s="575"/>
      <c r="APJ15" s="575"/>
      <c r="APK15" s="575"/>
      <c r="APL15" s="575"/>
      <c r="APM15" s="575"/>
      <c r="APN15" s="575"/>
      <c r="APO15" s="575"/>
      <c r="APP15" s="575"/>
      <c r="APQ15" s="575"/>
      <c r="APR15" s="575"/>
      <c r="APS15" s="575"/>
      <c r="APT15" s="575"/>
      <c r="APU15" s="575"/>
      <c r="APV15" s="575"/>
      <c r="APW15" s="575"/>
      <c r="APX15" s="575"/>
      <c r="APY15" s="575"/>
      <c r="APZ15" s="575"/>
      <c r="AQA15" s="575"/>
      <c r="AQB15" s="575"/>
      <c r="AQC15" s="575"/>
      <c r="AQD15" s="575"/>
      <c r="AQE15" s="575"/>
      <c r="AQF15" s="575"/>
      <c r="AQG15" s="575"/>
      <c r="AQH15" s="575"/>
      <c r="AQI15" s="575"/>
      <c r="AQJ15" s="575"/>
      <c r="AQK15" s="575"/>
      <c r="AQL15" s="575"/>
      <c r="AQM15" s="575"/>
      <c r="AQN15" s="575"/>
      <c r="AQO15" s="575"/>
      <c r="AQP15" s="575"/>
      <c r="AQQ15" s="575"/>
      <c r="AQR15" s="575"/>
      <c r="AQS15" s="575"/>
      <c r="AQT15" s="575"/>
      <c r="AQU15" s="575"/>
      <c r="AQV15" s="575"/>
      <c r="AQW15" s="575"/>
      <c r="AQX15" s="575"/>
      <c r="AQY15" s="575"/>
      <c r="AQZ15" s="575"/>
      <c r="ARA15" s="575"/>
      <c r="ARB15" s="575"/>
      <c r="ARC15" s="575"/>
      <c r="ARD15" s="575"/>
      <c r="ARE15" s="575"/>
      <c r="ARF15" s="575"/>
      <c r="ARG15" s="575"/>
      <c r="ARH15" s="575"/>
      <c r="ARI15" s="575"/>
      <c r="ARJ15" s="575"/>
      <c r="ARK15" s="575"/>
      <c r="ARL15" s="575"/>
      <c r="ARM15" s="575"/>
      <c r="ARN15" s="575"/>
      <c r="ARO15" s="575"/>
      <c r="ARP15" s="575"/>
      <c r="ARQ15" s="575"/>
      <c r="ARR15" s="575"/>
      <c r="ARS15" s="575"/>
      <c r="ART15" s="575"/>
      <c r="ARU15" s="575"/>
      <c r="ARV15" s="575"/>
      <c r="ARW15" s="575"/>
      <c r="ARX15" s="575"/>
      <c r="ARY15" s="575"/>
      <c r="ARZ15" s="575"/>
      <c r="ASA15" s="575"/>
      <c r="ASB15" s="575"/>
      <c r="ASC15" s="575"/>
      <c r="ASD15" s="575"/>
      <c r="ASE15" s="575"/>
      <c r="ASF15" s="575"/>
      <c r="ASG15" s="575"/>
      <c r="ASH15" s="575"/>
      <c r="ASI15" s="575"/>
      <c r="ASJ15" s="575"/>
      <c r="ASK15" s="575"/>
      <c r="ASL15" s="575"/>
      <c r="ASM15" s="575"/>
      <c r="ASN15" s="575"/>
      <c r="ASO15" s="575"/>
      <c r="ASP15" s="575"/>
      <c r="ASQ15" s="575"/>
      <c r="ASR15" s="575"/>
      <c r="ASS15" s="575"/>
      <c r="AST15" s="575"/>
      <c r="ASU15" s="575"/>
      <c r="ASV15" s="575"/>
      <c r="ASW15" s="575"/>
      <c r="ASX15" s="575"/>
      <c r="ASY15" s="575"/>
      <c r="ASZ15" s="575"/>
      <c r="ATA15" s="575"/>
      <c r="ATB15" s="575"/>
      <c r="ATC15" s="575"/>
      <c r="ATD15" s="575"/>
      <c r="ATE15" s="575"/>
      <c r="ATF15" s="575"/>
      <c r="ATG15" s="575"/>
      <c r="ATH15" s="575"/>
      <c r="ATI15" s="575"/>
      <c r="ATJ15" s="575"/>
      <c r="ATK15" s="575"/>
      <c r="ATL15" s="575"/>
      <c r="ATM15" s="575"/>
      <c r="ATN15" s="575"/>
      <c r="ATO15" s="575"/>
      <c r="ATP15" s="575"/>
      <c r="ATQ15" s="575"/>
      <c r="ATR15" s="575"/>
      <c r="ATS15" s="575"/>
      <c r="ATT15" s="575"/>
      <c r="ATU15" s="575"/>
      <c r="ATV15" s="575"/>
      <c r="ATW15" s="575"/>
      <c r="ATX15" s="575"/>
      <c r="ATY15" s="575"/>
      <c r="ATZ15" s="575"/>
      <c r="AUA15" s="575"/>
      <c r="AUB15" s="575"/>
      <c r="AUC15" s="575"/>
      <c r="AUD15" s="575"/>
      <c r="AUE15" s="575"/>
      <c r="AUF15" s="575"/>
      <c r="AUG15" s="575"/>
      <c r="AUH15" s="575"/>
      <c r="AUI15" s="575"/>
      <c r="AUJ15" s="575"/>
      <c r="AUK15" s="575"/>
      <c r="AUL15" s="575"/>
      <c r="AUM15" s="575"/>
      <c r="AUN15" s="575"/>
      <c r="AUO15" s="575"/>
      <c r="AUP15" s="575"/>
      <c r="AUQ15" s="575"/>
      <c r="AUR15" s="575"/>
      <c r="AUS15" s="575"/>
      <c r="AUT15" s="575"/>
      <c r="AUU15" s="575"/>
      <c r="AUV15" s="575"/>
      <c r="AUW15" s="575"/>
      <c r="AUX15" s="575"/>
      <c r="AUY15" s="575"/>
      <c r="AUZ15" s="575"/>
      <c r="AVA15" s="575"/>
      <c r="AVB15" s="575"/>
      <c r="AVC15" s="575"/>
      <c r="AVD15" s="575"/>
      <c r="AVE15" s="575"/>
      <c r="AVF15" s="575"/>
      <c r="AVG15" s="575"/>
      <c r="AVH15" s="575"/>
      <c r="AVI15" s="575"/>
      <c r="AVJ15" s="575"/>
      <c r="AVK15" s="575"/>
      <c r="AVL15" s="575"/>
      <c r="AVM15" s="575"/>
      <c r="AVN15" s="575"/>
      <c r="AVO15" s="575"/>
      <c r="AVP15" s="575"/>
      <c r="AVQ15" s="575"/>
      <c r="AVR15" s="575"/>
      <c r="AVS15" s="575"/>
      <c r="AVT15" s="575"/>
      <c r="AVU15" s="575"/>
      <c r="AVV15" s="575"/>
      <c r="AVW15" s="575"/>
      <c r="AVX15" s="575"/>
      <c r="AVY15" s="575"/>
      <c r="AVZ15" s="575"/>
      <c r="AWA15" s="575"/>
      <c r="AWB15" s="575"/>
      <c r="AWC15" s="575"/>
      <c r="AWD15" s="575"/>
      <c r="AWE15" s="575"/>
      <c r="AWF15" s="575"/>
      <c r="AWG15" s="575"/>
      <c r="AWH15" s="575"/>
      <c r="AWI15" s="575"/>
      <c r="AWJ15" s="575"/>
      <c r="AWK15" s="575"/>
      <c r="AWL15" s="575"/>
      <c r="AWM15" s="575"/>
      <c r="AWN15" s="575"/>
      <c r="AWO15" s="575"/>
      <c r="AWP15" s="575"/>
      <c r="AWQ15" s="575"/>
      <c r="AWR15" s="575"/>
      <c r="AWS15" s="575"/>
      <c r="AWT15" s="575"/>
      <c r="AWU15" s="575"/>
      <c r="AWV15" s="575"/>
      <c r="AWW15" s="575"/>
      <c r="AWX15" s="575"/>
      <c r="AWY15" s="575"/>
      <c r="AWZ15" s="575"/>
      <c r="AXA15" s="575"/>
      <c r="AXB15" s="575"/>
      <c r="AXC15" s="575"/>
      <c r="AXD15" s="575"/>
      <c r="AXE15" s="575"/>
      <c r="AXF15" s="575"/>
      <c r="AXG15" s="575"/>
      <c r="AXH15" s="575"/>
      <c r="AXI15" s="575"/>
      <c r="AXJ15" s="575"/>
      <c r="AXK15" s="575"/>
      <c r="AXL15" s="575"/>
      <c r="AXM15" s="575"/>
      <c r="AXN15" s="575"/>
      <c r="AXO15" s="575"/>
      <c r="AXP15" s="575"/>
      <c r="AXQ15" s="575"/>
      <c r="AXR15" s="575"/>
      <c r="AXS15" s="575"/>
      <c r="AXT15" s="575"/>
      <c r="AXU15" s="575"/>
      <c r="AXV15" s="575"/>
      <c r="AXW15" s="575"/>
      <c r="AXX15" s="575"/>
      <c r="AXY15" s="575"/>
      <c r="AXZ15" s="575"/>
      <c r="AYA15" s="575"/>
      <c r="AYB15" s="575"/>
      <c r="AYC15" s="575"/>
      <c r="AYD15" s="575"/>
      <c r="AYE15" s="575"/>
      <c r="AYF15" s="575"/>
      <c r="AYG15" s="575"/>
      <c r="AYH15" s="575"/>
      <c r="AYI15" s="575"/>
      <c r="AYJ15" s="575"/>
      <c r="AYK15" s="575"/>
      <c r="AYL15" s="575"/>
      <c r="AYM15" s="575"/>
      <c r="AYN15" s="575"/>
      <c r="AYO15" s="575"/>
      <c r="AYP15" s="575"/>
      <c r="AYQ15" s="575"/>
      <c r="AYR15" s="575"/>
      <c r="AYS15" s="575"/>
      <c r="AYT15" s="575"/>
      <c r="AYU15" s="575"/>
      <c r="AYV15" s="575"/>
      <c r="AYW15" s="575"/>
      <c r="AYX15" s="575"/>
      <c r="AYY15" s="575"/>
      <c r="AYZ15" s="575"/>
      <c r="AZA15" s="575"/>
      <c r="AZB15" s="575"/>
      <c r="AZC15" s="575"/>
      <c r="AZD15" s="575"/>
      <c r="AZE15" s="575"/>
      <c r="AZF15" s="575"/>
      <c r="AZG15" s="575"/>
      <c r="AZH15" s="575"/>
      <c r="AZI15" s="575"/>
      <c r="AZJ15" s="575"/>
      <c r="AZK15" s="575"/>
      <c r="AZL15" s="575"/>
      <c r="AZM15" s="575"/>
      <c r="AZN15" s="575"/>
      <c r="AZO15" s="575"/>
      <c r="AZP15" s="575"/>
      <c r="AZQ15" s="575"/>
      <c r="AZR15" s="575"/>
      <c r="AZS15" s="575"/>
      <c r="AZT15" s="575"/>
      <c r="AZU15" s="575"/>
      <c r="AZV15" s="575"/>
      <c r="AZW15" s="575"/>
      <c r="AZX15" s="575"/>
      <c r="AZY15" s="575"/>
      <c r="AZZ15" s="575"/>
      <c r="BAA15" s="575"/>
      <c r="BAB15" s="575"/>
      <c r="BAC15" s="575"/>
      <c r="BAD15" s="575"/>
      <c r="BAE15" s="575"/>
      <c r="BAF15" s="575"/>
      <c r="BAG15" s="575"/>
      <c r="BAH15" s="575"/>
      <c r="BAI15" s="575"/>
      <c r="BAJ15" s="575"/>
      <c r="BAK15" s="575"/>
      <c r="BAL15" s="575"/>
      <c r="BAM15" s="575"/>
      <c r="BAN15" s="575"/>
      <c r="BAO15" s="575"/>
      <c r="BAP15" s="575"/>
      <c r="BAQ15" s="575"/>
      <c r="BAR15" s="575"/>
      <c r="BAS15" s="575"/>
      <c r="BAT15" s="575"/>
      <c r="BAU15" s="575"/>
      <c r="BAV15" s="575"/>
      <c r="BAW15" s="575"/>
      <c r="BAX15" s="575"/>
      <c r="BAY15" s="575"/>
      <c r="BAZ15" s="575"/>
      <c r="BBA15" s="575"/>
      <c r="BBB15" s="575"/>
      <c r="BBC15" s="575"/>
      <c r="BBD15" s="575"/>
      <c r="BBE15" s="575"/>
      <c r="BBF15" s="575"/>
      <c r="BBG15" s="575"/>
      <c r="BBH15" s="575"/>
      <c r="BBI15" s="575"/>
      <c r="BBJ15" s="575"/>
      <c r="BBK15" s="575"/>
      <c r="BBL15" s="575"/>
      <c r="BBM15" s="575"/>
      <c r="BBN15" s="575"/>
      <c r="BBO15" s="575"/>
      <c r="BBP15" s="575"/>
      <c r="BBQ15" s="575"/>
      <c r="BBR15" s="575"/>
      <c r="BBS15" s="575"/>
      <c r="BBT15" s="575"/>
      <c r="BBU15" s="575"/>
      <c r="BBV15" s="575"/>
      <c r="BBW15" s="575"/>
      <c r="BBX15" s="575"/>
      <c r="BBY15" s="575"/>
      <c r="BBZ15" s="575"/>
      <c r="BCA15" s="575"/>
      <c r="BCB15" s="575"/>
      <c r="BCC15" s="575"/>
      <c r="BCD15" s="575"/>
      <c r="BCE15" s="575"/>
      <c r="BCF15" s="575"/>
      <c r="BCG15" s="575"/>
      <c r="BCH15" s="575"/>
      <c r="BCI15" s="575"/>
      <c r="BCJ15" s="575"/>
      <c r="BCK15" s="575"/>
      <c r="BCL15" s="575"/>
      <c r="BCM15" s="575"/>
      <c r="BCN15" s="575"/>
      <c r="BCO15" s="575"/>
      <c r="BCP15" s="575"/>
      <c r="BCQ15" s="575"/>
      <c r="BCR15" s="575"/>
      <c r="BCS15" s="575"/>
      <c r="BCT15" s="575"/>
      <c r="BCU15" s="575"/>
      <c r="BCV15" s="575"/>
      <c r="BCW15" s="575"/>
      <c r="BCX15" s="575"/>
      <c r="BCY15" s="575"/>
      <c r="BCZ15" s="575"/>
      <c r="BDA15" s="575"/>
      <c r="BDB15" s="575"/>
      <c r="BDC15" s="575"/>
      <c r="BDD15" s="575"/>
      <c r="BDE15" s="575"/>
      <c r="BDF15" s="575"/>
      <c r="BDG15" s="575"/>
      <c r="BDH15" s="575"/>
      <c r="BDI15" s="575"/>
      <c r="BDJ15" s="575"/>
      <c r="BDK15" s="575"/>
      <c r="BDL15" s="575"/>
      <c r="BDM15" s="575"/>
      <c r="BDN15" s="575"/>
      <c r="BDO15" s="575"/>
      <c r="BDP15" s="575"/>
      <c r="BDQ15" s="575"/>
      <c r="BDR15" s="575"/>
      <c r="BDS15" s="575"/>
      <c r="BDT15" s="575"/>
    </row>
    <row r="16" spans="1:1476" x14ac:dyDescent="0.25">
      <c r="A16" s="608">
        <v>5411</v>
      </c>
      <c r="B16" s="609" t="s">
        <v>117</v>
      </c>
      <c r="C16" s="610">
        <v>3145328.99</v>
      </c>
      <c r="D16" s="610">
        <v>1368979.96</v>
      </c>
      <c r="E16" s="610"/>
      <c r="F16" s="611"/>
      <c r="G16" s="610">
        <v>107878.5</v>
      </c>
      <c r="H16" s="610">
        <v>22875.4</v>
      </c>
      <c r="I16" s="610">
        <v>97632</v>
      </c>
      <c r="J16" s="610">
        <v>192715.39</v>
      </c>
      <c r="K16" s="610">
        <v>6193.95</v>
      </c>
      <c r="L16" s="610">
        <v>1308316.05</v>
      </c>
      <c r="M16" s="434">
        <f t="shared" si="0"/>
        <v>6249920.2400000002</v>
      </c>
      <c r="N16" s="612">
        <v>2113.6</v>
      </c>
      <c r="O16" s="612">
        <v>33515.599999999999</v>
      </c>
      <c r="P16" s="612">
        <v>675993.5</v>
      </c>
      <c r="Q16" s="612">
        <v>-9292.84</v>
      </c>
      <c r="R16" s="612">
        <v>491117.8</v>
      </c>
      <c r="S16" s="610">
        <v>13664.45</v>
      </c>
      <c r="T16" s="543">
        <f t="shared" si="1"/>
        <v>7457032.3499999996</v>
      </c>
      <c r="U16" s="575">
        <v>-28821.02</v>
      </c>
      <c r="V16" s="612"/>
      <c r="W16" s="612">
        <v>-1094.0899999999999</v>
      </c>
      <c r="X16" s="624">
        <v>76</v>
      </c>
      <c r="Y16" s="631">
        <v>1.5</v>
      </c>
      <c r="Z16" s="628">
        <f>VLOOKUP(A16,'[2]2022 toutes communes'!$B$9:$D$317,3,FALSE)</f>
        <v>1425</v>
      </c>
      <c r="AA16" s="617"/>
      <c r="AB16" s="618">
        <v>251733</v>
      </c>
      <c r="AC16" s="547">
        <f>AB16/VPI!R16</f>
        <v>3.3052541442774328</v>
      </c>
      <c r="AD16" s="548">
        <f t="shared" si="2"/>
        <v>1047058</v>
      </c>
      <c r="AE16" s="547">
        <f>AD16/VPI!R16</f>
        <v>13.747870933881694</v>
      </c>
      <c r="AF16" s="618">
        <v>1298791</v>
      </c>
      <c r="AG16" s="618">
        <v>147868</v>
      </c>
      <c r="AH16" s="618">
        <v>64696</v>
      </c>
      <c r="AI16" s="627"/>
      <c r="AJ16" s="628"/>
      <c r="AK16" s="547">
        <f>AJ16/VPI!R16</f>
        <v>0</v>
      </c>
      <c r="AL16" s="548">
        <f t="shared" si="3"/>
        <v>95299</v>
      </c>
      <c r="AM16" s="547">
        <f>AL16/VPI!R16</f>
        <v>1.2512758148335541</v>
      </c>
      <c r="AN16" s="628">
        <v>95299</v>
      </c>
      <c r="AO16" s="627"/>
      <c r="AP16" s="629">
        <v>28.618020251586799</v>
      </c>
      <c r="AR16" s="630">
        <v>0</v>
      </c>
    </row>
    <row r="17" spans="1:1476" x14ac:dyDescent="0.25">
      <c r="A17" s="608">
        <v>5412</v>
      </c>
      <c r="B17" s="609" t="s">
        <v>118</v>
      </c>
      <c r="C17" s="610">
        <v>1354929.8</v>
      </c>
      <c r="D17" s="610">
        <v>131174.24</v>
      </c>
      <c r="E17" s="610"/>
      <c r="F17" s="611"/>
      <c r="G17" s="610">
        <v>298253.40000000002</v>
      </c>
      <c r="H17" s="610">
        <v>9101.35</v>
      </c>
      <c r="I17" s="610">
        <v>37.049999999999301</v>
      </c>
      <c r="J17" s="610">
        <v>109928.61</v>
      </c>
      <c r="K17" s="610">
        <v>49964.95</v>
      </c>
      <c r="L17" s="610">
        <v>287918.09999999998</v>
      </c>
      <c r="M17" s="434">
        <f t="shared" si="0"/>
        <v>2241307.5</v>
      </c>
      <c r="N17" s="612">
        <v>916742.45</v>
      </c>
      <c r="O17" s="612"/>
      <c r="P17" s="612">
        <v>136161.15</v>
      </c>
      <c r="Q17" s="612">
        <v>19765.23</v>
      </c>
      <c r="R17" s="612">
        <v>167139.70000000001</v>
      </c>
      <c r="S17" s="610">
        <v>32120.15</v>
      </c>
      <c r="T17" s="543">
        <f t="shared" si="1"/>
        <v>3513236.18</v>
      </c>
      <c r="U17" s="575">
        <v>-68314.45</v>
      </c>
      <c r="V17" s="612"/>
      <c r="W17" s="612">
        <v>-288.02999999999997</v>
      </c>
      <c r="X17" s="624">
        <v>69</v>
      </c>
      <c r="Y17" s="631">
        <v>1</v>
      </c>
      <c r="Z17" s="628">
        <f>VLOOKUP(A17,'[2]2022 toutes communes'!$B$9:$D$317,3,FALSE)</f>
        <v>929</v>
      </c>
      <c r="AA17" s="617"/>
      <c r="AB17" s="618">
        <v>57316</v>
      </c>
      <c r="AC17" s="547">
        <f>AB17/VPI!R17</f>
        <v>1.7777672689767969</v>
      </c>
      <c r="AD17" s="548">
        <f t="shared" si="2"/>
        <v>181339</v>
      </c>
      <c r="AE17" s="547">
        <f>AD17/VPI!R17</f>
        <v>5.6245819455123067</v>
      </c>
      <c r="AF17" s="618">
        <v>238655</v>
      </c>
      <c r="AG17" s="618">
        <v>67488</v>
      </c>
      <c r="AH17" s="618">
        <v>22357</v>
      </c>
      <c r="AI17" s="627"/>
      <c r="AJ17" s="628">
        <v>0</v>
      </c>
      <c r="AK17" s="547">
        <f>AJ17/VPI!R17</f>
        <v>0</v>
      </c>
      <c r="AL17" s="548">
        <f t="shared" si="3"/>
        <v>41740</v>
      </c>
      <c r="AM17" s="547">
        <f>AL17/VPI!R17</f>
        <v>1.2946473202437627</v>
      </c>
      <c r="AN17" s="628">
        <v>41740</v>
      </c>
      <c r="AO17" s="627"/>
      <c r="AP17" s="629">
        <v>17.915109276333499</v>
      </c>
      <c r="AR17" s="630">
        <v>0</v>
      </c>
    </row>
    <row r="18" spans="1:1476" x14ac:dyDescent="0.25">
      <c r="A18" s="608">
        <v>5413</v>
      </c>
      <c r="B18" s="609" t="s">
        <v>119</v>
      </c>
      <c r="C18" s="610">
        <v>1862633.55</v>
      </c>
      <c r="D18" s="610">
        <v>252779.5</v>
      </c>
      <c r="E18" s="610"/>
      <c r="F18" s="611"/>
      <c r="G18" s="610">
        <v>386867.3</v>
      </c>
      <c r="H18" s="610">
        <v>2647.4</v>
      </c>
      <c r="I18" s="610"/>
      <c r="J18" s="610">
        <v>68420.490000000005</v>
      </c>
      <c r="K18" s="610">
        <v>35152.550000000003</v>
      </c>
      <c r="L18" s="610">
        <v>357353.05</v>
      </c>
      <c r="M18" s="434">
        <f t="shared" si="0"/>
        <v>2965853.8399999994</v>
      </c>
      <c r="N18" s="612">
        <v>281315.65000000002</v>
      </c>
      <c r="O18" s="612">
        <v>247581.1</v>
      </c>
      <c r="P18" s="612">
        <v>306784.2</v>
      </c>
      <c r="Q18" s="612">
        <v>42942.97</v>
      </c>
      <c r="R18" s="612">
        <v>86863.8</v>
      </c>
      <c r="S18" s="610">
        <v>40706.29</v>
      </c>
      <c r="T18" s="543">
        <f t="shared" si="1"/>
        <v>3972047.8499999996</v>
      </c>
      <c r="U18" s="575">
        <v>-92620.88</v>
      </c>
      <c r="V18" s="612"/>
      <c r="W18" s="612">
        <v>-751.62</v>
      </c>
      <c r="X18" s="624">
        <v>68</v>
      </c>
      <c r="Y18" s="631">
        <v>1.2</v>
      </c>
      <c r="Z18" s="628">
        <f>VLOOKUP(A18,'[2]2022 toutes communes'!$B$9:$D$317,3,FALSE)</f>
        <v>1940</v>
      </c>
      <c r="AA18" s="617"/>
      <c r="AB18" s="618">
        <v>46478</v>
      </c>
      <c r="AC18" s="547">
        <f>AB18/VPI!R18</f>
        <v>1.0911188341553573</v>
      </c>
      <c r="AD18" s="548">
        <f t="shared" si="2"/>
        <v>133936</v>
      </c>
      <c r="AE18" s="547">
        <f>AD18/VPI!R18</f>
        <v>3.1442852999576556</v>
      </c>
      <c r="AF18" s="618">
        <v>180414</v>
      </c>
      <c r="AG18" s="618">
        <v>238718</v>
      </c>
      <c r="AH18" s="618">
        <v>50731</v>
      </c>
      <c r="AI18" s="627"/>
      <c r="AJ18" s="628">
        <v>490</v>
      </c>
      <c r="AK18" s="547">
        <f>AJ18/VPI!R18</f>
        <v>1.1503253770302617E-2</v>
      </c>
      <c r="AL18" s="548">
        <f t="shared" si="3"/>
        <v>15864</v>
      </c>
      <c r="AM18" s="547">
        <f>AL18/VPI!R18</f>
        <v>0.37242370982057288</v>
      </c>
      <c r="AN18" s="628">
        <v>16354</v>
      </c>
      <c r="AO18" s="627"/>
      <c r="AP18" s="629">
        <v>0.54053168194483903</v>
      </c>
      <c r="AR18" s="630">
        <v>0</v>
      </c>
    </row>
    <row r="19" spans="1:1476" x14ac:dyDescent="0.25">
      <c r="A19" s="608">
        <v>5414</v>
      </c>
      <c r="B19" s="609" t="s">
        <v>120</v>
      </c>
      <c r="C19" s="610">
        <v>7187601.9100000001</v>
      </c>
      <c r="D19" s="610">
        <v>1250872.48</v>
      </c>
      <c r="E19" s="610"/>
      <c r="F19" s="611"/>
      <c r="G19" s="610">
        <v>854112.45</v>
      </c>
      <c r="H19" s="610">
        <v>50021.7</v>
      </c>
      <c r="I19" s="610">
        <v>72086.37</v>
      </c>
      <c r="J19" s="610">
        <v>361921.52</v>
      </c>
      <c r="K19" s="610">
        <v>194451.05</v>
      </c>
      <c r="L19" s="610">
        <v>1299724.3500000001</v>
      </c>
      <c r="M19" s="434">
        <f t="shared" si="0"/>
        <v>11270791.829999998</v>
      </c>
      <c r="N19" s="612">
        <v>1394258.5</v>
      </c>
      <c r="O19" s="612">
        <v>212518.9</v>
      </c>
      <c r="P19" s="612">
        <v>574545</v>
      </c>
      <c r="Q19" s="612">
        <v>134096.78</v>
      </c>
      <c r="R19" s="612">
        <v>495243.45</v>
      </c>
      <c r="S19" s="610">
        <v>94486.66</v>
      </c>
      <c r="T19" s="543">
        <f t="shared" si="1"/>
        <v>14175941.119999997</v>
      </c>
      <c r="U19" s="575">
        <v>-300306.08</v>
      </c>
      <c r="V19" s="612"/>
      <c r="W19" s="612">
        <v>-2070.16</v>
      </c>
      <c r="X19" s="624">
        <v>67.5</v>
      </c>
      <c r="Y19" s="631">
        <v>1</v>
      </c>
      <c r="Z19" s="628">
        <f>VLOOKUP(A19,'[2]2022 toutes communes'!$B$9:$D$317,3,FALSE)</f>
        <v>5979</v>
      </c>
      <c r="AA19" s="617"/>
      <c r="AB19" s="618">
        <v>505669</v>
      </c>
      <c r="AC19" s="547">
        <f>AB19/VPI!R19</f>
        <v>3.0483754985196247</v>
      </c>
      <c r="AD19" s="548">
        <f t="shared" si="2"/>
        <v>1698405</v>
      </c>
      <c r="AE19" s="547">
        <f>AD19/VPI!R19</f>
        <v>10.238666377735679</v>
      </c>
      <c r="AF19" s="618">
        <v>2204074</v>
      </c>
      <c r="AG19" s="618">
        <v>1538836</v>
      </c>
      <c r="AH19" s="618">
        <v>138044</v>
      </c>
      <c r="AI19" s="627"/>
      <c r="AJ19" s="628">
        <v>69009</v>
      </c>
      <c r="AK19" s="547">
        <f>AJ19/VPI!R19</f>
        <v>0.41601392368790807</v>
      </c>
      <c r="AL19" s="548">
        <f t="shared" si="3"/>
        <v>73056</v>
      </c>
      <c r="AM19" s="547">
        <f>AL19/VPI!R19</f>
        <v>0.44041086248089106</v>
      </c>
      <c r="AN19" s="628">
        <v>142065</v>
      </c>
      <c r="AO19" s="627"/>
      <c r="AP19" s="629">
        <v>8.1972867951792097</v>
      </c>
      <c r="AR19" s="630">
        <v>0</v>
      </c>
    </row>
    <row r="20" spans="1:1476" x14ac:dyDescent="0.25">
      <c r="A20" s="608">
        <v>5415</v>
      </c>
      <c r="B20" s="609" t="s">
        <v>66</v>
      </c>
      <c r="C20" s="610">
        <v>1616560.87</v>
      </c>
      <c r="D20" s="610">
        <v>375090.91</v>
      </c>
      <c r="E20" s="610"/>
      <c r="F20" s="611"/>
      <c r="G20" s="610">
        <v>152423.29999999999</v>
      </c>
      <c r="H20" s="610">
        <v>2862.75</v>
      </c>
      <c r="I20" s="610">
        <v>461.9</v>
      </c>
      <c r="J20" s="610">
        <v>39610.120000000003</v>
      </c>
      <c r="K20" s="610">
        <v>3493.65</v>
      </c>
      <c r="L20" s="610">
        <v>355505.15</v>
      </c>
      <c r="M20" s="434">
        <f t="shared" si="0"/>
        <v>2546008.65</v>
      </c>
      <c r="N20" s="612">
        <v>34023.050000000003</v>
      </c>
      <c r="O20" s="612">
        <v>-822.1</v>
      </c>
      <c r="P20" s="612">
        <v>215767.45</v>
      </c>
      <c r="Q20" s="612">
        <v>5102.67</v>
      </c>
      <c r="R20" s="612">
        <v>154098.6</v>
      </c>
      <c r="S20" s="610">
        <v>16228.19</v>
      </c>
      <c r="T20" s="543">
        <f t="shared" si="1"/>
        <v>2970406.51</v>
      </c>
      <c r="U20" s="575">
        <v>-38678.86</v>
      </c>
      <c r="V20" s="612"/>
      <c r="W20" s="612">
        <v>-2359.54</v>
      </c>
      <c r="X20" s="624">
        <v>71.5</v>
      </c>
      <c r="Y20" s="631">
        <v>1.5</v>
      </c>
      <c r="Z20" s="628">
        <f>VLOOKUP(A20,'[2]2022 toutes communes'!$B$9:$D$317,3,FALSE)</f>
        <v>1088</v>
      </c>
      <c r="AA20" s="617"/>
      <c r="AB20" s="618">
        <v>35439</v>
      </c>
      <c r="AC20" s="547">
        <f>AB20/VPI!R20</f>
        <v>1.0523669484325726</v>
      </c>
      <c r="AD20" s="548">
        <f t="shared" si="2"/>
        <v>308486</v>
      </c>
      <c r="AE20" s="547">
        <f>AD20/VPI!R20</f>
        <v>9.1605426353500548</v>
      </c>
      <c r="AF20" s="618">
        <v>343925</v>
      </c>
      <c r="AG20" s="618">
        <v>190974</v>
      </c>
      <c r="AH20" s="618">
        <v>205665</v>
      </c>
      <c r="AI20" s="627"/>
      <c r="AJ20" s="628">
        <v>0</v>
      </c>
      <c r="AK20" s="547">
        <f>AJ20/VPI!R20</f>
        <v>0</v>
      </c>
      <c r="AL20" s="548">
        <f t="shared" si="3"/>
        <v>47758</v>
      </c>
      <c r="AM20" s="547">
        <f>AL20/VPI!R20</f>
        <v>1.4181816846762834</v>
      </c>
      <c r="AN20" s="628">
        <v>47758</v>
      </c>
      <c r="AO20" s="627"/>
      <c r="AP20" s="629">
        <v>18.866944474219338</v>
      </c>
      <c r="AR20" s="630">
        <v>0</v>
      </c>
    </row>
    <row r="21" spans="1:1476" s="632" customFormat="1" x14ac:dyDescent="0.25">
      <c r="A21" s="608">
        <v>5422</v>
      </c>
      <c r="B21" s="609" t="s">
        <v>67</v>
      </c>
      <c r="C21" s="610">
        <v>10695811.07</v>
      </c>
      <c r="D21" s="610">
        <v>1808817.53</v>
      </c>
      <c r="E21" s="610"/>
      <c r="F21" s="611"/>
      <c r="G21" s="610">
        <v>4060143.34</v>
      </c>
      <c r="H21" s="610">
        <v>2271901.15</v>
      </c>
      <c r="I21" s="610">
        <v>193473.85</v>
      </c>
      <c r="J21" s="610">
        <v>318744.96999999997</v>
      </c>
      <c r="K21" s="610">
        <v>-164194.9</v>
      </c>
      <c r="L21" s="610">
        <v>1146763.26</v>
      </c>
      <c r="M21" s="434">
        <f t="shared" si="0"/>
        <v>20331460.270000003</v>
      </c>
      <c r="N21" s="612">
        <v>752200.65</v>
      </c>
      <c r="O21" s="612">
        <v>23610.400000000001</v>
      </c>
      <c r="P21" s="612">
        <v>1665237.9</v>
      </c>
      <c r="Q21" s="612">
        <v>11207.14</v>
      </c>
      <c r="R21" s="612">
        <v>894114.85</v>
      </c>
      <c r="S21" s="610">
        <v>661731.16</v>
      </c>
      <c r="T21" s="543">
        <f t="shared" si="1"/>
        <v>24339562.370000001</v>
      </c>
      <c r="U21" s="575">
        <v>-166116.07</v>
      </c>
      <c r="V21" s="612">
        <v>-1249.2</v>
      </c>
      <c r="W21" s="612">
        <v>-4446.88</v>
      </c>
      <c r="X21" s="624">
        <v>70</v>
      </c>
      <c r="Y21" s="631">
        <v>1</v>
      </c>
      <c r="Z21" s="628">
        <f>VLOOKUP(A21,'[2]2022 toutes communes'!$B$9:$D$317,3,FALSE)</f>
        <v>3792</v>
      </c>
      <c r="AA21" s="617"/>
      <c r="AB21" s="618">
        <v>239094</v>
      </c>
      <c r="AC21" s="547">
        <f>AB21/VPI!R21</f>
        <v>0.80338464281767252</v>
      </c>
      <c r="AD21" s="548">
        <f t="shared" si="2"/>
        <v>1243041</v>
      </c>
      <c r="AE21" s="547">
        <f>AD21/VPI!R21</f>
        <v>4.1767675048002983</v>
      </c>
      <c r="AF21" s="618">
        <v>1482135</v>
      </c>
      <c r="AG21" s="618">
        <v>193480</v>
      </c>
      <c r="AH21" s="618">
        <v>410556</v>
      </c>
      <c r="AI21" s="627"/>
      <c r="AJ21" s="628">
        <v>0</v>
      </c>
      <c r="AK21" s="547">
        <f>AJ21/VPI!R21</f>
        <v>0</v>
      </c>
      <c r="AL21" s="548">
        <f t="shared" si="3"/>
        <v>45133</v>
      </c>
      <c r="AM21" s="547">
        <f>AL21/VPI!R21</f>
        <v>0.15165231701460519</v>
      </c>
      <c r="AN21" s="628">
        <v>45133</v>
      </c>
      <c r="AO21" s="627"/>
      <c r="AP21" s="629">
        <v>39.020299212291064</v>
      </c>
      <c r="AQ21" s="575"/>
      <c r="AR21" s="630">
        <v>0</v>
      </c>
      <c r="AS21" s="575"/>
      <c r="AT21" s="575"/>
      <c r="AU21" s="575"/>
      <c r="AV21" s="575"/>
      <c r="AW21" s="575"/>
      <c r="AX21" s="575"/>
      <c r="AY21" s="575"/>
      <c r="AZ21" s="575"/>
      <c r="BA21" s="575"/>
      <c r="BB21" s="575"/>
      <c r="BC21" s="575"/>
      <c r="BD21" s="575"/>
      <c r="BE21" s="575"/>
      <c r="BF21" s="575"/>
      <c r="BG21" s="575"/>
      <c r="BH21" s="575"/>
      <c r="BI21" s="575"/>
      <c r="BJ21" s="575"/>
      <c r="BK21" s="575"/>
      <c r="BL21" s="575"/>
      <c r="BM21" s="575"/>
      <c r="BN21" s="575"/>
      <c r="BO21" s="575"/>
      <c r="BP21" s="575"/>
      <c r="BQ21" s="575"/>
      <c r="BR21" s="575"/>
      <c r="BS21" s="575"/>
      <c r="BT21" s="575"/>
      <c r="BU21" s="575"/>
      <c r="BV21" s="575"/>
      <c r="BW21" s="575"/>
      <c r="BX21" s="575"/>
      <c r="BY21" s="575"/>
      <c r="BZ21" s="575"/>
      <c r="CA21" s="575"/>
      <c r="CB21" s="575"/>
      <c r="CC21" s="575"/>
      <c r="CD21" s="575"/>
      <c r="CE21" s="575"/>
      <c r="CF21" s="575"/>
      <c r="CG21" s="575"/>
      <c r="CH21" s="575"/>
      <c r="CI21" s="575"/>
      <c r="CJ21" s="575"/>
      <c r="CK21" s="575"/>
      <c r="CL21" s="575"/>
      <c r="CM21" s="575"/>
      <c r="CN21" s="575"/>
      <c r="CO21" s="575"/>
      <c r="CP21" s="575"/>
      <c r="CQ21" s="575"/>
      <c r="CR21" s="575"/>
      <c r="CS21" s="575"/>
      <c r="CT21" s="575"/>
      <c r="CU21" s="575"/>
      <c r="CV21" s="575"/>
      <c r="CW21" s="575"/>
      <c r="CX21" s="575"/>
      <c r="CY21" s="575"/>
      <c r="CZ21" s="575"/>
      <c r="DA21" s="575"/>
      <c r="DB21" s="575"/>
      <c r="DC21" s="575"/>
      <c r="DD21" s="575"/>
      <c r="DE21" s="575"/>
      <c r="DF21" s="575"/>
      <c r="DG21" s="575"/>
      <c r="DH21" s="575"/>
      <c r="DI21" s="575"/>
      <c r="DJ21" s="575"/>
      <c r="DK21" s="575"/>
      <c r="DL21" s="575"/>
      <c r="DM21" s="575"/>
      <c r="DN21" s="575"/>
      <c r="DO21" s="575"/>
      <c r="DP21" s="575"/>
      <c r="DQ21" s="575"/>
      <c r="DR21" s="575"/>
      <c r="DS21" s="575"/>
      <c r="DT21" s="575"/>
      <c r="DU21" s="575"/>
      <c r="DV21" s="575"/>
      <c r="DW21" s="575"/>
      <c r="DX21" s="575"/>
      <c r="DY21" s="575"/>
      <c r="DZ21" s="575"/>
      <c r="EA21" s="575"/>
      <c r="EB21" s="575"/>
      <c r="EC21" s="575"/>
      <c r="ED21" s="575"/>
      <c r="EE21" s="575"/>
      <c r="EF21" s="575"/>
      <c r="EG21" s="575"/>
      <c r="EH21" s="575"/>
      <c r="EI21" s="575"/>
      <c r="EJ21" s="575"/>
      <c r="EK21" s="575"/>
      <c r="EL21" s="575"/>
      <c r="EM21" s="575"/>
      <c r="EN21" s="575"/>
      <c r="EO21" s="575"/>
      <c r="EP21" s="575"/>
      <c r="EQ21" s="575"/>
      <c r="ER21" s="575"/>
      <c r="ES21" s="575"/>
      <c r="ET21" s="575"/>
      <c r="EU21" s="575"/>
      <c r="EV21" s="575"/>
      <c r="EW21" s="575"/>
      <c r="EX21" s="575"/>
      <c r="EY21" s="575"/>
      <c r="EZ21" s="575"/>
      <c r="FA21" s="575"/>
      <c r="FB21" s="575"/>
      <c r="FC21" s="575"/>
      <c r="FD21" s="575"/>
      <c r="FE21" s="575"/>
      <c r="FF21" s="575"/>
      <c r="FG21" s="575"/>
      <c r="FH21" s="575"/>
      <c r="FI21" s="575"/>
      <c r="FJ21" s="575"/>
      <c r="FK21" s="575"/>
      <c r="FL21" s="575"/>
      <c r="FM21" s="575"/>
      <c r="FN21" s="575"/>
      <c r="FO21" s="575"/>
      <c r="FP21" s="575"/>
      <c r="FQ21" s="575"/>
      <c r="FR21" s="575"/>
      <c r="FS21" s="575"/>
      <c r="FT21" s="575"/>
      <c r="FU21" s="575"/>
      <c r="FV21" s="575"/>
      <c r="FW21" s="575"/>
      <c r="FX21" s="575"/>
      <c r="FY21" s="575"/>
      <c r="FZ21" s="575"/>
      <c r="GA21" s="575"/>
      <c r="GB21" s="575"/>
      <c r="GC21" s="575"/>
      <c r="GD21" s="575"/>
      <c r="GE21" s="575"/>
      <c r="GF21" s="575"/>
      <c r="GG21" s="575"/>
      <c r="GH21" s="575"/>
      <c r="GI21" s="575"/>
      <c r="GJ21" s="575"/>
      <c r="GK21" s="575"/>
      <c r="GL21" s="575"/>
      <c r="GM21" s="575"/>
      <c r="GN21" s="575"/>
      <c r="GO21" s="575"/>
      <c r="GP21" s="575"/>
      <c r="GQ21" s="575"/>
      <c r="GR21" s="575"/>
      <c r="GS21" s="575"/>
      <c r="GT21" s="575"/>
      <c r="GU21" s="575"/>
      <c r="GV21" s="575"/>
      <c r="GW21" s="575"/>
      <c r="GX21" s="575"/>
      <c r="GY21" s="575"/>
      <c r="GZ21" s="575"/>
      <c r="HA21" s="575"/>
      <c r="HB21" s="575"/>
      <c r="HC21" s="575"/>
      <c r="HD21" s="575"/>
      <c r="HE21" s="575"/>
      <c r="HF21" s="575"/>
      <c r="HG21" s="575"/>
      <c r="HH21" s="575"/>
      <c r="HI21" s="575"/>
      <c r="HJ21" s="575"/>
      <c r="HK21" s="575"/>
      <c r="HL21" s="575"/>
      <c r="HM21" s="575"/>
      <c r="HN21" s="575"/>
      <c r="HO21" s="575"/>
      <c r="HP21" s="575"/>
      <c r="HQ21" s="575"/>
      <c r="HR21" s="575"/>
      <c r="HS21" s="575"/>
      <c r="HT21" s="575"/>
      <c r="HU21" s="575"/>
      <c r="HV21" s="575"/>
      <c r="HW21" s="575"/>
      <c r="HX21" s="575"/>
      <c r="HY21" s="575"/>
      <c r="HZ21" s="575"/>
      <c r="IA21" s="575"/>
      <c r="IB21" s="575"/>
      <c r="IC21" s="575"/>
      <c r="ID21" s="575"/>
      <c r="IE21" s="575"/>
      <c r="IF21" s="575"/>
      <c r="IG21" s="575"/>
      <c r="IH21" s="575"/>
      <c r="II21" s="575"/>
      <c r="IJ21" s="575"/>
      <c r="IK21" s="575"/>
      <c r="IL21" s="575"/>
      <c r="IM21" s="575"/>
      <c r="IN21" s="575"/>
      <c r="IO21" s="575"/>
      <c r="IP21" s="575"/>
      <c r="IQ21" s="575"/>
      <c r="IR21" s="575"/>
      <c r="IS21" s="575"/>
      <c r="IT21" s="575"/>
      <c r="IU21" s="575"/>
      <c r="IV21" s="575"/>
      <c r="IW21" s="575"/>
      <c r="IX21" s="575"/>
      <c r="IY21" s="575"/>
      <c r="IZ21" s="575"/>
      <c r="JA21" s="575"/>
      <c r="JB21" s="575"/>
      <c r="JC21" s="575"/>
      <c r="JD21" s="575"/>
      <c r="JE21" s="575"/>
      <c r="JF21" s="575"/>
      <c r="JG21" s="575"/>
      <c r="JH21" s="575"/>
      <c r="JI21" s="575"/>
      <c r="JJ21" s="575"/>
      <c r="JK21" s="575"/>
      <c r="JL21" s="575"/>
      <c r="JM21" s="575"/>
      <c r="JN21" s="575"/>
      <c r="JO21" s="575"/>
      <c r="JP21" s="575"/>
      <c r="JQ21" s="575"/>
      <c r="JR21" s="575"/>
      <c r="JS21" s="575"/>
      <c r="JT21" s="575"/>
      <c r="JU21" s="575"/>
      <c r="JV21" s="575"/>
      <c r="JW21" s="575"/>
      <c r="JX21" s="575"/>
      <c r="JY21" s="575"/>
      <c r="JZ21" s="575"/>
      <c r="KA21" s="575"/>
      <c r="KB21" s="575"/>
      <c r="KC21" s="575"/>
      <c r="KD21" s="575"/>
      <c r="KE21" s="575"/>
      <c r="KF21" s="575"/>
      <c r="KG21" s="575"/>
      <c r="KH21" s="575"/>
      <c r="KI21" s="575"/>
      <c r="KJ21" s="575"/>
      <c r="KK21" s="575"/>
      <c r="KL21" s="575"/>
      <c r="KM21" s="575"/>
      <c r="KN21" s="575"/>
      <c r="KO21" s="575"/>
      <c r="KP21" s="575"/>
      <c r="KQ21" s="575"/>
      <c r="KR21" s="575"/>
      <c r="KS21" s="575"/>
      <c r="KT21" s="575"/>
      <c r="KU21" s="575"/>
      <c r="KV21" s="575"/>
      <c r="KW21" s="575"/>
      <c r="KX21" s="575"/>
      <c r="KY21" s="575"/>
      <c r="KZ21" s="575"/>
      <c r="LA21" s="575"/>
      <c r="LB21" s="575"/>
      <c r="LC21" s="575"/>
      <c r="LD21" s="575"/>
      <c r="LE21" s="575"/>
      <c r="LF21" s="575"/>
      <c r="LG21" s="575"/>
      <c r="LH21" s="575"/>
      <c r="LI21" s="575"/>
      <c r="LJ21" s="575"/>
      <c r="LK21" s="575"/>
      <c r="LL21" s="575"/>
      <c r="LM21" s="575"/>
      <c r="LN21" s="575"/>
      <c r="LO21" s="575"/>
      <c r="LP21" s="575"/>
      <c r="LQ21" s="575"/>
      <c r="LR21" s="575"/>
      <c r="LS21" s="575"/>
      <c r="LT21" s="575"/>
      <c r="LU21" s="575"/>
      <c r="LV21" s="575"/>
      <c r="LW21" s="575"/>
      <c r="LX21" s="575"/>
      <c r="LY21" s="575"/>
      <c r="LZ21" s="575"/>
      <c r="MA21" s="575"/>
      <c r="MB21" s="575"/>
      <c r="MC21" s="575"/>
      <c r="MD21" s="575"/>
      <c r="ME21" s="575"/>
      <c r="MF21" s="575"/>
      <c r="MG21" s="575"/>
      <c r="MH21" s="575"/>
      <c r="MI21" s="575"/>
      <c r="MJ21" s="575"/>
      <c r="MK21" s="575"/>
      <c r="ML21" s="575"/>
      <c r="MM21" s="575"/>
      <c r="MN21" s="575"/>
      <c r="MO21" s="575"/>
      <c r="MP21" s="575"/>
      <c r="MQ21" s="575"/>
      <c r="MR21" s="575"/>
      <c r="MS21" s="575"/>
      <c r="MT21" s="575"/>
      <c r="MU21" s="575"/>
      <c r="MV21" s="575"/>
      <c r="MW21" s="575"/>
      <c r="MX21" s="575"/>
      <c r="MY21" s="575"/>
      <c r="MZ21" s="575"/>
      <c r="NA21" s="575"/>
      <c r="NB21" s="575"/>
      <c r="NC21" s="575"/>
      <c r="ND21" s="575"/>
      <c r="NE21" s="575"/>
      <c r="NF21" s="575"/>
      <c r="NG21" s="575"/>
      <c r="NH21" s="575"/>
      <c r="NI21" s="575"/>
      <c r="NJ21" s="575"/>
      <c r="NK21" s="575"/>
      <c r="NL21" s="575"/>
      <c r="NM21" s="575"/>
      <c r="NN21" s="575"/>
      <c r="NO21" s="575"/>
      <c r="NP21" s="575"/>
      <c r="NQ21" s="575"/>
      <c r="NR21" s="575"/>
      <c r="NS21" s="575"/>
      <c r="NT21" s="575"/>
      <c r="NU21" s="575"/>
      <c r="NV21" s="575"/>
      <c r="NW21" s="575"/>
      <c r="NX21" s="575"/>
      <c r="NY21" s="575"/>
      <c r="NZ21" s="575"/>
      <c r="OA21" s="575"/>
      <c r="OB21" s="575"/>
      <c r="OC21" s="575"/>
      <c r="OD21" s="575"/>
      <c r="OE21" s="575"/>
      <c r="OF21" s="575"/>
      <c r="OG21" s="575"/>
      <c r="OH21" s="575"/>
      <c r="OI21" s="575"/>
      <c r="OJ21" s="575"/>
      <c r="OK21" s="575"/>
      <c r="OL21" s="575"/>
      <c r="OM21" s="575"/>
      <c r="ON21" s="575"/>
      <c r="OO21" s="575"/>
      <c r="OP21" s="575"/>
      <c r="OQ21" s="575"/>
      <c r="OR21" s="575"/>
      <c r="OS21" s="575"/>
      <c r="OT21" s="575"/>
      <c r="OU21" s="575"/>
      <c r="OV21" s="575"/>
      <c r="OW21" s="575"/>
      <c r="OX21" s="575"/>
      <c r="OY21" s="575"/>
      <c r="OZ21" s="575"/>
      <c r="PA21" s="575"/>
      <c r="PB21" s="575"/>
      <c r="PC21" s="575"/>
      <c r="PD21" s="575"/>
      <c r="PE21" s="575"/>
      <c r="PF21" s="575"/>
      <c r="PG21" s="575"/>
      <c r="PH21" s="575"/>
      <c r="PI21" s="575"/>
      <c r="PJ21" s="575"/>
      <c r="PK21" s="575"/>
      <c r="PL21" s="575"/>
      <c r="PM21" s="575"/>
      <c r="PN21" s="575"/>
      <c r="PO21" s="575"/>
      <c r="PP21" s="575"/>
      <c r="PQ21" s="575"/>
      <c r="PR21" s="575"/>
      <c r="PS21" s="575"/>
      <c r="PT21" s="575"/>
      <c r="PU21" s="575"/>
      <c r="PV21" s="575"/>
      <c r="PW21" s="575"/>
      <c r="PX21" s="575"/>
      <c r="PY21" s="575"/>
      <c r="PZ21" s="575"/>
      <c r="QA21" s="575"/>
      <c r="QB21" s="575"/>
      <c r="QC21" s="575"/>
      <c r="QD21" s="575"/>
      <c r="QE21" s="575"/>
      <c r="QF21" s="575"/>
      <c r="QG21" s="575"/>
      <c r="QH21" s="575"/>
      <c r="QI21" s="575"/>
      <c r="QJ21" s="575"/>
      <c r="QK21" s="575"/>
      <c r="QL21" s="575"/>
      <c r="QM21" s="575"/>
      <c r="QN21" s="575"/>
      <c r="QO21" s="575"/>
      <c r="QP21" s="575"/>
      <c r="QQ21" s="575"/>
      <c r="QR21" s="575"/>
      <c r="QS21" s="575"/>
      <c r="QT21" s="575"/>
      <c r="QU21" s="575"/>
      <c r="QV21" s="575"/>
      <c r="QW21" s="575"/>
      <c r="QX21" s="575"/>
      <c r="QY21" s="575"/>
      <c r="QZ21" s="575"/>
      <c r="RA21" s="575"/>
      <c r="RB21" s="575"/>
      <c r="RC21" s="575"/>
      <c r="RD21" s="575"/>
      <c r="RE21" s="575"/>
      <c r="RF21" s="575"/>
      <c r="RG21" s="575"/>
      <c r="RH21" s="575"/>
      <c r="RI21" s="575"/>
      <c r="RJ21" s="575"/>
      <c r="RK21" s="575"/>
      <c r="RL21" s="575"/>
      <c r="RM21" s="575"/>
      <c r="RN21" s="575"/>
      <c r="RO21" s="575"/>
      <c r="RP21" s="575"/>
      <c r="RQ21" s="575"/>
      <c r="RR21" s="575"/>
      <c r="RS21" s="575"/>
      <c r="RT21" s="575"/>
      <c r="RU21" s="575"/>
      <c r="RV21" s="575"/>
      <c r="RW21" s="575"/>
      <c r="RX21" s="575"/>
      <c r="RY21" s="575"/>
      <c r="RZ21" s="575"/>
      <c r="SA21" s="575"/>
      <c r="SB21" s="575"/>
      <c r="SC21" s="575"/>
      <c r="SD21" s="575"/>
      <c r="SE21" s="575"/>
      <c r="SF21" s="575"/>
      <c r="SG21" s="575"/>
      <c r="SH21" s="575"/>
      <c r="SI21" s="575"/>
      <c r="SJ21" s="575"/>
      <c r="SK21" s="575"/>
      <c r="SL21" s="575"/>
      <c r="SM21" s="575"/>
      <c r="SN21" s="575"/>
      <c r="SO21" s="575"/>
      <c r="SP21" s="575"/>
      <c r="SQ21" s="575"/>
      <c r="SR21" s="575"/>
      <c r="SS21" s="575"/>
      <c r="ST21" s="575"/>
      <c r="SU21" s="575"/>
      <c r="SV21" s="575"/>
      <c r="SW21" s="575"/>
      <c r="SX21" s="575"/>
      <c r="SY21" s="575"/>
      <c r="SZ21" s="575"/>
      <c r="TA21" s="575"/>
      <c r="TB21" s="575"/>
      <c r="TC21" s="575"/>
      <c r="TD21" s="575"/>
      <c r="TE21" s="575"/>
      <c r="TF21" s="575"/>
      <c r="TG21" s="575"/>
      <c r="TH21" s="575"/>
      <c r="TI21" s="575"/>
      <c r="TJ21" s="575"/>
      <c r="TK21" s="575"/>
      <c r="TL21" s="575"/>
      <c r="TM21" s="575"/>
      <c r="TN21" s="575"/>
      <c r="TO21" s="575"/>
      <c r="TP21" s="575"/>
      <c r="TQ21" s="575"/>
      <c r="TR21" s="575"/>
      <c r="TS21" s="575"/>
      <c r="TT21" s="575"/>
      <c r="TU21" s="575"/>
      <c r="TV21" s="575"/>
      <c r="TW21" s="575"/>
      <c r="TX21" s="575"/>
      <c r="TY21" s="575"/>
      <c r="TZ21" s="575"/>
      <c r="UA21" s="575"/>
      <c r="UB21" s="575"/>
      <c r="UC21" s="575"/>
      <c r="UD21" s="575"/>
      <c r="UE21" s="575"/>
      <c r="UF21" s="575"/>
      <c r="UG21" s="575"/>
      <c r="UH21" s="575"/>
      <c r="UI21" s="575"/>
      <c r="UJ21" s="575"/>
      <c r="UK21" s="575"/>
      <c r="UL21" s="575"/>
      <c r="UM21" s="575"/>
      <c r="UN21" s="575"/>
      <c r="UO21" s="575"/>
      <c r="UP21" s="575"/>
      <c r="UQ21" s="575"/>
      <c r="UR21" s="575"/>
      <c r="US21" s="575"/>
      <c r="UT21" s="575"/>
      <c r="UU21" s="575"/>
      <c r="UV21" s="575"/>
      <c r="UW21" s="575"/>
      <c r="UX21" s="575"/>
      <c r="UY21" s="575"/>
      <c r="UZ21" s="575"/>
      <c r="VA21" s="575"/>
      <c r="VB21" s="575"/>
      <c r="VC21" s="575"/>
      <c r="VD21" s="575"/>
      <c r="VE21" s="575"/>
      <c r="VF21" s="575"/>
      <c r="VG21" s="575"/>
      <c r="VH21" s="575"/>
      <c r="VI21" s="575"/>
      <c r="VJ21" s="575"/>
      <c r="VK21" s="575"/>
      <c r="VL21" s="575"/>
      <c r="VM21" s="575"/>
      <c r="VN21" s="575"/>
      <c r="VO21" s="575"/>
      <c r="VP21" s="575"/>
      <c r="VQ21" s="575"/>
      <c r="VR21" s="575"/>
      <c r="VS21" s="575"/>
      <c r="VT21" s="575"/>
      <c r="VU21" s="575"/>
      <c r="VV21" s="575"/>
      <c r="VW21" s="575"/>
      <c r="VX21" s="575"/>
      <c r="VY21" s="575"/>
      <c r="VZ21" s="575"/>
      <c r="WA21" s="575"/>
      <c r="WB21" s="575"/>
      <c r="WC21" s="575"/>
      <c r="WD21" s="575"/>
      <c r="WE21" s="575"/>
      <c r="WF21" s="575"/>
      <c r="WG21" s="575"/>
      <c r="WH21" s="575"/>
      <c r="WI21" s="575"/>
      <c r="WJ21" s="575"/>
      <c r="WK21" s="575"/>
      <c r="WL21" s="575"/>
      <c r="WM21" s="575"/>
      <c r="WN21" s="575"/>
      <c r="WO21" s="575"/>
      <c r="WP21" s="575"/>
      <c r="WQ21" s="575"/>
      <c r="WR21" s="575"/>
      <c r="WS21" s="575"/>
      <c r="WT21" s="575"/>
      <c r="WU21" s="575"/>
      <c r="WV21" s="575"/>
      <c r="WW21" s="575"/>
      <c r="WX21" s="575"/>
      <c r="WY21" s="575"/>
      <c r="WZ21" s="575"/>
      <c r="XA21" s="575"/>
      <c r="XB21" s="575"/>
      <c r="XC21" s="575"/>
      <c r="XD21" s="575"/>
      <c r="XE21" s="575"/>
      <c r="XF21" s="575"/>
      <c r="XG21" s="575"/>
      <c r="XH21" s="575"/>
      <c r="XI21" s="575"/>
      <c r="XJ21" s="575"/>
      <c r="XK21" s="575"/>
      <c r="XL21" s="575"/>
      <c r="XM21" s="575"/>
      <c r="XN21" s="575"/>
      <c r="XO21" s="575"/>
      <c r="XP21" s="575"/>
      <c r="XQ21" s="575"/>
      <c r="XR21" s="575"/>
      <c r="XS21" s="575"/>
      <c r="XT21" s="575"/>
      <c r="XU21" s="575"/>
      <c r="XV21" s="575"/>
      <c r="XW21" s="575"/>
      <c r="XX21" s="575"/>
      <c r="XY21" s="575"/>
      <c r="XZ21" s="575"/>
      <c r="YA21" s="575"/>
      <c r="YB21" s="575"/>
      <c r="YC21" s="575"/>
      <c r="YD21" s="575"/>
      <c r="YE21" s="575"/>
      <c r="YF21" s="575"/>
      <c r="YG21" s="575"/>
      <c r="YH21" s="575"/>
      <c r="YI21" s="575"/>
      <c r="YJ21" s="575"/>
      <c r="YK21" s="575"/>
      <c r="YL21" s="575"/>
      <c r="YM21" s="575"/>
      <c r="YN21" s="575"/>
      <c r="YO21" s="575"/>
      <c r="YP21" s="575"/>
      <c r="YQ21" s="575"/>
      <c r="YR21" s="575"/>
      <c r="YS21" s="575"/>
      <c r="YT21" s="575"/>
      <c r="YU21" s="575"/>
      <c r="YV21" s="575"/>
      <c r="YW21" s="575"/>
      <c r="YX21" s="575"/>
      <c r="YY21" s="575"/>
      <c r="YZ21" s="575"/>
      <c r="ZA21" s="575"/>
      <c r="ZB21" s="575"/>
      <c r="ZC21" s="575"/>
      <c r="ZD21" s="575"/>
      <c r="ZE21" s="575"/>
      <c r="ZF21" s="575"/>
      <c r="ZG21" s="575"/>
      <c r="ZH21" s="575"/>
      <c r="ZI21" s="575"/>
      <c r="ZJ21" s="575"/>
      <c r="ZK21" s="575"/>
      <c r="ZL21" s="575"/>
      <c r="ZM21" s="575"/>
      <c r="ZN21" s="575"/>
      <c r="ZO21" s="575"/>
      <c r="ZP21" s="575"/>
      <c r="ZQ21" s="575"/>
      <c r="ZR21" s="575"/>
      <c r="ZS21" s="575"/>
      <c r="ZT21" s="575"/>
      <c r="ZU21" s="575"/>
      <c r="ZV21" s="575"/>
      <c r="ZW21" s="575"/>
      <c r="ZX21" s="575"/>
      <c r="ZY21" s="575"/>
      <c r="ZZ21" s="575"/>
      <c r="AAA21" s="575"/>
      <c r="AAB21" s="575"/>
      <c r="AAC21" s="575"/>
      <c r="AAD21" s="575"/>
      <c r="AAE21" s="575"/>
      <c r="AAF21" s="575"/>
      <c r="AAG21" s="575"/>
      <c r="AAH21" s="575"/>
      <c r="AAI21" s="575"/>
      <c r="AAJ21" s="575"/>
      <c r="AAK21" s="575"/>
      <c r="AAL21" s="575"/>
      <c r="AAM21" s="575"/>
      <c r="AAN21" s="575"/>
      <c r="AAO21" s="575"/>
      <c r="AAP21" s="575"/>
      <c r="AAQ21" s="575"/>
      <c r="AAR21" s="575"/>
      <c r="AAS21" s="575"/>
      <c r="AAT21" s="575"/>
      <c r="AAU21" s="575"/>
      <c r="AAV21" s="575"/>
      <c r="AAW21" s="575"/>
      <c r="AAX21" s="575"/>
      <c r="AAY21" s="575"/>
      <c r="AAZ21" s="575"/>
      <c r="ABA21" s="575"/>
      <c r="ABB21" s="575"/>
      <c r="ABC21" s="575"/>
      <c r="ABD21" s="575"/>
      <c r="ABE21" s="575"/>
      <c r="ABF21" s="575"/>
      <c r="ABG21" s="575"/>
      <c r="ABH21" s="575"/>
      <c r="ABI21" s="575"/>
      <c r="ABJ21" s="575"/>
      <c r="ABK21" s="575"/>
      <c r="ABL21" s="575"/>
      <c r="ABM21" s="575"/>
      <c r="ABN21" s="575"/>
      <c r="ABO21" s="575"/>
      <c r="ABP21" s="575"/>
      <c r="ABQ21" s="575"/>
      <c r="ABR21" s="575"/>
      <c r="ABS21" s="575"/>
      <c r="ABT21" s="575"/>
      <c r="ABU21" s="575"/>
      <c r="ABV21" s="575"/>
      <c r="ABW21" s="575"/>
      <c r="ABX21" s="575"/>
      <c r="ABY21" s="575"/>
      <c r="ABZ21" s="575"/>
      <c r="ACA21" s="575"/>
      <c r="ACB21" s="575"/>
      <c r="ACC21" s="575"/>
      <c r="ACD21" s="575"/>
      <c r="ACE21" s="575"/>
      <c r="ACF21" s="575"/>
      <c r="ACG21" s="575"/>
      <c r="ACH21" s="575"/>
      <c r="ACI21" s="575"/>
      <c r="ACJ21" s="575"/>
      <c r="ACK21" s="575"/>
      <c r="ACL21" s="575"/>
      <c r="ACM21" s="575"/>
      <c r="ACN21" s="575"/>
      <c r="ACO21" s="575"/>
      <c r="ACP21" s="575"/>
      <c r="ACQ21" s="575"/>
      <c r="ACR21" s="575"/>
      <c r="ACS21" s="575"/>
      <c r="ACT21" s="575"/>
      <c r="ACU21" s="575"/>
      <c r="ACV21" s="575"/>
      <c r="ACW21" s="575"/>
      <c r="ACX21" s="575"/>
      <c r="ACY21" s="575"/>
      <c r="ACZ21" s="575"/>
      <c r="ADA21" s="575"/>
      <c r="ADB21" s="575"/>
      <c r="ADC21" s="575"/>
      <c r="ADD21" s="575"/>
      <c r="ADE21" s="575"/>
      <c r="ADF21" s="575"/>
      <c r="ADG21" s="575"/>
      <c r="ADH21" s="575"/>
      <c r="ADI21" s="575"/>
      <c r="ADJ21" s="575"/>
      <c r="ADK21" s="575"/>
      <c r="ADL21" s="575"/>
      <c r="ADM21" s="575"/>
      <c r="ADN21" s="575"/>
      <c r="ADO21" s="575"/>
      <c r="ADP21" s="575"/>
      <c r="ADQ21" s="575"/>
      <c r="ADR21" s="575"/>
      <c r="ADS21" s="575"/>
      <c r="ADT21" s="575"/>
      <c r="ADU21" s="575"/>
      <c r="ADV21" s="575"/>
      <c r="ADW21" s="575"/>
      <c r="ADX21" s="575"/>
      <c r="ADY21" s="575"/>
      <c r="ADZ21" s="575"/>
      <c r="AEA21" s="575"/>
      <c r="AEB21" s="575"/>
      <c r="AEC21" s="575"/>
      <c r="AED21" s="575"/>
      <c r="AEE21" s="575"/>
      <c r="AEF21" s="575"/>
      <c r="AEG21" s="575"/>
      <c r="AEH21" s="575"/>
      <c r="AEI21" s="575"/>
      <c r="AEJ21" s="575"/>
      <c r="AEK21" s="575"/>
      <c r="AEL21" s="575"/>
      <c r="AEM21" s="575"/>
      <c r="AEN21" s="575"/>
      <c r="AEO21" s="575"/>
      <c r="AEP21" s="575"/>
      <c r="AEQ21" s="575"/>
      <c r="AER21" s="575"/>
      <c r="AES21" s="575"/>
      <c r="AET21" s="575"/>
      <c r="AEU21" s="575"/>
      <c r="AEV21" s="575"/>
      <c r="AEW21" s="575"/>
      <c r="AEX21" s="575"/>
      <c r="AEY21" s="575"/>
      <c r="AEZ21" s="575"/>
      <c r="AFA21" s="575"/>
      <c r="AFB21" s="575"/>
      <c r="AFC21" s="575"/>
      <c r="AFD21" s="575"/>
      <c r="AFE21" s="575"/>
      <c r="AFF21" s="575"/>
      <c r="AFG21" s="575"/>
      <c r="AFH21" s="575"/>
      <c r="AFI21" s="575"/>
      <c r="AFJ21" s="575"/>
      <c r="AFK21" s="575"/>
      <c r="AFL21" s="575"/>
      <c r="AFM21" s="575"/>
      <c r="AFN21" s="575"/>
      <c r="AFO21" s="575"/>
      <c r="AFP21" s="575"/>
      <c r="AFQ21" s="575"/>
      <c r="AFR21" s="575"/>
      <c r="AFS21" s="575"/>
      <c r="AFT21" s="575"/>
      <c r="AFU21" s="575"/>
      <c r="AFV21" s="575"/>
      <c r="AFW21" s="575"/>
      <c r="AFX21" s="575"/>
      <c r="AFY21" s="575"/>
      <c r="AFZ21" s="575"/>
      <c r="AGA21" s="575"/>
      <c r="AGB21" s="575"/>
      <c r="AGC21" s="575"/>
      <c r="AGD21" s="575"/>
      <c r="AGE21" s="575"/>
      <c r="AGF21" s="575"/>
      <c r="AGG21" s="575"/>
      <c r="AGH21" s="575"/>
      <c r="AGI21" s="575"/>
      <c r="AGJ21" s="575"/>
      <c r="AGK21" s="575"/>
      <c r="AGL21" s="575"/>
      <c r="AGM21" s="575"/>
      <c r="AGN21" s="575"/>
      <c r="AGO21" s="575"/>
      <c r="AGP21" s="575"/>
      <c r="AGQ21" s="575"/>
      <c r="AGR21" s="575"/>
      <c r="AGS21" s="575"/>
      <c r="AGT21" s="575"/>
      <c r="AGU21" s="575"/>
      <c r="AGV21" s="575"/>
      <c r="AGW21" s="575"/>
      <c r="AGX21" s="575"/>
      <c r="AGY21" s="575"/>
      <c r="AGZ21" s="575"/>
      <c r="AHA21" s="575"/>
      <c r="AHB21" s="575"/>
      <c r="AHC21" s="575"/>
      <c r="AHD21" s="575"/>
      <c r="AHE21" s="575"/>
      <c r="AHF21" s="575"/>
      <c r="AHG21" s="575"/>
      <c r="AHH21" s="575"/>
      <c r="AHI21" s="575"/>
      <c r="AHJ21" s="575"/>
      <c r="AHK21" s="575"/>
      <c r="AHL21" s="575"/>
      <c r="AHM21" s="575"/>
      <c r="AHN21" s="575"/>
      <c r="AHO21" s="575"/>
      <c r="AHP21" s="575"/>
      <c r="AHQ21" s="575"/>
      <c r="AHR21" s="575"/>
      <c r="AHS21" s="575"/>
      <c r="AHT21" s="575"/>
      <c r="AHU21" s="575"/>
      <c r="AHV21" s="575"/>
      <c r="AHW21" s="575"/>
      <c r="AHX21" s="575"/>
      <c r="AHY21" s="575"/>
      <c r="AHZ21" s="575"/>
      <c r="AIA21" s="575"/>
      <c r="AIB21" s="575"/>
      <c r="AIC21" s="575"/>
      <c r="AID21" s="575"/>
      <c r="AIE21" s="575"/>
      <c r="AIF21" s="575"/>
      <c r="AIG21" s="575"/>
      <c r="AIH21" s="575"/>
      <c r="AII21" s="575"/>
      <c r="AIJ21" s="575"/>
      <c r="AIK21" s="575"/>
      <c r="AIL21" s="575"/>
      <c r="AIM21" s="575"/>
      <c r="AIN21" s="575"/>
      <c r="AIO21" s="575"/>
      <c r="AIP21" s="575"/>
      <c r="AIQ21" s="575"/>
      <c r="AIR21" s="575"/>
      <c r="AIS21" s="575"/>
      <c r="AIT21" s="575"/>
      <c r="AIU21" s="575"/>
      <c r="AIV21" s="575"/>
      <c r="AIW21" s="575"/>
      <c r="AIX21" s="575"/>
      <c r="AIY21" s="575"/>
      <c r="AIZ21" s="575"/>
      <c r="AJA21" s="575"/>
      <c r="AJB21" s="575"/>
      <c r="AJC21" s="575"/>
      <c r="AJD21" s="575"/>
      <c r="AJE21" s="575"/>
      <c r="AJF21" s="575"/>
      <c r="AJG21" s="575"/>
      <c r="AJH21" s="575"/>
      <c r="AJI21" s="575"/>
      <c r="AJJ21" s="575"/>
      <c r="AJK21" s="575"/>
      <c r="AJL21" s="575"/>
      <c r="AJM21" s="575"/>
      <c r="AJN21" s="575"/>
      <c r="AJO21" s="575"/>
      <c r="AJP21" s="575"/>
      <c r="AJQ21" s="575"/>
      <c r="AJR21" s="575"/>
      <c r="AJS21" s="575"/>
      <c r="AJT21" s="575"/>
      <c r="AJU21" s="575"/>
      <c r="AJV21" s="575"/>
      <c r="AJW21" s="575"/>
      <c r="AJX21" s="575"/>
      <c r="AJY21" s="575"/>
      <c r="AJZ21" s="575"/>
      <c r="AKA21" s="575"/>
      <c r="AKB21" s="575"/>
      <c r="AKC21" s="575"/>
      <c r="AKD21" s="575"/>
      <c r="AKE21" s="575"/>
      <c r="AKF21" s="575"/>
      <c r="AKG21" s="575"/>
      <c r="AKH21" s="575"/>
      <c r="AKI21" s="575"/>
      <c r="AKJ21" s="575"/>
      <c r="AKK21" s="575"/>
      <c r="AKL21" s="575"/>
      <c r="AKM21" s="575"/>
      <c r="AKN21" s="575"/>
      <c r="AKO21" s="575"/>
      <c r="AKP21" s="575"/>
      <c r="AKQ21" s="575"/>
      <c r="AKR21" s="575"/>
      <c r="AKS21" s="575"/>
      <c r="AKT21" s="575"/>
      <c r="AKU21" s="575"/>
      <c r="AKV21" s="575"/>
      <c r="AKW21" s="575"/>
      <c r="AKX21" s="575"/>
      <c r="AKY21" s="575"/>
      <c r="AKZ21" s="575"/>
      <c r="ALA21" s="575"/>
      <c r="ALB21" s="575"/>
      <c r="ALC21" s="575"/>
      <c r="ALD21" s="575"/>
      <c r="ALE21" s="575"/>
      <c r="ALF21" s="575"/>
      <c r="ALG21" s="575"/>
      <c r="ALH21" s="575"/>
      <c r="ALI21" s="575"/>
      <c r="ALJ21" s="575"/>
      <c r="ALK21" s="575"/>
      <c r="ALL21" s="575"/>
      <c r="ALM21" s="575"/>
      <c r="ALN21" s="575"/>
      <c r="ALO21" s="575"/>
      <c r="ALP21" s="575"/>
      <c r="ALQ21" s="575"/>
      <c r="ALR21" s="575"/>
      <c r="ALS21" s="575"/>
      <c r="ALT21" s="575"/>
      <c r="ALU21" s="575"/>
      <c r="ALV21" s="575"/>
      <c r="ALW21" s="575"/>
      <c r="ALX21" s="575"/>
      <c r="ALY21" s="575"/>
      <c r="ALZ21" s="575"/>
      <c r="AMA21" s="575"/>
      <c r="AMB21" s="575"/>
      <c r="AMC21" s="575"/>
      <c r="AMD21" s="575"/>
      <c r="AME21" s="575"/>
      <c r="AMF21" s="575"/>
      <c r="AMG21" s="575"/>
      <c r="AMH21" s="575"/>
      <c r="AMI21" s="575"/>
      <c r="AMJ21" s="575"/>
      <c r="AMK21" s="575"/>
      <c r="AML21" s="575"/>
      <c r="AMM21" s="575"/>
      <c r="AMN21" s="575"/>
      <c r="AMO21" s="575"/>
      <c r="AMP21" s="575"/>
      <c r="AMQ21" s="575"/>
      <c r="AMR21" s="575"/>
      <c r="AMS21" s="575"/>
      <c r="AMT21" s="575"/>
      <c r="AMU21" s="575"/>
      <c r="AMV21" s="575"/>
      <c r="AMW21" s="575"/>
      <c r="AMX21" s="575"/>
      <c r="AMY21" s="575"/>
      <c r="AMZ21" s="575"/>
      <c r="ANA21" s="575"/>
      <c r="ANB21" s="575"/>
      <c r="ANC21" s="575"/>
      <c r="AND21" s="575"/>
      <c r="ANE21" s="575"/>
      <c r="ANF21" s="575"/>
      <c r="ANG21" s="575"/>
      <c r="ANH21" s="575"/>
      <c r="ANI21" s="575"/>
      <c r="ANJ21" s="575"/>
      <c r="ANK21" s="575"/>
      <c r="ANL21" s="575"/>
      <c r="ANM21" s="575"/>
      <c r="ANN21" s="575"/>
      <c r="ANO21" s="575"/>
      <c r="ANP21" s="575"/>
      <c r="ANQ21" s="575"/>
      <c r="ANR21" s="575"/>
      <c r="ANS21" s="575"/>
      <c r="ANT21" s="575"/>
      <c r="ANU21" s="575"/>
      <c r="ANV21" s="575"/>
      <c r="ANW21" s="575"/>
      <c r="ANX21" s="575"/>
      <c r="ANY21" s="575"/>
      <c r="ANZ21" s="575"/>
      <c r="AOA21" s="575"/>
      <c r="AOB21" s="575"/>
      <c r="AOC21" s="575"/>
      <c r="AOD21" s="575"/>
      <c r="AOE21" s="575"/>
      <c r="AOF21" s="575"/>
      <c r="AOG21" s="575"/>
      <c r="AOH21" s="575"/>
      <c r="AOI21" s="575"/>
      <c r="AOJ21" s="575"/>
      <c r="AOK21" s="575"/>
      <c r="AOL21" s="575"/>
      <c r="AOM21" s="575"/>
      <c r="AON21" s="575"/>
      <c r="AOO21" s="575"/>
      <c r="AOP21" s="575"/>
      <c r="AOQ21" s="575"/>
      <c r="AOR21" s="575"/>
      <c r="AOS21" s="575"/>
      <c r="AOT21" s="575"/>
      <c r="AOU21" s="575"/>
      <c r="AOV21" s="575"/>
      <c r="AOW21" s="575"/>
      <c r="AOX21" s="575"/>
      <c r="AOY21" s="575"/>
      <c r="AOZ21" s="575"/>
      <c r="APA21" s="575"/>
      <c r="APB21" s="575"/>
      <c r="APC21" s="575"/>
      <c r="APD21" s="575"/>
      <c r="APE21" s="575"/>
      <c r="APF21" s="575"/>
      <c r="APG21" s="575"/>
      <c r="APH21" s="575"/>
      <c r="API21" s="575"/>
      <c r="APJ21" s="575"/>
      <c r="APK21" s="575"/>
      <c r="APL21" s="575"/>
      <c r="APM21" s="575"/>
      <c r="APN21" s="575"/>
      <c r="APO21" s="575"/>
      <c r="APP21" s="575"/>
      <c r="APQ21" s="575"/>
      <c r="APR21" s="575"/>
      <c r="APS21" s="575"/>
      <c r="APT21" s="575"/>
      <c r="APU21" s="575"/>
      <c r="APV21" s="575"/>
      <c r="APW21" s="575"/>
      <c r="APX21" s="575"/>
      <c r="APY21" s="575"/>
      <c r="APZ21" s="575"/>
      <c r="AQA21" s="575"/>
      <c r="AQB21" s="575"/>
      <c r="AQC21" s="575"/>
      <c r="AQD21" s="575"/>
      <c r="AQE21" s="575"/>
      <c r="AQF21" s="575"/>
      <c r="AQG21" s="575"/>
      <c r="AQH21" s="575"/>
      <c r="AQI21" s="575"/>
      <c r="AQJ21" s="575"/>
      <c r="AQK21" s="575"/>
      <c r="AQL21" s="575"/>
      <c r="AQM21" s="575"/>
      <c r="AQN21" s="575"/>
      <c r="AQO21" s="575"/>
      <c r="AQP21" s="575"/>
      <c r="AQQ21" s="575"/>
      <c r="AQR21" s="575"/>
      <c r="AQS21" s="575"/>
      <c r="AQT21" s="575"/>
      <c r="AQU21" s="575"/>
      <c r="AQV21" s="575"/>
      <c r="AQW21" s="575"/>
      <c r="AQX21" s="575"/>
      <c r="AQY21" s="575"/>
      <c r="AQZ21" s="575"/>
      <c r="ARA21" s="575"/>
      <c r="ARB21" s="575"/>
      <c r="ARC21" s="575"/>
      <c r="ARD21" s="575"/>
      <c r="ARE21" s="575"/>
      <c r="ARF21" s="575"/>
      <c r="ARG21" s="575"/>
      <c r="ARH21" s="575"/>
      <c r="ARI21" s="575"/>
      <c r="ARJ21" s="575"/>
      <c r="ARK21" s="575"/>
      <c r="ARL21" s="575"/>
      <c r="ARM21" s="575"/>
      <c r="ARN21" s="575"/>
      <c r="ARO21" s="575"/>
      <c r="ARP21" s="575"/>
      <c r="ARQ21" s="575"/>
      <c r="ARR21" s="575"/>
      <c r="ARS21" s="575"/>
      <c r="ART21" s="575"/>
      <c r="ARU21" s="575"/>
      <c r="ARV21" s="575"/>
      <c r="ARW21" s="575"/>
      <c r="ARX21" s="575"/>
      <c r="ARY21" s="575"/>
      <c r="ARZ21" s="575"/>
      <c r="ASA21" s="575"/>
      <c r="ASB21" s="575"/>
      <c r="ASC21" s="575"/>
      <c r="ASD21" s="575"/>
      <c r="ASE21" s="575"/>
      <c r="ASF21" s="575"/>
      <c r="ASG21" s="575"/>
      <c r="ASH21" s="575"/>
      <c r="ASI21" s="575"/>
      <c r="ASJ21" s="575"/>
      <c r="ASK21" s="575"/>
      <c r="ASL21" s="575"/>
      <c r="ASM21" s="575"/>
      <c r="ASN21" s="575"/>
      <c r="ASO21" s="575"/>
      <c r="ASP21" s="575"/>
      <c r="ASQ21" s="575"/>
      <c r="ASR21" s="575"/>
      <c r="ASS21" s="575"/>
      <c r="AST21" s="575"/>
      <c r="ASU21" s="575"/>
      <c r="ASV21" s="575"/>
      <c r="ASW21" s="575"/>
      <c r="ASX21" s="575"/>
      <c r="ASY21" s="575"/>
      <c r="ASZ21" s="575"/>
      <c r="ATA21" s="575"/>
      <c r="ATB21" s="575"/>
      <c r="ATC21" s="575"/>
      <c r="ATD21" s="575"/>
      <c r="ATE21" s="575"/>
      <c r="ATF21" s="575"/>
      <c r="ATG21" s="575"/>
      <c r="ATH21" s="575"/>
      <c r="ATI21" s="575"/>
      <c r="ATJ21" s="575"/>
      <c r="ATK21" s="575"/>
      <c r="ATL21" s="575"/>
      <c r="ATM21" s="575"/>
      <c r="ATN21" s="575"/>
      <c r="ATO21" s="575"/>
      <c r="ATP21" s="575"/>
      <c r="ATQ21" s="575"/>
      <c r="ATR21" s="575"/>
      <c r="ATS21" s="575"/>
      <c r="ATT21" s="575"/>
      <c r="ATU21" s="575"/>
      <c r="ATV21" s="575"/>
      <c r="ATW21" s="575"/>
      <c r="ATX21" s="575"/>
      <c r="ATY21" s="575"/>
      <c r="ATZ21" s="575"/>
      <c r="AUA21" s="575"/>
      <c r="AUB21" s="575"/>
      <c r="AUC21" s="575"/>
      <c r="AUD21" s="575"/>
      <c r="AUE21" s="575"/>
      <c r="AUF21" s="575"/>
      <c r="AUG21" s="575"/>
      <c r="AUH21" s="575"/>
      <c r="AUI21" s="575"/>
      <c r="AUJ21" s="575"/>
      <c r="AUK21" s="575"/>
      <c r="AUL21" s="575"/>
      <c r="AUM21" s="575"/>
      <c r="AUN21" s="575"/>
      <c r="AUO21" s="575"/>
      <c r="AUP21" s="575"/>
      <c r="AUQ21" s="575"/>
      <c r="AUR21" s="575"/>
      <c r="AUS21" s="575"/>
      <c r="AUT21" s="575"/>
      <c r="AUU21" s="575"/>
      <c r="AUV21" s="575"/>
      <c r="AUW21" s="575"/>
      <c r="AUX21" s="575"/>
      <c r="AUY21" s="575"/>
      <c r="AUZ21" s="575"/>
      <c r="AVA21" s="575"/>
      <c r="AVB21" s="575"/>
      <c r="AVC21" s="575"/>
      <c r="AVD21" s="575"/>
      <c r="AVE21" s="575"/>
      <c r="AVF21" s="575"/>
      <c r="AVG21" s="575"/>
      <c r="AVH21" s="575"/>
      <c r="AVI21" s="575"/>
      <c r="AVJ21" s="575"/>
      <c r="AVK21" s="575"/>
      <c r="AVL21" s="575"/>
      <c r="AVM21" s="575"/>
      <c r="AVN21" s="575"/>
      <c r="AVO21" s="575"/>
      <c r="AVP21" s="575"/>
      <c r="AVQ21" s="575"/>
      <c r="AVR21" s="575"/>
      <c r="AVS21" s="575"/>
      <c r="AVT21" s="575"/>
      <c r="AVU21" s="575"/>
      <c r="AVV21" s="575"/>
      <c r="AVW21" s="575"/>
      <c r="AVX21" s="575"/>
      <c r="AVY21" s="575"/>
      <c r="AVZ21" s="575"/>
      <c r="AWA21" s="575"/>
      <c r="AWB21" s="575"/>
      <c r="AWC21" s="575"/>
      <c r="AWD21" s="575"/>
      <c r="AWE21" s="575"/>
      <c r="AWF21" s="575"/>
      <c r="AWG21" s="575"/>
      <c r="AWH21" s="575"/>
      <c r="AWI21" s="575"/>
      <c r="AWJ21" s="575"/>
      <c r="AWK21" s="575"/>
      <c r="AWL21" s="575"/>
      <c r="AWM21" s="575"/>
      <c r="AWN21" s="575"/>
      <c r="AWO21" s="575"/>
      <c r="AWP21" s="575"/>
      <c r="AWQ21" s="575"/>
      <c r="AWR21" s="575"/>
      <c r="AWS21" s="575"/>
      <c r="AWT21" s="575"/>
      <c r="AWU21" s="575"/>
      <c r="AWV21" s="575"/>
      <c r="AWW21" s="575"/>
      <c r="AWX21" s="575"/>
      <c r="AWY21" s="575"/>
      <c r="AWZ21" s="575"/>
      <c r="AXA21" s="575"/>
      <c r="AXB21" s="575"/>
      <c r="AXC21" s="575"/>
      <c r="AXD21" s="575"/>
      <c r="AXE21" s="575"/>
      <c r="AXF21" s="575"/>
      <c r="AXG21" s="575"/>
      <c r="AXH21" s="575"/>
      <c r="AXI21" s="575"/>
      <c r="AXJ21" s="575"/>
      <c r="AXK21" s="575"/>
      <c r="AXL21" s="575"/>
      <c r="AXM21" s="575"/>
      <c r="AXN21" s="575"/>
      <c r="AXO21" s="575"/>
      <c r="AXP21" s="575"/>
      <c r="AXQ21" s="575"/>
      <c r="AXR21" s="575"/>
      <c r="AXS21" s="575"/>
      <c r="AXT21" s="575"/>
      <c r="AXU21" s="575"/>
      <c r="AXV21" s="575"/>
      <c r="AXW21" s="575"/>
      <c r="AXX21" s="575"/>
      <c r="AXY21" s="575"/>
      <c r="AXZ21" s="575"/>
      <c r="AYA21" s="575"/>
      <c r="AYB21" s="575"/>
      <c r="AYC21" s="575"/>
      <c r="AYD21" s="575"/>
      <c r="AYE21" s="575"/>
      <c r="AYF21" s="575"/>
      <c r="AYG21" s="575"/>
      <c r="AYH21" s="575"/>
      <c r="AYI21" s="575"/>
      <c r="AYJ21" s="575"/>
      <c r="AYK21" s="575"/>
      <c r="AYL21" s="575"/>
      <c r="AYM21" s="575"/>
      <c r="AYN21" s="575"/>
      <c r="AYO21" s="575"/>
      <c r="AYP21" s="575"/>
      <c r="AYQ21" s="575"/>
      <c r="AYR21" s="575"/>
      <c r="AYS21" s="575"/>
      <c r="AYT21" s="575"/>
      <c r="AYU21" s="575"/>
      <c r="AYV21" s="575"/>
      <c r="AYW21" s="575"/>
      <c r="AYX21" s="575"/>
      <c r="AYY21" s="575"/>
      <c r="AYZ21" s="575"/>
      <c r="AZA21" s="575"/>
      <c r="AZB21" s="575"/>
      <c r="AZC21" s="575"/>
      <c r="AZD21" s="575"/>
      <c r="AZE21" s="575"/>
      <c r="AZF21" s="575"/>
      <c r="AZG21" s="575"/>
      <c r="AZH21" s="575"/>
      <c r="AZI21" s="575"/>
      <c r="AZJ21" s="575"/>
      <c r="AZK21" s="575"/>
      <c r="AZL21" s="575"/>
      <c r="AZM21" s="575"/>
      <c r="AZN21" s="575"/>
      <c r="AZO21" s="575"/>
      <c r="AZP21" s="575"/>
      <c r="AZQ21" s="575"/>
      <c r="AZR21" s="575"/>
      <c r="AZS21" s="575"/>
      <c r="AZT21" s="575"/>
      <c r="AZU21" s="575"/>
      <c r="AZV21" s="575"/>
      <c r="AZW21" s="575"/>
      <c r="AZX21" s="575"/>
      <c r="AZY21" s="575"/>
      <c r="AZZ21" s="575"/>
      <c r="BAA21" s="575"/>
      <c r="BAB21" s="575"/>
      <c r="BAC21" s="575"/>
      <c r="BAD21" s="575"/>
      <c r="BAE21" s="575"/>
      <c r="BAF21" s="575"/>
      <c r="BAG21" s="575"/>
      <c r="BAH21" s="575"/>
      <c r="BAI21" s="575"/>
      <c r="BAJ21" s="575"/>
      <c r="BAK21" s="575"/>
      <c r="BAL21" s="575"/>
      <c r="BAM21" s="575"/>
      <c r="BAN21" s="575"/>
      <c r="BAO21" s="575"/>
      <c r="BAP21" s="575"/>
      <c r="BAQ21" s="575"/>
      <c r="BAR21" s="575"/>
      <c r="BAS21" s="575"/>
      <c r="BAT21" s="575"/>
      <c r="BAU21" s="575"/>
      <c r="BAV21" s="575"/>
      <c r="BAW21" s="575"/>
      <c r="BAX21" s="575"/>
      <c r="BAY21" s="575"/>
      <c r="BAZ21" s="575"/>
      <c r="BBA21" s="575"/>
      <c r="BBB21" s="575"/>
      <c r="BBC21" s="575"/>
      <c r="BBD21" s="575"/>
      <c r="BBE21" s="575"/>
      <c r="BBF21" s="575"/>
      <c r="BBG21" s="575"/>
      <c r="BBH21" s="575"/>
      <c r="BBI21" s="575"/>
      <c r="BBJ21" s="575"/>
      <c r="BBK21" s="575"/>
      <c r="BBL21" s="575"/>
      <c r="BBM21" s="575"/>
      <c r="BBN21" s="575"/>
      <c r="BBO21" s="575"/>
      <c r="BBP21" s="575"/>
      <c r="BBQ21" s="575"/>
      <c r="BBR21" s="575"/>
      <c r="BBS21" s="575"/>
      <c r="BBT21" s="575"/>
      <c r="BBU21" s="575"/>
      <c r="BBV21" s="575"/>
      <c r="BBW21" s="575"/>
      <c r="BBX21" s="575"/>
      <c r="BBY21" s="575"/>
      <c r="BBZ21" s="575"/>
      <c r="BCA21" s="575"/>
      <c r="BCB21" s="575"/>
      <c r="BCC21" s="575"/>
      <c r="BCD21" s="575"/>
      <c r="BCE21" s="575"/>
      <c r="BCF21" s="575"/>
      <c r="BCG21" s="575"/>
      <c r="BCH21" s="575"/>
      <c r="BCI21" s="575"/>
      <c r="BCJ21" s="575"/>
      <c r="BCK21" s="575"/>
      <c r="BCL21" s="575"/>
      <c r="BCM21" s="575"/>
      <c r="BCN21" s="575"/>
      <c r="BCO21" s="575"/>
      <c r="BCP21" s="575"/>
      <c r="BCQ21" s="575"/>
      <c r="BCR21" s="575"/>
      <c r="BCS21" s="575"/>
      <c r="BCT21" s="575"/>
      <c r="BCU21" s="575"/>
      <c r="BCV21" s="575"/>
      <c r="BCW21" s="575"/>
      <c r="BCX21" s="575"/>
      <c r="BCY21" s="575"/>
      <c r="BCZ21" s="575"/>
      <c r="BDA21" s="575"/>
      <c r="BDB21" s="575"/>
      <c r="BDC21" s="575"/>
      <c r="BDD21" s="575"/>
      <c r="BDE21" s="575"/>
      <c r="BDF21" s="575"/>
      <c r="BDG21" s="575"/>
      <c r="BDH21" s="575"/>
      <c r="BDI21" s="575"/>
      <c r="BDJ21" s="575"/>
      <c r="BDK21" s="575"/>
      <c r="BDL21" s="575"/>
      <c r="BDM21" s="575"/>
      <c r="BDN21" s="575"/>
      <c r="BDO21" s="575"/>
      <c r="BDP21" s="575"/>
      <c r="BDQ21" s="575"/>
      <c r="BDR21" s="575"/>
      <c r="BDS21" s="575"/>
      <c r="BDT21" s="575"/>
    </row>
    <row r="22" spans="1:1476" s="632" customFormat="1" x14ac:dyDescent="0.25">
      <c r="A22" s="608">
        <v>5423</v>
      </c>
      <c r="B22" s="609" t="s">
        <v>68</v>
      </c>
      <c r="C22" s="610">
        <v>1008834.6</v>
      </c>
      <c r="D22" s="610">
        <v>134407.63</v>
      </c>
      <c r="E22" s="610"/>
      <c r="F22" s="611"/>
      <c r="G22" s="610">
        <v>27801.35</v>
      </c>
      <c r="H22" s="610">
        <v>-669.65</v>
      </c>
      <c r="I22" s="610"/>
      <c r="J22" s="610">
        <v>32880.81</v>
      </c>
      <c r="K22" s="610">
        <v>2460.35</v>
      </c>
      <c r="L22" s="610">
        <v>41766.550000000003</v>
      </c>
      <c r="M22" s="434">
        <f t="shared" si="0"/>
        <v>1247481.6400000004</v>
      </c>
      <c r="N22" s="612">
        <v>31754.2</v>
      </c>
      <c r="O22" s="612">
        <v>19850.7</v>
      </c>
      <c r="P22" s="612">
        <v>75481.3</v>
      </c>
      <c r="Q22" s="612">
        <v>16.34</v>
      </c>
      <c r="R22" s="612">
        <v>112773.2</v>
      </c>
      <c r="S22" s="610">
        <v>2835.4</v>
      </c>
      <c r="T22" s="543">
        <f t="shared" si="1"/>
        <v>1490192.7800000003</v>
      </c>
      <c r="U22" s="575">
        <v>-25849.9</v>
      </c>
      <c r="V22" s="612"/>
      <c r="W22" s="612">
        <v>-0.02</v>
      </c>
      <c r="X22" s="624">
        <v>73</v>
      </c>
      <c r="Y22" s="631">
        <v>0.5</v>
      </c>
      <c r="Z22" s="628">
        <f>VLOOKUP(A22,'[2]2022 toutes communes'!$B$9:$D$317,3,FALSE)</f>
        <v>590</v>
      </c>
      <c r="AA22" s="617"/>
      <c r="AB22" s="618">
        <v>39073</v>
      </c>
      <c r="AC22" s="547">
        <f>AB22/VPI!R22</f>
        <v>2.2525796465739014</v>
      </c>
      <c r="AD22" s="548">
        <f t="shared" si="2"/>
        <v>65103</v>
      </c>
      <c r="AE22" s="547">
        <f>AD22/VPI!R22</f>
        <v>3.7532232674967547</v>
      </c>
      <c r="AF22" s="618">
        <v>104176</v>
      </c>
      <c r="AG22" s="618">
        <v>55651</v>
      </c>
      <c r="AH22" s="618">
        <v>72383</v>
      </c>
      <c r="AI22" s="627"/>
      <c r="AJ22" s="628">
        <v>0</v>
      </c>
      <c r="AK22" s="547">
        <f>AJ22/VPI!R22</f>
        <v>0</v>
      </c>
      <c r="AL22" s="548">
        <f t="shared" si="3"/>
        <v>22991</v>
      </c>
      <c r="AM22" s="547">
        <f>AL22/VPI!R22</f>
        <v>1.3254436223064665</v>
      </c>
      <c r="AN22" s="628">
        <v>22991</v>
      </c>
      <c r="AO22" s="627"/>
      <c r="AP22" s="629">
        <v>11.708460153746396</v>
      </c>
      <c r="AQ22" s="575"/>
      <c r="AR22" s="630">
        <v>0</v>
      </c>
      <c r="AS22" s="575"/>
      <c r="AT22" s="575"/>
      <c r="AU22" s="575"/>
      <c r="AV22" s="575"/>
      <c r="AW22" s="575"/>
      <c r="AX22" s="575"/>
      <c r="AY22" s="575"/>
      <c r="AZ22" s="575"/>
      <c r="BA22" s="575"/>
      <c r="BB22" s="575"/>
      <c r="BC22" s="575"/>
      <c r="BD22" s="575"/>
      <c r="BE22" s="575"/>
      <c r="BF22" s="575"/>
      <c r="BG22" s="575"/>
      <c r="BH22" s="575"/>
      <c r="BI22" s="575"/>
      <c r="BJ22" s="575"/>
      <c r="BK22" s="575"/>
      <c r="BL22" s="575"/>
      <c r="BM22" s="575"/>
      <c r="BN22" s="575"/>
      <c r="BO22" s="575"/>
      <c r="BP22" s="575"/>
      <c r="BQ22" s="575"/>
      <c r="BR22" s="575"/>
      <c r="BS22" s="575"/>
      <c r="BT22" s="575"/>
      <c r="BU22" s="575"/>
      <c r="BV22" s="575"/>
      <c r="BW22" s="575"/>
      <c r="BX22" s="575"/>
      <c r="BY22" s="575"/>
      <c r="BZ22" s="575"/>
      <c r="CA22" s="575"/>
      <c r="CB22" s="575"/>
      <c r="CC22" s="575"/>
      <c r="CD22" s="575"/>
      <c r="CE22" s="575"/>
      <c r="CF22" s="575"/>
      <c r="CG22" s="575"/>
      <c r="CH22" s="575"/>
      <c r="CI22" s="575"/>
      <c r="CJ22" s="575"/>
      <c r="CK22" s="575"/>
      <c r="CL22" s="575"/>
      <c r="CM22" s="575"/>
      <c r="CN22" s="575"/>
      <c r="CO22" s="575"/>
      <c r="CP22" s="575"/>
      <c r="CQ22" s="575"/>
      <c r="CR22" s="575"/>
      <c r="CS22" s="575"/>
      <c r="CT22" s="575"/>
      <c r="CU22" s="575"/>
      <c r="CV22" s="575"/>
      <c r="CW22" s="575"/>
      <c r="CX22" s="575"/>
      <c r="CY22" s="575"/>
      <c r="CZ22" s="575"/>
      <c r="DA22" s="575"/>
      <c r="DB22" s="575"/>
      <c r="DC22" s="575"/>
      <c r="DD22" s="575"/>
      <c r="DE22" s="575"/>
      <c r="DF22" s="575"/>
      <c r="DG22" s="575"/>
      <c r="DH22" s="575"/>
      <c r="DI22" s="575"/>
      <c r="DJ22" s="575"/>
      <c r="DK22" s="575"/>
      <c r="DL22" s="575"/>
      <c r="DM22" s="575"/>
      <c r="DN22" s="575"/>
      <c r="DO22" s="575"/>
      <c r="DP22" s="575"/>
      <c r="DQ22" s="575"/>
      <c r="DR22" s="575"/>
      <c r="DS22" s="575"/>
      <c r="DT22" s="575"/>
      <c r="DU22" s="575"/>
      <c r="DV22" s="575"/>
      <c r="DW22" s="575"/>
      <c r="DX22" s="575"/>
      <c r="DY22" s="575"/>
      <c r="DZ22" s="575"/>
      <c r="EA22" s="575"/>
      <c r="EB22" s="575"/>
      <c r="EC22" s="575"/>
      <c r="ED22" s="575"/>
      <c r="EE22" s="575"/>
      <c r="EF22" s="575"/>
      <c r="EG22" s="575"/>
      <c r="EH22" s="575"/>
      <c r="EI22" s="575"/>
      <c r="EJ22" s="575"/>
      <c r="EK22" s="575"/>
      <c r="EL22" s="575"/>
      <c r="EM22" s="575"/>
      <c r="EN22" s="575"/>
      <c r="EO22" s="575"/>
      <c r="EP22" s="575"/>
      <c r="EQ22" s="575"/>
      <c r="ER22" s="575"/>
      <c r="ES22" s="575"/>
      <c r="ET22" s="575"/>
      <c r="EU22" s="575"/>
      <c r="EV22" s="575"/>
      <c r="EW22" s="575"/>
      <c r="EX22" s="575"/>
      <c r="EY22" s="575"/>
      <c r="EZ22" s="575"/>
      <c r="FA22" s="575"/>
      <c r="FB22" s="575"/>
      <c r="FC22" s="575"/>
      <c r="FD22" s="575"/>
      <c r="FE22" s="575"/>
      <c r="FF22" s="575"/>
      <c r="FG22" s="575"/>
      <c r="FH22" s="575"/>
      <c r="FI22" s="575"/>
      <c r="FJ22" s="575"/>
      <c r="FK22" s="575"/>
      <c r="FL22" s="575"/>
      <c r="FM22" s="575"/>
      <c r="FN22" s="575"/>
      <c r="FO22" s="575"/>
      <c r="FP22" s="575"/>
      <c r="FQ22" s="575"/>
      <c r="FR22" s="575"/>
      <c r="FS22" s="575"/>
      <c r="FT22" s="575"/>
      <c r="FU22" s="575"/>
      <c r="FV22" s="575"/>
      <c r="FW22" s="575"/>
      <c r="FX22" s="575"/>
      <c r="FY22" s="575"/>
      <c r="FZ22" s="575"/>
      <c r="GA22" s="575"/>
      <c r="GB22" s="575"/>
      <c r="GC22" s="575"/>
      <c r="GD22" s="575"/>
      <c r="GE22" s="575"/>
      <c r="GF22" s="575"/>
      <c r="GG22" s="575"/>
      <c r="GH22" s="575"/>
      <c r="GI22" s="575"/>
      <c r="GJ22" s="575"/>
      <c r="GK22" s="575"/>
      <c r="GL22" s="575"/>
      <c r="GM22" s="575"/>
      <c r="GN22" s="575"/>
      <c r="GO22" s="575"/>
      <c r="GP22" s="575"/>
      <c r="GQ22" s="575"/>
      <c r="GR22" s="575"/>
      <c r="GS22" s="575"/>
      <c r="GT22" s="575"/>
      <c r="GU22" s="575"/>
      <c r="GV22" s="575"/>
      <c r="GW22" s="575"/>
      <c r="GX22" s="575"/>
      <c r="GY22" s="575"/>
      <c r="GZ22" s="575"/>
      <c r="HA22" s="575"/>
      <c r="HB22" s="575"/>
      <c r="HC22" s="575"/>
      <c r="HD22" s="575"/>
      <c r="HE22" s="575"/>
      <c r="HF22" s="575"/>
      <c r="HG22" s="575"/>
      <c r="HH22" s="575"/>
      <c r="HI22" s="575"/>
      <c r="HJ22" s="575"/>
      <c r="HK22" s="575"/>
      <c r="HL22" s="575"/>
      <c r="HM22" s="575"/>
      <c r="HN22" s="575"/>
      <c r="HO22" s="575"/>
      <c r="HP22" s="575"/>
      <c r="HQ22" s="575"/>
      <c r="HR22" s="575"/>
      <c r="HS22" s="575"/>
      <c r="HT22" s="575"/>
      <c r="HU22" s="575"/>
      <c r="HV22" s="575"/>
      <c r="HW22" s="575"/>
      <c r="HX22" s="575"/>
      <c r="HY22" s="575"/>
      <c r="HZ22" s="575"/>
      <c r="IA22" s="575"/>
      <c r="IB22" s="575"/>
      <c r="IC22" s="575"/>
      <c r="ID22" s="575"/>
      <c r="IE22" s="575"/>
      <c r="IF22" s="575"/>
      <c r="IG22" s="575"/>
      <c r="IH22" s="575"/>
      <c r="II22" s="575"/>
      <c r="IJ22" s="575"/>
      <c r="IK22" s="575"/>
      <c r="IL22" s="575"/>
      <c r="IM22" s="575"/>
      <c r="IN22" s="575"/>
      <c r="IO22" s="575"/>
      <c r="IP22" s="575"/>
      <c r="IQ22" s="575"/>
      <c r="IR22" s="575"/>
      <c r="IS22" s="575"/>
      <c r="IT22" s="575"/>
      <c r="IU22" s="575"/>
      <c r="IV22" s="575"/>
      <c r="IW22" s="575"/>
      <c r="IX22" s="575"/>
      <c r="IY22" s="575"/>
      <c r="IZ22" s="575"/>
      <c r="JA22" s="575"/>
      <c r="JB22" s="575"/>
      <c r="JC22" s="575"/>
      <c r="JD22" s="575"/>
      <c r="JE22" s="575"/>
      <c r="JF22" s="575"/>
      <c r="JG22" s="575"/>
      <c r="JH22" s="575"/>
      <c r="JI22" s="575"/>
      <c r="JJ22" s="575"/>
      <c r="JK22" s="575"/>
      <c r="JL22" s="575"/>
      <c r="JM22" s="575"/>
      <c r="JN22" s="575"/>
      <c r="JO22" s="575"/>
      <c r="JP22" s="575"/>
      <c r="JQ22" s="575"/>
      <c r="JR22" s="575"/>
      <c r="JS22" s="575"/>
      <c r="JT22" s="575"/>
      <c r="JU22" s="575"/>
      <c r="JV22" s="575"/>
      <c r="JW22" s="575"/>
      <c r="JX22" s="575"/>
      <c r="JY22" s="575"/>
      <c r="JZ22" s="575"/>
      <c r="KA22" s="575"/>
      <c r="KB22" s="575"/>
      <c r="KC22" s="575"/>
      <c r="KD22" s="575"/>
      <c r="KE22" s="575"/>
      <c r="KF22" s="575"/>
      <c r="KG22" s="575"/>
      <c r="KH22" s="575"/>
      <c r="KI22" s="575"/>
      <c r="KJ22" s="575"/>
      <c r="KK22" s="575"/>
      <c r="KL22" s="575"/>
      <c r="KM22" s="575"/>
      <c r="KN22" s="575"/>
      <c r="KO22" s="575"/>
      <c r="KP22" s="575"/>
      <c r="KQ22" s="575"/>
      <c r="KR22" s="575"/>
      <c r="KS22" s="575"/>
      <c r="KT22" s="575"/>
      <c r="KU22" s="575"/>
      <c r="KV22" s="575"/>
      <c r="KW22" s="575"/>
      <c r="KX22" s="575"/>
      <c r="KY22" s="575"/>
      <c r="KZ22" s="575"/>
      <c r="LA22" s="575"/>
      <c r="LB22" s="575"/>
      <c r="LC22" s="575"/>
      <c r="LD22" s="575"/>
      <c r="LE22" s="575"/>
      <c r="LF22" s="575"/>
      <c r="LG22" s="575"/>
      <c r="LH22" s="575"/>
      <c r="LI22" s="575"/>
      <c r="LJ22" s="575"/>
      <c r="LK22" s="575"/>
      <c r="LL22" s="575"/>
      <c r="LM22" s="575"/>
      <c r="LN22" s="575"/>
      <c r="LO22" s="575"/>
      <c r="LP22" s="575"/>
      <c r="LQ22" s="575"/>
      <c r="LR22" s="575"/>
      <c r="LS22" s="575"/>
      <c r="LT22" s="575"/>
      <c r="LU22" s="575"/>
      <c r="LV22" s="575"/>
      <c r="LW22" s="575"/>
      <c r="LX22" s="575"/>
      <c r="LY22" s="575"/>
      <c r="LZ22" s="575"/>
      <c r="MA22" s="575"/>
      <c r="MB22" s="575"/>
      <c r="MC22" s="575"/>
      <c r="MD22" s="575"/>
      <c r="ME22" s="575"/>
      <c r="MF22" s="575"/>
      <c r="MG22" s="575"/>
      <c r="MH22" s="575"/>
      <c r="MI22" s="575"/>
      <c r="MJ22" s="575"/>
      <c r="MK22" s="575"/>
      <c r="ML22" s="575"/>
      <c r="MM22" s="575"/>
      <c r="MN22" s="575"/>
      <c r="MO22" s="575"/>
      <c r="MP22" s="575"/>
      <c r="MQ22" s="575"/>
      <c r="MR22" s="575"/>
      <c r="MS22" s="575"/>
      <c r="MT22" s="575"/>
      <c r="MU22" s="575"/>
      <c r="MV22" s="575"/>
      <c r="MW22" s="575"/>
      <c r="MX22" s="575"/>
      <c r="MY22" s="575"/>
      <c r="MZ22" s="575"/>
      <c r="NA22" s="575"/>
      <c r="NB22" s="575"/>
      <c r="NC22" s="575"/>
      <c r="ND22" s="575"/>
      <c r="NE22" s="575"/>
      <c r="NF22" s="575"/>
      <c r="NG22" s="575"/>
      <c r="NH22" s="575"/>
      <c r="NI22" s="575"/>
      <c r="NJ22" s="575"/>
      <c r="NK22" s="575"/>
      <c r="NL22" s="575"/>
      <c r="NM22" s="575"/>
      <c r="NN22" s="575"/>
      <c r="NO22" s="575"/>
      <c r="NP22" s="575"/>
      <c r="NQ22" s="575"/>
      <c r="NR22" s="575"/>
      <c r="NS22" s="575"/>
      <c r="NT22" s="575"/>
      <c r="NU22" s="575"/>
      <c r="NV22" s="575"/>
      <c r="NW22" s="575"/>
      <c r="NX22" s="575"/>
      <c r="NY22" s="575"/>
      <c r="NZ22" s="575"/>
      <c r="OA22" s="575"/>
      <c r="OB22" s="575"/>
      <c r="OC22" s="575"/>
      <c r="OD22" s="575"/>
      <c r="OE22" s="575"/>
      <c r="OF22" s="575"/>
      <c r="OG22" s="575"/>
      <c r="OH22" s="575"/>
      <c r="OI22" s="575"/>
      <c r="OJ22" s="575"/>
      <c r="OK22" s="575"/>
      <c r="OL22" s="575"/>
      <c r="OM22" s="575"/>
      <c r="ON22" s="575"/>
      <c r="OO22" s="575"/>
      <c r="OP22" s="575"/>
      <c r="OQ22" s="575"/>
      <c r="OR22" s="575"/>
      <c r="OS22" s="575"/>
      <c r="OT22" s="575"/>
      <c r="OU22" s="575"/>
      <c r="OV22" s="575"/>
      <c r="OW22" s="575"/>
      <c r="OX22" s="575"/>
      <c r="OY22" s="575"/>
      <c r="OZ22" s="575"/>
      <c r="PA22" s="575"/>
      <c r="PB22" s="575"/>
      <c r="PC22" s="575"/>
      <c r="PD22" s="575"/>
      <c r="PE22" s="575"/>
      <c r="PF22" s="575"/>
      <c r="PG22" s="575"/>
      <c r="PH22" s="575"/>
      <c r="PI22" s="575"/>
      <c r="PJ22" s="575"/>
      <c r="PK22" s="575"/>
      <c r="PL22" s="575"/>
      <c r="PM22" s="575"/>
      <c r="PN22" s="575"/>
      <c r="PO22" s="575"/>
      <c r="PP22" s="575"/>
      <c r="PQ22" s="575"/>
      <c r="PR22" s="575"/>
      <c r="PS22" s="575"/>
      <c r="PT22" s="575"/>
      <c r="PU22" s="575"/>
      <c r="PV22" s="575"/>
      <c r="PW22" s="575"/>
      <c r="PX22" s="575"/>
      <c r="PY22" s="575"/>
      <c r="PZ22" s="575"/>
      <c r="QA22" s="575"/>
      <c r="QB22" s="575"/>
      <c r="QC22" s="575"/>
      <c r="QD22" s="575"/>
      <c r="QE22" s="575"/>
      <c r="QF22" s="575"/>
      <c r="QG22" s="575"/>
      <c r="QH22" s="575"/>
      <c r="QI22" s="575"/>
      <c r="QJ22" s="575"/>
      <c r="QK22" s="575"/>
      <c r="QL22" s="575"/>
      <c r="QM22" s="575"/>
      <c r="QN22" s="575"/>
      <c r="QO22" s="575"/>
      <c r="QP22" s="575"/>
      <c r="QQ22" s="575"/>
      <c r="QR22" s="575"/>
      <c r="QS22" s="575"/>
      <c r="QT22" s="575"/>
      <c r="QU22" s="575"/>
      <c r="QV22" s="575"/>
      <c r="QW22" s="575"/>
      <c r="QX22" s="575"/>
      <c r="QY22" s="575"/>
      <c r="QZ22" s="575"/>
      <c r="RA22" s="575"/>
      <c r="RB22" s="575"/>
      <c r="RC22" s="575"/>
      <c r="RD22" s="575"/>
      <c r="RE22" s="575"/>
      <c r="RF22" s="575"/>
      <c r="RG22" s="575"/>
      <c r="RH22" s="575"/>
      <c r="RI22" s="575"/>
      <c r="RJ22" s="575"/>
      <c r="RK22" s="575"/>
      <c r="RL22" s="575"/>
      <c r="RM22" s="575"/>
      <c r="RN22" s="575"/>
      <c r="RO22" s="575"/>
      <c r="RP22" s="575"/>
      <c r="RQ22" s="575"/>
      <c r="RR22" s="575"/>
      <c r="RS22" s="575"/>
      <c r="RT22" s="575"/>
      <c r="RU22" s="575"/>
      <c r="RV22" s="575"/>
      <c r="RW22" s="575"/>
      <c r="RX22" s="575"/>
      <c r="RY22" s="575"/>
      <c r="RZ22" s="575"/>
      <c r="SA22" s="575"/>
      <c r="SB22" s="575"/>
      <c r="SC22" s="575"/>
      <c r="SD22" s="575"/>
      <c r="SE22" s="575"/>
      <c r="SF22" s="575"/>
      <c r="SG22" s="575"/>
      <c r="SH22" s="575"/>
      <c r="SI22" s="575"/>
      <c r="SJ22" s="575"/>
      <c r="SK22" s="575"/>
      <c r="SL22" s="575"/>
      <c r="SM22" s="575"/>
      <c r="SN22" s="575"/>
      <c r="SO22" s="575"/>
      <c r="SP22" s="575"/>
      <c r="SQ22" s="575"/>
      <c r="SR22" s="575"/>
      <c r="SS22" s="575"/>
      <c r="ST22" s="575"/>
      <c r="SU22" s="575"/>
      <c r="SV22" s="575"/>
      <c r="SW22" s="575"/>
      <c r="SX22" s="575"/>
      <c r="SY22" s="575"/>
      <c r="SZ22" s="575"/>
      <c r="TA22" s="575"/>
      <c r="TB22" s="575"/>
      <c r="TC22" s="575"/>
      <c r="TD22" s="575"/>
      <c r="TE22" s="575"/>
      <c r="TF22" s="575"/>
      <c r="TG22" s="575"/>
      <c r="TH22" s="575"/>
      <c r="TI22" s="575"/>
      <c r="TJ22" s="575"/>
      <c r="TK22" s="575"/>
      <c r="TL22" s="575"/>
      <c r="TM22" s="575"/>
      <c r="TN22" s="575"/>
      <c r="TO22" s="575"/>
      <c r="TP22" s="575"/>
      <c r="TQ22" s="575"/>
      <c r="TR22" s="575"/>
      <c r="TS22" s="575"/>
      <c r="TT22" s="575"/>
      <c r="TU22" s="575"/>
      <c r="TV22" s="575"/>
      <c r="TW22" s="575"/>
      <c r="TX22" s="575"/>
      <c r="TY22" s="575"/>
      <c r="TZ22" s="575"/>
      <c r="UA22" s="575"/>
      <c r="UB22" s="575"/>
      <c r="UC22" s="575"/>
      <c r="UD22" s="575"/>
      <c r="UE22" s="575"/>
      <c r="UF22" s="575"/>
      <c r="UG22" s="575"/>
      <c r="UH22" s="575"/>
      <c r="UI22" s="575"/>
      <c r="UJ22" s="575"/>
      <c r="UK22" s="575"/>
      <c r="UL22" s="575"/>
      <c r="UM22" s="575"/>
      <c r="UN22" s="575"/>
      <c r="UO22" s="575"/>
      <c r="UP22" s="575"/>
      <c r="UQ22" s="575"/>
      <c r="UR22" s="575"/>
      <c r="US22" s="575"/>
      <c r="UT22" s="575"/>
      <c r="UU22" s="575"/>
      <c r="UV22" s="575"/>
      <c r="UW22" s="575"/>
      <c r="UX22" s="575"/>
      <c r="UY22" s="575"/>
      <c r="UZ22" s="575"/>
      <c r="VA22" s="575"/>
      <c r="VB22" s="575"/>
      <c r="VC22" s="575"/>
      <c r="VD22" s="575"/>
      <c r="VE22" s="575"/>
      <c r="VF22" s="575"/>
      <c r="VG22" s="575"/>
      <c r="VH22" s="575"/>
      <c r="VI22" s="575"/>
      <c r="VJ22" s="575"/>
      <c r="VK22" s="575"/>
      <c r="VL22" s="575"/>
      <c r="VM22" s="575"/>
      <c r="VN22" s="575"/>
      <c r="VO22" s="575"/>
      <c r="VP22" s="575"/>
      <c r="VQ22" s="575"/>
      <c r="VR22" s="575"/>
      <c r="VS22" s="575"/>
      <c r="VT22" s="575"/>
      <c r="VU22" s="575"/>
      <c r="VV22" s="575"/>
      <c r="VW22" s="575"/>
      <c r="VX22" s="575"/>
      <c r="VY22" s="575"/>
      <c r="VZ22" s="575"/>
      <c r="WA22" s="575"/>
      <c r="WB22" s="575"/>
      <c r="WC22" s="575"/>
      <c r="WD22" s="575"/>
      <c r="WE22" s="575"/>
      <c r="WF22" s="575"/>
      <c r="WG22" s="575"/>
      <c r="WH22" s="575"/>
      <c r="WI22" s="575"/>
      <c r="WJ22" s="575"/>
      <c r="WK22" s="575"/>
      <c r="WL22" s="575"/>
      <c r="WM22" s="575"/>
      <c r="WN22" s="575"/>
      <c r="WO22" s="575"/>
      <c r="WP22" s="575"/>
      <c r="WQ22" s="575"/>
      <c r="WR22" s="575"/>
      <c r="WS22" s="575"/>
      <c r="WT22" s="575"/>
      <c r="WU22" s="575"/>
      <c r="WV22" s="575"/>
      <c r="WW22" s="575"/>
      <c r="WX22" s="575"/>
      <c r="WY22" s="575"/>
      <c r="WZ22" s="575"/>
      <c r="XA22" s="575"/>
      <c r="XB22" s="575"/>
      <c r="XC22" s="575"/>
      <c r="XD22" s="575"/>
      <c r="XE22" s="575"/>
      <c r="XF22" s="575"/>
      <c r="XG22" s="575"/>
      <c r="XH22" s="575"/>
      <c r="XI22" s="575"/>
      <c r="XJ22" s="575"/>
      <c r="XK22" s="575"/>
      <c r="XL22" s="575"/>
      <c r="XM22" s="575"/>
      <c r="XN22" s="575"/>
      <c r="XO22" s="575"/>
      <c r="XP22" s="575"/>
      <c r="XQ22" s="575"/>
      <c r="XR22" s="575"/>
      <c r="XS22" s="575"/>
      <c r="XT22" s="575"/>
      <c r="XU22" s="575"/>
      <c r="XV22" s="575"/>
      <c r="XW22" s="575"/>
      <c r="XX22" s="575"/>
      <c r="XY22" s="575"/>
      <c r="XZ22" s="575"/>
      <c r="YA22" s="575"/>
      <c r="YB22" s="575"/>
      <c r="YC22" s="575"/>
      <c r="YD22" s="575"/>
      <c r="YE22" s="575"/>
      <c r="YF22" s="575"/>
      <c r="YG22" s="575"/>
      <c r="YH22" s="575"/>
      <c r="YI22" s="575"/>
      <c r="YJ22" s="575"/>
      <c r="YK22" s="575"/>
      <c r="YL22" s="575"/>
      <c r="YM22" s="575"/>
      <c r="YN22" s="575"/>
      <c r="YO22" s="575"/>
      <c r="YP22" s="575"/>
      <c r="YQ22" s="575"/>
      <c r="YR22" s="575"/>
      <c r="YS22" s="575"/>
      <c r="YT22" s="575"/>
      <c r="YU22" s="575"/>
      <c r="YV22" s="575"/>
      <c r="YW22" s="575"/>
      <c r="YX22" s="575"/>
      <c r="YY22" s="575"/>
      <c r="YZ22" s="575"/>
      <c r="ZA22" s="575"/>
      <c r="ZB22" s="575"/>
      <c r="ZC22" s="575"/>
      <c r="ZD22" s="575"/>
      <c r="ZE22" s="575"/>
      <c r="ZF22" s="575"/>
      <c r="ZG22" s="575"/>
      <c r="ZH22" s="575"/>
      <c r="ZI22" s="575"/>
      <c r="ZJ22" s="575"/>
      <c r="ZK22" s="575"/>
      <c r="ZL22" s="575"/>
      <c r="ZM22" s="575"/>
      <c r="ZN22" s="575"/>
      <c r="ZO22" s="575"/>
      <c r="ZP22" s="575"/>
      <c r="ZQ22" s="575"/>
      <c r="ZR22" s="575"/>
      <c r="ZS22" s="575"/>
      <c r="ZT22" s="575"/>
      <c r="ZU22" s="575"/>
      <c r="ZV22" s="575"/>
      <c r="ZW22" s="575"/>
      <c r="ZX22" s="575"/>
      <c r="ZY22" s="575"/>
      <c r="ZZ22" s="575"/>
      <c r="AAA22" s="575"/>
      <c r="AAB22" s="575"/>
      <c r="AAC22" s="575"/>
      <c r="AAD22" s="575"/>
      <c r="AAE22" s="575"/>
      <c r="AAF22" s="575"/>
      <c r="AAG22" s="575"/>
      <c r="AAH22" s="575"/>
      <c r="AAI22" s="575"/>
      <c r="AAJ22" s="575"/>
      <c r="AAK22" s="575"/>
      <c r="AAL22" s="575"/>
      <c r="AAM22" s="575"/>
      <c r="AAN22" s="575"/>
      <c r="AAO22" s="575"/>
      <c r="AAP22" s="575"/>
      <c r="AAQ22" s="575"/>
      <c r="AAR22" s="575"/>
      <c r="AAS22" s="575"/>
      <c r="AAT22" s="575"/>
      <c r="AAU22" s="575"/>
      <c r="AAV22" s="575"/>
      <c r="AAW22" s="575"/>
      <c r="AAX22" s="575"/>
      <c r="AAY22" s="575"/>
      <c r="AAZ22" s="575"/>
      <c r="ABA22" s="575"/>
      <c r="ABB22" s="575"/>
      <c r="ABC22" s="575"/>
      <c r="ABD22" s="575"/>
      <c r="ABE22" s="575"/>
      <c r="ABF22" s="575"/>
      <c r="ABG22" s="575"/>
      <c r="ABH22" s="575"/>
      <c r="ABI22" s="575"/>
      <c r="ABJ22" s="575"/>
      <c r="ABK22" s="575"/>
      <c r="ABL22" s="575"/>
      <c r="ABM22" s="575"/>
      <c r="ABN22" s="575"/>
      <c r="ABO22" s="575"/>
      <c r="ABP22" s="575"/>
      <c r="ABQ22" s="575"/>
      <c r="ABR22" s="575"/>
      <c r="ABS22" s="575"/>
      <c r="ABT22" s="575"/>
      <c r="ABU22" s="575"/>
      <c r="ABV22" s="575"/>
      <c r="ABW22" s="575"/>
      <c r="ABX22" s="575"/>
      <c r="ABY22" s="575"/>
      <c r="ABZ22" s="575"/>
      <c r="ACA22" s="575"/>
      <c r="ACB22" s="575"/>
      <c r="ACC22" s="575"/>
      <c r="ACD22" s="575"/>
      <c r="ACE22" s="575"/>
      <c r="ACF22" s="575"/>
      <c r="ACG22" s="575"/>
      <c r="ACH22" s="575"/>
      <c r="ACI22" s="575"/>
      <c r="ACJ22" s="575"/>
      <c r="ACK22" s="575"/>
      <c r="ACL22" s="575"/>
      <c r="ACM22" s="575"/>
      <c r="ACN22" s="575"/>
      <c r="ACO22" s="575"/>
      <c r="ACP22" s="575"/>
      <c r="ACQ22" s="575"/>
      <c r="ACR22" s="575"/>
      <c r="ACS22" s="575"/>
      <c r="ACT22" s="575"/>
      <c r="ACU22" s="575"/>
      <c r="ACV22" s="575"/>
      <c r="ACW22" s="575"/>
      <c r="ACX22" s="575"/>
      <c r="ACY22" s="575"/>
      <c r="ACZ22" s="575"/>
      <c r="ADA22" s="575"/>
      <c r="ADB22" s="575"/>
      <c r="ADC22" s="575"/>
      <c r="ADD22" s="575"/>
      <c r="ADE22" s="575"/>
      <c r="ADF22" s="575"/>
      <c r="ADG22" s="575"/>
      <c r="ADH22" s="575"/>
      <c r="ADI22" s="575"/>
      <c r="ADJ22" s="575"/>
      <c r="ADK22" s="575"/>
      <c r="ADL22" s="575"/>
      <c r="ADM22" s="575"/>
      <c r="ADN22" s="575"/>
      <c r="ADO22" s="575"/>
      <c r="ADP22" s="575"/>
      <c r="ADQ22" s="575"/>
      <c r="ADR22" s="575"/>
      <c r="ADS22" s="575"/>
      <c r="ADT22" s="575"/>
      <c r="ADU22" s="575"/>
      <c r="ADV22" s="575"/>
      <c r="ADW22" s="575"/>
      <c r="ADX22" s="575"/>
      <c r="ADY22" s="575"/>
      <c r="ADZ22" s="575"/>
      <c r="AEA22" s="575"/>
      <c r="AEB22" s="575"/>
      <c r="AEC22" s="575"/>
      <c r="AED22" s="575"/>
      <c r="AEE22" s="575"/>
      <c r="AEF22" s="575"/>
      <c r="AEG22" s="575"/>
      <c r="AEH22" s="575"/>
      <c r="AEI22" s="575"/>
      <c r="AEJ22" s="575"/>
      <c r="AEK22" s="575"/>
      <c r="AEL22" s="575"/>
      <c r="AEM22" s="575"/>
      <c r="AEN22" s="575"/>
      <c r="AEO22" s="575"/>
      <c r="AEP22" s="575"/>
      <c r="AEQ22" s="575"/>
      <c r="AER22" s="575"/>
      <c r="AES22" s="575"/>
      <c r="AET22" s="575"/>
      <c r="AEU22" s="575"/>
      <c r="AEV22" s="575"/>
      <c r="AEW22" s="575"/>
      <c r="AEX22" s="575"/>
      <c r="AEY22" s="575"/>
      <c r="AEZ22" s="575"/>
      <c r="AFA22" s="575"/>
      <c r="AFB22" s="575"/>
      <c r="AFC22" s="575"/>
      <c r="AFD22" s="575"/>
      <c r="AFE22" s="575"/>
      <c r="AFF22" s="575"/>
      <c r="AFG22" s="575"/>
      <c r="AFH22" s="575"/>
      <c r="AFI22" s="575"/>
      <c r="AFJ22" s="575"/>
      <c r="AFK22" s="575"/>
      <c r="AFL22" s="575"/>
      <c r="AFM22" s="575"/>
      <c r="AFN22" s="575"/>
      <c r="AFO22" s="575"/>
      <c r="AFP22" s="575"/>
      <c r="AFQ22" s="575"/>
      <c r="AFR22" s="575"/>
      <c r="AFS22" s="575"/>
      <c r="AFT22" s="575"/>
      <c r="AFU22" s="575"/>
      <c r="AFV22" s="575"/>
      <c r="AFW22" s="575"/>
      <c r="AFX22" s="575"/>
      <c r="AFY22" s="575"/>
      <c r="AFZ22" s="575"/>
      <c r="AGA22" s="575"/>
      <c r="AGB22" s="575"/>
      <c r="AGC22" s="575"/>
      <c r="AGD22" s="575"/>
      <c r="AGE22" s="575"/>
      <c r="AGF22" s="575"/>
      <c r="AGG22" s="575"/>
      <c r="AGH22" s="575"/>
      <c r="AGI22" s="575"/>
      <c r="AGJ22" s="575"/>
      <c r="AGK22" s="575"/>
      <c r="AGL22" s="575"/>
      <c r="AGM22" s="575"/>
      <c r="AGN22" s="575"/>
      <c r="AGO22" s="575"/>
      <c r="AGP22" s="575"/>
      <c r="AGQ22" s="575"/>
      <c r="AGR22" s="575"/>
      <c r="AGS22" s="575"/>
      <c r="AGT22" s="575"/>
      <c r="AGU22" s="575"/>
      <c r="AGV22" s="575"/>
      <c r="AGW22" s="575"/>
      <c r="AGX22" s="575"/>
      <c r="AGY22" s="575"/>
      <c r="AGZ22" s="575"/>
      <c r="AHA22" s="575"/>
      <c r="AHB22" s="575"/>
      <c r="AHC22" s="575"/>
      <c r="AHD22" s="575"/>
      <c r="AHE22" s="575"/>
      <c r="AHF22" s="575"/>
      <c r="AHG22" s="575"/>
      <c r="AHH22" s="575"/>
      <c r="AHI22" s="575"/>
      <c r="AHJ22" s="575"/>
      <c r="AHK22" s="575"/>
      <c r="AHL22" s="575"/>
      <c r="AHM22" s="575"/>
      <c r="AHN22" s="575"/>
      <c r="AHO22" s="575"/>
      <c r="AHP22" s="575"/>
      <c r="AHQ22" s="575"/>
      <c r="AHR22" s="575"/>
      <c r="AHS22" s="575"/>
      <c r="AHT22" s="575"/>
      <c r="AHU22" s="575"/>
      <c r="AHV22" s="575"/>
      <c r="AHW22" s="575"/>
      <c r="AHX22" s="575"/>
      <c r="AHY22" s="575"/>
      <c r="AHZ22" s="575"/>
      <c r="AIA22" s="575"/>
      <c r="AIB22" s="575"/>
      <c r="AIC22" s="575"/>
      <c r="AID22" s="575"/>
      <c r="AIE22" s="575"/>
      <c r="AIF22" s="575"/>
      <c r="AIG22" s="575"/>
      <c r="AIH22" s="575"/>
      <c r="AII22" s="575"/>
      <c r="AIJ22" s="575"/>
      <c r="AIK22" s="575"/>
      <c r="AIL22" s="575"/>
      <c r="AIM22" s="575"/>
      <c r="AIN22" s="575"/>
      <c r="AIO22" s="575"/>
      <c r="AIP22" s="575"/>
      <c r="AIQ22" s="575"/>
      <c r="AIR22" s="575"/>
      <c r="AIS22" s="575"/>
      <c r="AIT22" s="575"/>
      <c r="AIU22" s="575"/>
      <c r="AIV22" s="575"/>
      <c r="AIW22" s="575"/>
      <c r="AIX22" s="575"/>
      <c r="AIY22" s="575"/>
      <c r="AIZ22" s="575"/>
      <c r="AJA22" s="575"/>
      <c r="AJB22" s="575"/>
      <c r="AJC22" s="575"/>
      <c r="AJD22" s="575"/>
      <c r="AJE22" s="575"/>
      <c r="AJF22" s="575"/>
      <c r="AJG22" s="575"/>
      <c r="AJH22" s="575"/>
      <c r="AJI22" s="575"/>
      <c r="AJJ22" s="575"/>
      <c r="AJK22" s="575"/>
      <c r="AJL22" s="575"/>
      <c r="AJM22" s="575"/>
      <c r="AJN22" s="575"/>
      <c r="AJO22" s="575"/>
      <c r="AJP22" s="575"/>
      <c r="AJQ22" s="575"/>
      <c r="AJR22" s="575"/>
      <c r="AJS22" s="575"/>
      <c r="AJT22" s="575"/>
      <c r="AJU22" s="575"/>
      <c r="AJV22" s="575"/>
      <c r="AJW22" s="575"/>
      <c r="AJX22" s="575"/>
      <c r="AJY22" s="575"/>
      <c r="AJZ22" s="575"/>
      <c r="AKA22" s="575"/>
      <c r="AKB22" s="575"/>
      <c r="AKC22" s="575"/>
      <c r="AKD22" s="575"/>
      <c r="AKE22" s="575"/>
      <c r="AKF22" s="575"/>
      <c r="AKG22" s="575"/>
      <c r="AKH22" s="575"/>
      <c r="AKI22" s="575"/>
      <c r="AKJ22" s="575"/>
      <c r="AKK22" s="575"/>
      <c r="AKL22" s="575"/>
      <c r="AKM22" s="575"/>
      <c r="AKN22" s="575"/>
      <c r="AKO22" s="575"/>
      <c r="AKP22" s="575"/>
      <c r="AKQ22" s="575"/>
      <c r="AKR22" s="575"/>
      <c r="AKS22" s="575"/>
      <c r="AKT22" s="575"/>
      <c r="AKU22" s="575"/>
      <c r="AKV22" s="575"/>
      <c r="AKW22" s="575"/>
      <c r="AKX22" s="575"/>
      <c r="AKY22" s="575"/>
      <c r="AKZ22" s="575"/>
      <c r="ALA22" s="575"/>
      <c r="ALB22" s="575"/>
      <c r="ALC22" s="575"/>
      <c r="ALD22" s="575"/>
      <c r="ALE22" s="575"/>
      <c r="ALF22" s="575"/>
      <c r="ALG22" s="575"/>
      <c r="ALH22" s="575"/>
      <c r="ALI22" s="575"/>
      <c r="ALJ22" s="575"/>
      <c r="ALK22" s="575"/>
      <c r="ALL22" s="575"/>
      <c r="ALM22" s="575"/>
      <c r="ALN22" s="575"/>
      <c r="ALO22" s="575"/>
      <c r="ALP22" s="575"/>
      <c r="ALQ22" s="575"/>
      <c r="ALR22" s="575"/>
      <c r="ALS22" s="575"/>
      <c r="ALT22" s="575"/>
      <c r="ALU22" s="575"/>
      <c r="ALV22" s="575"/>
      <c r="ALW22" s="575"/>
      <c r="ALX22" s="575"/>
      <c r="ALY22" s="575"/>
      <c r="ALZ22" s="575"/>
      <c r="AMA22" s="575"/>
      <c r="AMB22" s="575"/>
      <c r="AMC22" s="575"/>
      <c r="AMD22" s="575"/>
      <c r="AME22" s="575"/>
      <c r="AMF22" s="575"/>
      <c r="AMG22" s="575"/>
      <c r="AMH22" s="575"/>
      <c r="AMI22" s="575"/>
      <c r="AMJ22" s="575"/>
      <c r="AMK22" s="575"/>
      <c r="AML22" s="575"/>
      <c r="AMM22" s="575"/>
      <c r="AMN22" s="575"/>
      <c r="AMO22" s="575"/>
      <c r="AMP22" s="575"/>
      <c r="AMQ22" s="575"/>
      <c r="AMR22" s="575"/>
      <c r="AMS22" s="575"/>
      <c r="AMT22" s="575"/>
      <c r="AMU22" s="575"/>
      <c r="AMV22" s="575"/>
      <c r="AMW22" s="575"/>
      <c r="AMX22" s="575"/>
      <c r="AMY22" s="575"/>
      <c r="AMZ22" s="575"/>
      <c r="ANA22" s="575"/>
      <c r="ANB22" s="575"/>
      <c r="ANC22" s="575"/>
      <c r="AND22" s="575"/>
      <c r="ANE22" s="575"/>
      <c r="ANF22" s="575"/>
      <c r="ANG22" s="575"/>
      <c r="ANH22" s="575"/>
      <c r="ANI22" s="575"/>
      <c r="ANJ22" s="575"/>
      <c r="ANK22" s="575"/>
      <c r="ANL22" s="575"/>
      <c r="ANM22" s="575"/>
      <c r="ANN22" s="575"/>
      <c r="ANO22" s="575"/>
      <c r="ANP22" s="575"/>
      <c r="ANQ22" s="575"/>
      <c r="ANR22" s="575"/>
      <c r="ANS22" s="575"/>
      <c r="ANT22" s="575"/>
      <c r="ANU22" s="575"/>
      <c r="ANV22" s="575"/>
      <c r="ANW22" s="575"/>
      <c r="ANX22" s="575"/>
      <c r="ANY22" s="575"/>
      <c r="ANZ22" s="575"/>
      <c r="AOA22" s="575"/>
      <c r="AOB22" s="575"/>
      <c r="AOC22" s="575"/>
      <c r="AOD22" s="575"/>
      <c r="AOE22" s="575"/>
      <c r="AOF22" s="575"/>
      <c r="AOG22" s="575"/>
      <c r="AOH22" s="575"/>
      <c r="AOI22" s="575"/>
      <c r="AOJ22" s="575"/>
      <c r="AOK22" s="575"/>
      <c r="AOL22" s="575"/>
      <c r="AOM22" s="575"/>
      <c r="AON22" s="575"/>
      <c r="AOO22" s="575"/>
      <c r="AOP22" s="575"/>
      <c r="AOQ22" s="575"/>
      <c r="AOR22" s="575"/>
      <c r="AOS22" s="575"/>
      <c r="AOT22" s="575"/>
      <c r="AOU22" s="575"/>
      <c r="AOV22" s="575"/>
      <c r="AOW22" s="575"/>
      <c r="AOX22" s="575"/>
      <c r="AOY22" s="575"/>
      <c r="AOZ22" s="575"/>
      <c r="APA22" s="575"/>
      <c r="APB22" s="575"/>
      <c r="APC22" s="575"/>
      <c r="APD22" s="575"/>
      <c r="APE22" s="575"/>
      <c r="APF22" s="575"/>
      <c r="APG22" s="575"/>
      <c r="APH22" s="575"/>
      <c r="API22" s="575"/>
      <c r="APJ22" s="575"/>
      <c r="APK22" s="575"/>
      <c r="APL22" s="575"/>
      <c r="APM22" s="575"/>
      <c r="APN22" s="575"/>
      <c r="APO22" s="575"/>
      <c r="APP22" s="575"/>
      <c r="APQ22" s="575"/>
      <c r="APR22" s="575"/>
      <c r="APS22" s="575"/>
      <c r="APT22" s="575"/>
      <c r="APU22" s="575"/>
      <c r="APV22" s="575"/>
      <c r="APW22" s="575"/>
      <c r="APX22" s="575"/>
      <c r="APY22" s="575"/>
      <c r="APZ22" s="575"/>
      <c r="AQA22" s="575"/>
      <c r="AQB22" s="575"/>
      <c r="AQC22" s="575"/>
      <c r="AQD22" s="575"/>
      <c r="AQE22" s="575"/>
      <c r="AQF22" s="575"/>
      <c r="AQG22" s="575"/>
      <c r="AQH22" s="575"/>
      <c r="AQI22" s="575"/>
      <c r="AQJ22" s="575"/>
      <c r="AQK22" s="575"/>
      <c r="AQL22" s="575"/>
      <c r="AQM22" s="575"/>
      <c r="AQN22" s="575"/>
      <c r="AQO22" s="575"/>
      <c r="AQP22" s="575"/>
      <c r="AQQ22" s="575"/>
      <c r="AQR22" s="575"/>
      <c r="AQS22" s="575"/>
      <c r="AQT22" s="575"/>
      <c r="AQU22" s="575"/>
      <c r="AQV22" s="575"/>
      <c r="AQW22" s="575"/>
      <c r="AQX22" s="575"/>
      <c r="AQY22" s="575"/>
      <c r="AQZ22" s="575"/>
      <c r="ARA22" s="575"/>
      <c r="ARB22" s="575"/>
      <c r="ARC22" s="575"/>
      <c r="ARD22" s="575"/>
      <c r="ARE22" s="575"/>
      <c r="ARF22" s="575"/>
      <c r="ARG22" s="575"/>
      <c r="ARH22" s="575"/>
      <c r="ARI22" s="575"/>
      <c r="ARJ22" s="575"/>
      <c r="ARK22" s="575"/>
      <c r="ARL22" s="575"/>
      <c r="ARM22" s="575"/>
      <c r="ARN22" s="575"/>
      <c r="ARO22" s="575"/>
      <c r="ARP22" s="575"/>
      <c r="ARQ22" s="575"/>
      <c r="ARR22" s="575"/>
      <c r="ARS22" s="575"/>
      <c r="ART22" s="575"/>
      <c r="ARU22" s="575"/>
      <c r="ARV22" s="575"/>
      <c r="ARW22" s="575"/>
      <c r="ARX22" s="575"/>
      <c r="ARY22" s="575"/>
      <c r="ARZ22" s="575"/>
      <c r="ASA22" s="575"/>
      <c r="ASB22" s="575"/>
      <c r="ASC22" s="575"/>
      <c r="ASD22" s="575"/>
      <c r="ASE22" s="575"/>
      <c r="ASF22" s="575"/>
      <c r="ASG22" s="575"/>
      <c r="ASH22" s="575"/>
      <c r="ASI22" s="575"/>
      <c r="ASJ22" s="575"/>
      <c r="ASK22" s="575"/>
      <c r="ASL22" s="575"/>
      <c r="ASM22" s="575"/>
      <c r="ASN22" s="575"/>
      <c r="ASO22" s="575"/>
      <c r="ASP22" s="575"/>
      <c r="ASQ22" s="575"/>
      <c r="ASR22" s="575"/>
      <c r="ASS22" s="575"/>
      <c r="AST22" s="575"/>
      <c r="ASU22" s="575"/>
      <c r="ASV22" s="575"/>
      <c r="ASW22" s="575"/>
      <c r="ASX22" s="575"/>
      <c r="ASY22" s="575"/>
      <c r="ASZ22" s="575"/>
      <c r="ATA22" s="575"/>
      <c r="ATB22" s="575"/>
      <c r="ATC22" s="575"/>
      <c r="ATD22" s="575"/>
      <c r="ATE22" s="575"/>
      <c r="ATF22" s="575"/>
      <c r="ATG22" s="575"/>
      <c r="ATH22" s="575"/>
      <c r="ATI22" s="575"/>
      <c r="ATJ22" s="575"/>
      <c r="ATK22" s="575"/>
      <c r="ATL22" s="575"/>
      <c r="ATM22" s="575"/>
      <c r="ATN22" s="575"/>
      <c r="ATO22" s="575"/>
      <c r="ATP22" s="575"/>
      <c r="ATQ22" s="575"/>
      <c r="ATR22" s="575"/>
      <c r="ATS22" s="575"/>
      <c r="ATT22" s="575"/>
      <c r="ATU22" s="575"/>
      <c r="ATV22" s="575"/>
      <c r="ATW22" s="575"/>
      <c r="ATX22" s="575"/>
      <c r="ATY22" s="575"/>
      <c r="ATZ22" s="575"/>
      <c r="AUA22" s="575"/>
      <c r="AUB22" s="575"/>
      <c r="AUC22" s="575"/>
      <c r="AUD22" s="575"/>
      <c r="AUE22" s="575"/>
      <c r="AUF22" s="575"/>
      <c r="AUG22" s="575"/>
      <c r="AUH22" s="575"/>
      <c r="AUI22" s="575"/>
      <c r="AUJ22" s="575"/>
      <c r="AUK22" s="575"/>
      <c r="AUL22" s="575"/>
      <c r="AUM22" s="575"/>
      <c r="AUN22" s="575"/>
      <c r="AUO22" s="575"/>
      <c r="AUP22" s="575"/>
      <c r="AUQ22" s="575"/>
      <c r="AUR22" s="575"/>
      <c r="AUS22" s="575"/>
      <c r="AUT22" s="575"/>
      <c r="AUU22" s="575"/>
      <c r="AUV22" s="575"/>
      <c r="AUW22" s="575"/>
      <c r="AUX22" s="575"/>
      <c r="AUY22" s="575"/>
      <c r="AUZ22" s="575"/>
      <c r="AVA22" s="575"/>
      <c r="AVB22" s="575"/>
      <c r="AVC22" s="575"/>
      <c r="AVD22" s="575"/>
      <c r="AVE22" s="575"/>
      <c r="AVF22" s="575"/>
      <c r="AVG22" s="575"/>
      <c r="AVH22" s="575"/>
      <c r="AVI22" s="575"/>
      <c r="AVJ22" s="575"/>
      <c r="AVK22" s="575"/>
      <c r="AVL22" s="575"/>
      <c r="AVM22" s="575"/>
      <c r="AVN22" s="575"/>
      <c r="AVO22" s="575"/>
      <c r="AVP22" s="575"/>
      <c r="AVQ22" s="575"/>
      <c r="AVR22" s="575"/>
      <c r="AVS22" s="575"/>
      <c r="AVT22" s="575"/>
      <c r="AVU22" s="575"/>
      <c r="AVV22" s="575"/>
      <c r="AVW22" s="575"/>
      <c r="AVX22" s="575"/>
      <c r="AVY22" s="575"/>
      <c r="AVZ22" s="575"/>
      <c r="AWA22" s="575"/>
      <c r="AWB22" s="575"/>
      <c r="AWC22" s="575"/>
      <c r="AWD22" s="575"/>
      <c r="AWE22" s="575"/>
      <c r="AWF22" s="575"/>
      <c r="AWG22" s="575"/>
      <c r="AWH22" s="575"/>
      <c r="AWI22" s="575"/>
      <c r="AWJ22" s="575"/>
      <c r="AWK22" s="575"/>
      <c r="AWL22" s="575"/>
      <c r="AWM22" s="575"/>
      <c r="AWN22" s="575"/>
      <c r="AWO22" s="575"/>
      <c r="AWP22" s="575"/>
      <c r="AWQ22" s="575"/>
      <c r="AWR22" s="575"/>
      <c r="AWS22" s="575"/>
      <c r="AWT22" s="575"/>
      <c r="AWU22" s="575"/>
      <c r="AWV22" s="575"/>
      <c r="AWW22" s="575"/>
      <c r="AWX22" s="575"/>
      <c r="AWY22" s="575"/>
      <c r="AWZ22" s="575"/>
      <c r="AXA22" s="575"/>
      <c r="AXB22" s="575"/>
      <c r="AXC22" s="575"/>
      <c r="AXD22" s="575"/>
      <c r="AXE22" s="575"/>
      <c r="AXF22" s="575"/>
      <c r="AXG22" s="575"/>
      <c r="AXH22" s="575"/>
      <c r="AXI22" s="575"/>
      <c r="AXJ22" s="575"/>
      <c r="AXK22" s="575"/>
      <c r="AXL22" s="575"/>
      <c r="AXM22" s="575"/>
      <c r="AXN22" s="575"/>
      <c r="AXO22" s="575"/>
      <c r="AXP22" s="575"/>
      <c r="AXQ22" s="575"/>
      <c r="AXR22" s="575"/>
      <c r="AXS22" s="575"/>
      <c r="AXT22" s="575"/>
      <c r="AXU22" s="575"/>
      <c r="AXV22" s="575"/>
      <c r="AXW22" s="575"/>
      <c r="AXX22" s="575"/>
      <c r="AXY22" s="575"/>
      <c r="AXZ22" s="575"/>
      <c r="AYA22" s="575"/>
      <c r="AYB22" s="575"/>
      <c r="AYC22" s="575"/>
      <c r="AYD22" s="575"/>
      <c r="AYE22" s="575"/>
      <c r="AYF22" s="575"/>
      <c r="AYG22" s="575"/>
      <c r="AYH22" s="575"/>
      <c r="AYI22" s="575"/>
      <c r="AYJ22" s="575"/>
      <c r="AYK22" s="575"/>
      <c r="AYL22" s="575"/>
      <c r="AYM22" s="575"/>
      <c r="AYN22" s="575"/>
      <c r="AYO22" s="575"/>
      <c r="AYP22" s="575"/>
      <c r="AYQ22" s="575"/>
      <c r="AYR22" s="575"/>
      <c r="AYS22" s="575"/>
      <c r="AYT22" s="575"/>
      <c r="AYU22" s="575"/>
      <c r="AYV22" s="575"/>
      <c r="AYW22" s="575"/>
      <c r="AYX22" s="575"/>
      <c r="AYY22" s="575"/>
      <c r="AYZ22" s="575"/>
      <c r="AZA22" s="575"/>
      <c r="AZB22" s="575"/>
      <c r="AZC22" s="575"/>
      <c r="AZD22" s="575"/>
      <c r="AZE22" s="575"/>
      <c r="AZF22" s="575"/>
      <c r="AZG22" s="575"/>
      <c r="AZH22" s="575"/>
      <c r="AZI22" s="575"/>
      <c r="AZJ22" s="575"/>
      <c r="AZK22" s="575"/>
      <c r="AZL22" s="575"/>
      <c r="AZM22" s="575"/>
      <c r="AZN22" s="575"/>
      <c r="AZO22" s="575"/>
      <c r="AZP22" s="575"/>
      <c r="AZQ22" s="575"/>
      <c r="AZR22" s="575"/>
      <c r="AZS22" s="575"/>
      <c r="AZT22" s="575"/>
      <c r="AZU22" s="575"/>
      <c r="AZV22" s="575"/>
      <c r="AZW22" s="575"/>
      <c r="AZX22" s="575"/>
      <c r="AZY22" s="575"/>
      <c r="AZZ22" s="575"/>
      <c r="BAA22" s="575"/>
      <c r="BAB22" s="575"/>
      <c r="BAC22" s="575"/>
      <c r="BAD22" s="575"/>
      <c r="BAE22" s="575"/>
      <c r="BAF22" s="575"/>
      <c r="BAG22" s="575"/>
      <c r="BAH22" s="575"/>
      <c r="BAI22" s="575"/>
      <c r="BAJ22" s="575"/>
      <c r="BAK22" s="575"/>
      <c r="BAL22" s="575"/>
      <c r="BAM22" s="575"/>
      <c r="BAN22" s="575"/>
      <c r="BAO22" s="575"/>
      <c r="BAP22" s="575"/>
      <c r="BAQ22" s="575"/>
      <c r="BAR22" s="575"/>
      <c r="BAS22" s="575"/>
      <c r="BAT22" s="575"/>
      <c r="BAU22" s="575"/>
      <c r="BAV22" s="575"/>
      <c r="BAW22" s="575"/>
      <c r="BAX22" s="575"/>
      <c r="BAY22" s="575"/>
      <c r="BAZ22" s="575"/>
      <c r="BBA22" s="575"/>
      <c r="BBB22" s="575"/>
      <c r="BBC22" s="575"/>
      <c r="BBD22" s="575"/>
      <c r="BBE22" s="575"/>
      <c r="BBF22" s="575"/>
      <c r="BBG22" s="575"/>
      <c r="BBH22" s="575"/>
      <c r="BBI22" s="575"/>
      <c r="BBJ22" s="575"/>
      <c r="BBK22" s="575"/>
      <c r="BBL22" s="575"/>
      <c r="BBM22" s="575"/>
      <c r="BBN22" s="575"/>
      <c r="BBO22" s="575"/>
      <c r="BBP22" s="575"/>
      <c r="BBQ22" s="575"/>
      <c r="BBR22" s="575"/>
      <c r="BBS22" s="575"/>
      <c r="BBT22" s="575"/>
      <c r="BBU22" s="575"/>
      <c r="BBV22" s="575"/>
      <c r="BBW22" s="575"/>
      <c r="BBX22" s="575"/>
      <c r="BBY22" s="575"/>
      <c r="BBZ22" s="575"/>
      <c r="BCA22" s="575"/>
      <c r="BCB22" s="575"/>
      <c r="BCC22" s="575"/>
      <c r="BCD22" s="575"/>
      <c r="BCE22" s="575"/>
      <c r="BCF22" s="575"/>
      <c r="BCG22" s="575"/>
      <c r="BCH22" s="575"/>
      <c r="BCI22" s="575"/>
      <c r="BCJ22" s="575"/>
      <c r="BCK22" s="575"/>
      <c r="BCL22" s="575"/>
      <c r="BCM22" s="575"/>
      <c r="BCN22" s="575"/>
      <c r="BCO22" s="575"/>
      <c r="BCP22" s="575"/>
      <c r="BCQ22" s="575"/>
      <c r="BCR22" s="575"/>
      <c r="BCS22" s="575"/>
      <c r="BCT22" s="575"/>
      <c r="BCU22" s="575"/>
      <c r="BCV22" s="575"/>
      <c r="BCW22" s="575"/>
      <c r="BCX22" s="575"/>
      <c r="BCY22" s="575"/>
      <c r="BCZ22" s="575"/>
      <c r="BDA22" s="575"/>
      <c r="BDB22" s="575"/>
      <c r="BDC22" s="575"/>
      <c r="BDD22" s="575"/>
      <c r="BDE22" s="575"/>
      <c r="BDF22" s="575"/>
      <c r="BDG22" s="575"/>
      <c r="BDH22" s="575"/>
      <c r="BDI22" s="575"/>
      <c r="BDJ22" s="575"/>
      <c r="BDK22" s="575"/>
      <c r="BDL22" s="575"/>
      <c r="BDM22" s="575"/>
      <c r="BDN22" s="575"/>
      <c r="BDO22" s="575"/>
      <c r="BDP22" s="575"/>
      <c r="BDQ22" s="575"/>
      <c r="BDR22" s="575"/>
      <c r="BDS22" s="575"/>
      <c r="BDT22" s="575"/>
    </row>
    <row r="23" spans="1:1476" x14ac:dyDescent="0.25">
      <c r="A23" s="608">
        <v>5424</v>
      </c>
      <c r="B23" s="609" t="s">
        <v>69</v>
      </c>
      <c r="C23" s="610">
        <v>597470.13</v>
      </c>
      <c r="D23" s="610">
        <v>77744.039999999994</v>
      </c>
      <c r="E23" s="610"/>
      <c r="F23" s="611"/>
      <c r="G23" s="610">
        <v>1174.0999999999999</v>
      </c>
      <c r="H23" s="610">
        <v>586.20000000000005</v>
      </c>
      <c r="I23" s="610">
        <v>38264.25</v>
      </c>
      <c r="J23" s="610">
        <v>-1499</v>
      </c>
      <c r="K23" s="610">
        <v>766</v>
      </c>
      <c r="L23" s="610">
        <v>53487.5</v>
      </c>
      <c r="M23" s="434">
        <f t="shared" si="0"/>
        <v>767993.22</v>
      </c>
      <c r="N23" s="612">
        <v>0</v>
      </c>
      <c r="O23" s="612">
        <v>646.20000000000005</v>
      </c>
      <c r="P23" s="612">
        <v>37391.75</v>
      </c>
      <c r="Q23" s="612">
        <v>6810</v>
      </c>
      <c r="R23" s="612">
        <v>39056.9</v>
      </c>
      <c r="S23" s="610">
        <v>183.96</v>
      </c>
      <c r="T23" s="543">
        <f t="shared" si="1"/>
        <v>852082.02999999991</v>
      </c>
      <c r="U23" s="575">
        <v>-111.48</v>
      </c>
      <c r="V23" s="612"/>
      <c r="W23" s="612">
        <v>0</v>
      </c>
      <c r="X23" s="624">
        <v>75.5</v>
      </c>
      <c r="Y23" s="631">
        <v>1</v>
      </c>
      <c r="Z23" s="628">
        <f>VLOOKUP(A23,'[2]2022 toutes communes'!$B$9:$D$317,3,FALSE)</f>
        <v>303</v>
      </c>
      <c r="AA23" s="617"/>
      <c r="AB23" s="618">
        <v>29894</v>
      </c>
      <c r="AC23" s="547">
        <f>AB23/VPI!R23</f>
        <v>2.9127213564704633</v>
      </c>
      <c r="AD23" s="548">
        <f t="shared" si="2"/>
        <v>56702</v>
      </c>
      <c r="AE23" s="547">
        <f>AD23/VPI!R23</f>
        <v>5.5247583580179374</v>
      </c>
      <c r="AF23" s="618">
        <v>86596</v>
      </c>
      <c r="AG23" s="618">
        <v>12298</v>
      </c>
      <c r="AH23" s="618">
        <v>42137</v>
      </c>
      <c r="AI23" s="627"/>
      <c r="AJ23" s="628">
        <v>48523</v>
      </c>
      <c r="AK23" s="547">
        <f>AJ23/VPI!R23</f>
        <v>4.7278376389916472</v>
      </c>
      <c r="AL23" s="548">
        <f t="shared" si="3"/>
        <v>15328</v>
      </c>
      <c r="AM23" s="547">
        <f>AL23/VPI!R23</f>
        <v>1.4934834064353804</v>
      </c>
      <c r="AN23" s="628">
        <v>63851</v>
      </c>
      <c r="AO23" s="627"/>
      <c r="AP23" s="629">
        <v>8.1183993602049487</v>
      </c>
      <c r="AR23" s="630">
        <v>0</v>
      </c>
    </row>
    <row r="24" spans="1:1476" x14ac:dyDescent="0.25">
      <c r="A24" s="608">
        <v>5425</v>
      </c>
      <c r="B24" s="609" t="s">
        <v>70</v>
      </c>
      <c r="C24" s="610">
        <v>2160647.2999999998</v>
      </c>
      <c r="D24" s="610">
        <v>271953.24</v>
      </c>
      <c r="E24" s="610"/>
      <c r="F24" s="611"/>
      <c r="G24" s="610">
        <v>78711.899999999994</v>
      </c>
      <c r="H24" s="610">
        <v>28924.400000000001</v>
      </c>
      <c r="I24" s="610"/>
      <c r="J24" s="610">
        <v>173871.27</v>
      </c>
      <c r="K24" s="610">
        <v>19403.400000000001</v>
      </c>
      <c r="L24" s="610">
        <v>127659.55</v>
      </c>
      <c r="M24" s="434">
        <f t="shared" si="0"/>
        <v>2861171.0599999996</v>
      </c>
      <c r="N24" s="612">
        <v>82325.3</v>
      </c>
      <c r="O24" s="612">
        <v>6176.3</v>
      </c>
      <c r="P24" s="612">
        <v>92313.600000000006</v>
      </c>
      <c r="Q24" s="612">
        <v>6954.73</v>
      </c>
      <c r="R24" s="612">
        <v>88751.2</v>
      </c>
      <c r="S24" s="610">
        <v>11248.55</v>
      </c>
      <c r="T24" s="543">
        <f t="shared" si="1"/>
        <v>3148940.7399999993</v>
      </c>
      <c r="U24" s="575">
        <v>-56647.21</v>
      </c>
      <c r="V24" s="612"/>
      <c r="W24" s="612">
        <v>-61.34</v>
      </c>
      <c r="X24" s="624">
        <v>69</v>
      </c>
      <c r="Y24" s="631">
        <v>0.57999999999999996</v>
      </c>
      <c r="Z24" s="628">
        <f>VLOOKUP(A24,'[2]2022 toutes communes'!$B$9:$D$317,3,FALSE)</f>
        <v>1683</v>
      </c>
      <c r="AA24" s="617"/>
      <c r="AB24" s="618">
        <v>159708</v>
      </c>
      <c r="AC24" s="547">
        <f>AB24/VPI!R24</f>
        <v>3.7802539565752444</v>
      </c>
      <c r="AD24" s="548">
        <f t="shared" si="2"/>
        <v>397446</v>
      </c>
      <c r="AE24" s="547">
        <f>AD24/VPI!R24</f>
        <v>9.4074612043542256</v>
      </c>
      <c r="AF24" s="618">
        <v>557154</v>
      </c>
      <c r="AG24" s="618">
        <v>160378</v>
      </c>
      <c r="AH24" s="618">
        <v>232482</v>
      </c>
      <c r="AI24" s="627"/>
      <c r="AJ24" s="628">
        <v>0</v>
      </c>
      <c r="AK24" s="547">
        <f>AJ24/VPI!R24</f>
        <v>0</v>
      </c>
      <c r="AL24" s="548">
        <f t="shared" si="3"/>
        <v>150905</v>
      </c>
      <c r="AM24" s="547">
        <f>AL24/VPI!R24</f>
        <v>3.5718888428694071</v>
      </c>
      <c r="AN24" s="628">
        <v>150905</v>
      </c>
      <c r="AO24" s="627"/>
      <c r="AP24" s="629">
        <v>8.0471159904390568</v>
      </c>
      <c r="AR24" s="630">
        <v>0</v>
      </c>
    </row>
    <row r="25" spans="1:1476" s="632" customFormat="1" x14ac:dyDescent="0.25">
      <c r="A25" s="608">
        <v>5426</v>
      </c>
      <c r="B25" s="609" t="s">
        <v>65</v>
      </c>
      <c r="C25" s="610">
        <v>1920880.01</v>
      </c>
      <c r="D25" s="610">
        <v>681331.04</v>
      </c>
      <c r="E25" s="610"/>
      <c r="F25" s="611"/>
      <c r="G25" s="610">
        <v>21884.6</v>
      </c>
      <c r="H25" s="610">
        <v>3082.55</v>
      </c>
      <c r="I25" s="610">
        <v>1066523.6599999999</v>
      </c>
      <c r="J25" s="610">
        <v>35545.279999999999</v>
      </c>
      <c r="K25" s="610">
        <v>2681.7</v>
      </c>
      <c r="L25" s="610">
        <v>329767.59999999998</v>
      </c>
      <c r="M25" s="434">
        <f t="shared" si="0"/>
        <v>4061696.4399999995</v>
      </c>
      <c r="N25" s="612">
        <v>14437.65</v>
      </c>
      <c r="O25" s="612">
        <v>116610.8</v>
      </c>
      <c r="P25" s="612">
        <v>220528</v>
      </c>
      <c r="Q25" s="612"/>
      <c r="R25" s="612">
        <v>372045.25</v>
      </c>
      <c r="S25" s="610">
        <v>2609.1999999999998</v>
      </c>
      <c r="T25" s="543">
        <f t="shared" si="1"/>
        <v>4787927.3399999989</v>
      </c>
      <c r="U25" s="575">
        <v>-10082.870000000001</v>
      </c>
      <c r="V25" s="612"/>
      <c r="W25" s="612">
        <v>-3803.7</v>
      </c>
      <c r="X25" s="624">
        <v>64.5</v>
      </c>
      <c r="Y25" s="631">
        <v>1.2</v>
      </c>
      <c r="Z25" s="628">
        <f>VLOOKUP(A25,'[2]2022 toutes communes'!$B$9:$D$317,3,FALSE)</f>
        <v>506</v>
      </c>
      <c r="AA25" s="617"/>
      <c r="AB25" s="618"/>
      <c r="AC25" s="547">
        <f>AB25/VPI!R25</f>
        <v>0</v>
      </c>
      <c r="AD25" s="548">
        <f t="shared" si="2"/>
        <v>0</v>
      </c>
      <c r="AE25" s="547">
        <f>AD25/VPI!R25</f>
        <v>0</v>
      </c>
      <c r="AF25" s="618"/>
      <c r="AG25" s="618"/>
      <c r="AH25" s="618"/>
      <c r="AI25" s="627"/>
      <c r="AJ25" s="628"/>
      <c r="AK25" s="547">
        <f>AJ25/VPI!R25</f>
        <v>0</v>
      </c>
      <c r="AL25" s="548">
        <f t="shared" si="3"/>
        <v>0</v>
      </c>
      <c r="AM25" s="547">
        <f>AL25/VPI!R25</f>
        <v>0</v>
      </c>
      <c r="AN25" s="628"/>
      <c r="AO25" s="627"/>
      <c r="AP25" s="629">
        <v>42.339138470643057</v>
      </c>
      <c r="AQ25" s="575"/>
      <c r="AR25" s="630">
        <v>0</v>
      </c>
      <c r="AS25" s="575"/>
      <c r="AT25" s="575"/>
      <c r="AU25" s="575"/>
      <c r="AV25" s="575"/>
      <c r="AW25" s="575"/>
      <c r="AX25" s="575"/>
      <c r="AY25" s="575"/>
      <c r="AZ25" s="575"/>
      <c r="BA25" s="575"/>
      <c r="BB25" s="575"/>
      <c r="BC25" s="575"/>
      <c r="BD25" s="575"/>
      <c r="BE25" s="575"/>
      <c r="BF25" s="575"/>
      <c r="BG25" s="575"/>
      <c r="BH25" s="575"/>
      <c r="BI25" s="575"/>
      <c r="BJ25" s="575"/>
      <c r="BK25" s="575"/>
      <c r="BL25" s="575"/>
      <c r="BM25" s="575"/>
      <c r="BN25" s="575"/>
      <c r="BO25" s="575"/>
      <c r="BP25" s="575"/>
      <c r="BQ25" s="575"/>
      <c r="BR25" s="575"/>
      <c r="BS25" s="575"/>
      <c r="BT25" s="575"/>
      <c r="BU25" s="575"/>
      <c r="BV25" s="575"/>
      <c r="BW25" s="575"/>
      <c r="BX25" s="575"/>
      <c r="BY25" s="575"/>
      <c r="BZ25" s="575"/>
      <c r="CA25" s="575"/>
      <c r="CB25" s="575"/>
      <c r="CC25" s="575"/>
      <c r="CD25" s="575"/>
      <c r="CE25" s="575"/>
      <c r="CF25" s="575"/>
      <c r="CG25" s="575"/>
      <c r="CH25" s="575"/>
      <c r="CI25" s="575"/>
      <c r="CJ25" s="575"/>
      <c r="CK25" s="575"/>
      <c r="CL25" s="575"/>
      <c r="CM25" s="575"/>
      <c r="CN25" s="575"/>
      <c r="CO25" s="575"/>
      <c r="CP25" s="575"/>
      <c r="CQ25" s="575"/>
      <c r="CR25" s="575"/>
      <c r="CS25" s="575"/>
      <c r="CT25" s="575"/>
      <c r="CU25" s="575"/>
      <c r="CV25" s="575"/>
      <c r="CW25" s="575"/>
      <c r="CX25" s="575"/>
      <c r="CY25" s="575"/>
      <c r="CZ25" s="575"/>
      <c r="DA25" s="575"/>
      <c r="DB25" s="575"/>
      <c r="DC25" s="575"/>
      <c r="DD25" s="575"/>
      <c r="DE25" s="575"/>
      <c r="DF25" s="575"/>
      <c r="DG25" s="575"/>
      <c r="DH25" s="575"/>
      <c r="DI25" s="575"/>
      <c r="DJ25" s="575"/>
      <c r="DK25" s="575"/>
      <c r="DL25" s="575"/>
      <c r="DM25" s="575"/>
      <c r="DN25" s="575"/>
      <c r="DO25" s="575"/>
      <c r="DP25" s="575"/>
      <c r="DQ25" s="575"/>
      <c r="DR25" s="575"/>
      <c r="DS25" s="575"/>
      <c r="DT25" s="575"/>
      <c r="DU25" s="575"/>
      <c r="DV25" s="575"/>
      <c r="DW25" s="575"/>
      <c r="DX25" s="575"/>
      <c r="DY25" s="575"/>
      <c r="DZ25" s="575"/>
      <c r="EA25" s="575"/>
      <c r="EB25" s="575"/>
      <c r="EC25" s="575"/>
      <c r="ED25" s="575"/>
      <c r="EE25" s="575"/>
      <c r="EF25" s="575"/>
      <c r="EG25" s="575"/>
      <c r="EH25" s="575"/>
      <c r="EI25" s="575"/>
      <c r="EJ25" s="575"/>
      <c r="EK25" s="575"/>
      <c r="EL25" s="575"/>
      <c r="EM25" s="575"/>
      <c r="EN25" s="575"/>
      <c r="EO25" s="575"/>
      <c r="EP25" s="575"/>
      <c r="EQ25" s="575"/>
      <c r="ER25" s="575"/>
      <c r="ES25" s="575"/>
      <c r="ET25" s="575"/>
      <c r="EU25" s="575"/>
      <c r="EV25" s="575"/>
      <c r="EW25" s="575"/>
      <c r="EX25" s="575"/>
      <c r="EY25" s="575"/>
      <c r="EZ25" s="575"/>
      <c r="FA25" s="575"/>
      <c r="FB25" s="575"/>
      <c r="FC25" s="575"/>
      <c r="FD25" s="575"/>
      <c r="FE25" s="575"/>
      <c r="FF25" s="575"/>
      <c r="FG25" s="575"/>
      <c r="FH25" s="575"/>
      <c r="FI25" s="575"/>
      <c r="FJ25" s="575"/>
      <c r="FK25" s="575"/>
      <c r="FL25" s="575"/>
      <c r="FM25" s="575"/>
      <c r="FN25" s="575"/>
      <c r="FO25" s="575"/>
      <c r="FP25" s="575"/>
      <c r="FQ25" s="575"/>
      <c r="FR25" s="575"/>
      <c r="FS25" s="575"/>
      <c r="FT25" s="575"/>
      <c r="FU25" s="575"/>
      <c r="FV25" s="575"/>
      <c r="FW25" s="575"/>
      <c r="FX25" s="575"/>
      <c r="FY25" s="575"/>
      <c r="FZ25" s="575"/>
      <c r="GA25" s="575"/>
      <c r="GB25" s="575"/>
      <c r="GC25" s="575"/>
      <c r="GD25" s="575"/>
      <c r="GE25" s="575"/>
      <c r="GF25" s="575"/>
      <c r="GG25" s="575"/>
      <c r="GH25" s="575"/>
      <c r="GI25" s="575"/>
      <c r="GJ25" s="575"/>
      <c r="GK25" s="575"/>
      <c r="GL25" s="575"/>
      <c r="GM25" s="575"/>
      <c r="GN25" s="575"/>
      <c r="GO25" s="575"/>
      <c r="GP25" s="575"/>
      <c r="GQ25" s="575"/>
      <c r="GR25" s="575"/>
      <c r="GS25" s="575"/>
      <c r="GT25" s="575"/>
      <c r="GU25" s="575"/>
      <c r="GV25" s="575"/>
      <c r="GW25" s="575"/>
      <c r="GX25" s="575"/>
      <c r="GY25" s="575"/>
      <c r="GZ25" s="575"/>
      <c r="HA25" s="575"/>
      <c r="HB25" s="575"/>
      <c r="HC25" s="575"/>
      <c r="HD25" s="575"/>
      <c r="HE25" s="575"/>
      <c r="HF25" s="575"/>
      <c r="HG25" s="575"/>
      <c r="HH25" s="575"/>
      <c r="HI25" s="575"/>
      <c r="HJ25" s="575"/>
      <c r="HK25" s="575"/>
      <c r="HL25" s="575"/>
      <c r="HM25" s="575"/>
      <c r="HN25" s="575"/>
      <c r="HO25" s="575"/>
      <c r="HP25" s="575"/>
      <c r="HQ25" s="575"/>
      <c r="HR25" s="575"/>
      <c r="HS25" s="575"/>
      <c r="HT25" s="575"/>
      <c r="HU25" s="575"/>
      <c r="HV25" s="575"/>
      <c r="HW25" s="575"/>
      <c r="HX25" s="575"/>
      <c r="HY25" s="575"/>
      <c r="HZ25" s="575"/>
      <c r="IA25" s="575"/>
      <c r="IB25" s="575"/>
      <c r="IC25" s="575"/>
      <c r="ID25" s="575"/>
      <c r="IE25" s="575"/>
      <c r="IF25" s="575"/>
      <c r="IG25" s="575"/>
      <c r="IH25" s="575"/>
      <c r="II25" s="575"/>
      <c r="IJ25" s="575"/>
      <c r="IK25" s="575"/>
      <c r="IL25" s="575"/>
      <c r="IM25" s="575"/>
      <c r="IN25" s="575"/>
      <c r="IO25" s="575"/>
      <c r="IP25" s="575"/>
      <c r="IQ25" s="575"/>
      <c r="IR25" s="575"/>
      <c r="IS25" s="575"/>
      <c r="IT25" s="575"/>
      <c r="IU25" s="575"/>
      <c r="IV25" s="575"/>
      <c r="IW25" s="575"/>
      <c r="IX25" s="575"/>
      <c r="IY25" s="575"/>
      <c r="IZ25" s="575"/>
      <c r="JA25" s="575"/>
      <c r="JB25" s="575"/>
      <c r="JC25" s="575"/>
      <c r="JD25" s="575"/>
      <c r="JE25" s="575"/>
      <c r="JF25" s="575"/>
      <c r="JG25" s="575"/>
      <c r="JH25" s="575"/>
      <c r="JI25" s="575"/>
      <c r="JJ25" s="575"/>
      <c r="JK25" s="575"/>
      <c r="JL25" s="575"/>
      <c r="JM25" s="575"/>
      <c r="JN25" s="575"/>
      <c r="JO25" s="575"/>
      <c r="JP25" s="575"/>
      <c r="JQ25" s="575"/>
      <c r="JR25" s="575"/>
      <c r="JS25" s="575"/>
      <c r="JT25" s="575"/>
      <c r="JU25" s="575"/>
      <c r="JV25" s="575"/>
      <c r="JW25" s="575"/>
      <c r="JX25" s="575"/>
      <c r="JY25" s="575"/>
      <c r="JZ25" s="575"/>
      <c r="KA25" s="575"/>
      <c r="KB25" s="575"/>
      <c r="KC25" s="575"/>
      <c r="KD25" s="575"/>
      <c r="KE25" s="575"/>
      <c r="KF25" s="575"/>
      <c r="KG25" s="575"/>
      <c r="KH25" s="575"/>
      <c r="KI25" s="575"/>
      <c r="KJ25" s="575"/>
      <c r="KK25" s="575"/>
      <c r="KL25" s="575"/>
      <c r="KM25" s="575"/>
      <c r="KN25" s="575"/>
      <c r="KO25" s="575"/>
      <c r="KP25" s="575"/>
      <c r="KQ25" s="575"/>
      <c r="KR25" s="575"/>
      <c r="KS25" s="575"/>
      <c r="KT25" s="575"/>
      <c r="KU25" s="575"/>
      <c r="KV25" s="575"/>
      <c r="KW25" s="575"/>
      <c r="KX25" s="575"/>
      <c r="KY25" s="575"/>
      <c r="KZ25" s="575"/>
      <c r="LA25" s="575"/>
      <c r="LB25" s="575"/>
      <c r="LC25" s="575"/>
      <c r="LD25" s="575"/>
      <c r="LE25" s="575"/>
      <c r="LF25" s="575"/>
      <c r="LG25" s="575"/>
      <c r="LH25" s="575"/>
      <c r="LI25" s="575"/>
      <c r="LJ25" s="575"/>
      <c r="LK25" s="575"/>
      <c r="LL25" s="575"/>
      <c r="LM25" s="575"/>
      <c r="LN25" s="575"/>
      <c r="LO25" s="575"/>
      <c r="LP25" s="575"/>
      <c r="LQ25" s="575"/>
      <c r="LR25" s="575"/>
      <c r="LS25" s="575"/>
      <c r="LT25" s="575"/>
      <c r="LU25" s="575"/>
      <c r="LV25" s="575"/>
      <c r="LW25" s="575"/>
      <c r="LX25" s="575"/>
      <c r="LY25" s="575"/>
      <c r="LZ25" s="575"/>
      <c r="MA25" s="575"/>
      <c r="MB25" s="575"/>
      <c r="MC25" s="575"/>
      <c r="MD25" s="575"/>
      <c r="ME25" s="575"/>
      <c r="MF25" s="575"/>
      <c r="MG25" s="575"/>
      <c r="MH25" s="575"/>
      <c r="MI25" s="575"/>
      <c r="MJ25" s="575"/>
      <c r="MK25" s="575"/>
      <c r="ML25" s="575"/>
      <c r="MM25" s="575"/>
      <c r="MN25" s="575"/>
      <c r="MO25" s="575"/>
      <c r="MP25" s="575"/>
      <c r="MQ25" s="575"/>
      <c r="MR25" s="575"/>
      <c r="MS25" s="575"/>
      <c r="MT25" s="575"/>
      <c r="MU25" s="575"/>
      <c r="MV25" s="575"/>
      <c r="MW25" s="575"/>
      <c r="MX25" s="575"/>
      <c r="MY25" s="575"/>
      <c r="MZ25" s="575"/>
      <c r="NA25" s="575"/>
      <c r="NB25" s="575"/>
      <c r="NC25" s="575"/>
      <c r="ND25" s="575"/>
      <c r="NE25" s="575"/>
      <c r="NF25" s="575"/>
      <c r="NG25" s="575"/>
      <c r="NH25" s="575"/>
      <c r="NI25" s="575"/>
      <c r="NJ25" s="575"/>
      <c r="NK25" s="575"/>
      <c r="NL25" s="575"/>
      <c r="NM25" s="575"/>
      <c r="NN25" s="575"/>
      <c r="NO25" s="575"/>
      <c r="NP25" s="575"/>
      <c r="NQ25" s="575"/>
      <c r="NR25" s="575"/>
      <c r="NS25" s="575"/>
      <c r="NT25" s="575"/>
      <c r="NU25" s="575"/>
      <c r="NV25" s="575"/>
      <c r="NW25" s="575"/>
      <c r="NX25" s="575"/>
      <c r="NY25" s="575"/>
      <c r="NZ25" s="575"/>
      <c r="OA25" s="575"/>
      <c r="OB25" s="575"/>
      <c r="OC25" s="575"/>
      <c r="OD25" s="575"/>
      <c r="OE25" s="575"/>
      <c r="OF25" s="575"/>
      <c r="OG25" s="575"/>
      <c r="OH25" s="575"/>
      <c r="OI25" s="575"/>
      <c r="OJ25" s="575"/>
      <c r="OK25" s="575"/>
      <c r="OL25" s="575"/>
      <c r="OM25" s="575"/>
      <c r="ON25" s="575"/>
      <c r="OO25" s="575"/>
      <c r="OP25" s="575"/>
      <c r="OQ25" s="575"/>
      <c r="OR25" s="575"/>
      <c r="OS25" s="575"/>
      <c r="OT25" s="575"/>
      <c r="OU25" s="575"/>
      <c r="OV25" s="575"/>
      <c r="OW25" s="575"/>
      <c r="OX25" s="575"/>
      <c r="OY25" s="575"/>
      <c r="OZ25" s="575"/>
      <c r="PA25" s="575"/>
      <c r="PB25" s="575"/>
      <c r="PC25" s="575"/>
      <c r="PD25" s="575"/>
      <c r="PE25" s="575"/>
      <c r="PF25" s="575"/>
      <c r="PG25" s="575"/>
      <c r="PH25" s="575"/>
      <c r="PI25" s="575"/>
      <c r="PJ25" s="575"/>
      <c r="PK25" s="575"/>
      <c r="PL25" s="575"/>
      <c r="PM25" s="575"/>
      <c r="PN25" s="575"/>
      <c r="PO25" s="575"/>
      <c r="PP25" s="575"/>
      <c r="PQ25" s="575"/>
      <c r="PR25" s="575"/>
      <c r="PS25" s="575"/>
      <c r="PT25" s="575"/>
      <c r="PU25" s="575"/>
      <c r="PV25" s="575"/>
      <c r="PW25" s="575"/>
      <c r="PX25" s="575"/>
      <c r="PY25" s="575"/>
      <c r="PZ25" s="575"/>
      <c r="QA25" s="575"/>
      <c r="QB25" s="575"/>
      <c r="QC25" s="575"/>
      <c r="QD25" s="575"/>
      <c r="QE25" s="575"/>
      <c r="QF25" s="575"/>
      <c r="QG25" s="575"/>
      <c r="QH25" s="575"/>
      <c r="QI25" s="575"/>
      <c r="QJ25" s="575"/>
      <c r="QK25" s="575"/>
      <c r="QL25" s="575"/>
      <c r="QM25" s="575"/>
      <c r="QN25" s="575"/>
      <c r="QO25" s="575"/>
      <c r="QP25" s="575"/>
      <c r="QQ25" s="575"/>
      <c r="QR25" s="575"/>
      <c r="QS25" s="575"/>
      <c r="QT25" s="575"/>
      <c r="QU25" s="575"/>
      <c r="QV25" s="575"/>
      <c r="QW25" s="575"/>
      <c r="QX25" s="575"/>
      <c r="QY25" s="575"/>
      <c r="QZ25" s="575"/>
      <c r="RA25" s="575"/>
      <c r="RB25" s="575"/>
      <c r="RC25" s="575"/>
      <c r="RD25" s="575"/>
      <c r="RE25" s="575"/>
      <c r="RF25" s="575"/>
      <c r="RG25" s="575"/>
      <c r="RH25" s="575"/>
      <c r="RI25" s="575"/>
      <c r="RJ25" s="575"/>
      <c r="RK25" s="575"/>
      <c r="RL25" s="575"/>
      <c r="RM25" s="575"/>
      <c r="RN25" s="575"/>
      <c r="RO25" s="575"/>
      <c r="RP25" s="575"/>
      <c r="RQ25" s="575"/>
      <c r="RR25" s="575"/>
      <c r="RS25" s="575"/>
      <c r="RT25" s="575"/>
      <c r="RU25" s="575"/>
      <c r="RV25" s="575"/>
      <c r="RW25" s="575"/>
      <c r="RX25" s="575"/>
      <c r="RY25" s="575"/>
      <c r="RZ25" s="575"/>
      <c r="SA25" s="575"/>
      <c r="SB25" s="575"/>
      <c r="SC25" s="575"/>
      <c r="SD25" s="575"/>
      <c r="SE25" s="575"/>
      <c r="SF25" s="575"/>
      <c r="SG25" s="575"/>
      <c r="SH25" s="575"/>
      <c r="SI25" s="575"/>
      <c r="SJ25" s="575"/>
      <c r="SK25" s="575"/>
      <c r="SL25" s="575"/>
      <c r="SM25" s="575"/>
      <c r="SN25" s="575"/>
      <c r="SO25" s="575"/>
      <c r="SP25" s="575"/>
      <c r="SQ25" s="575"/>
      <c r="SR25" s="575"/>
      <c r="SS25" s="575"/>
      <c r="ST25" s="575"/>
      <c r="SU25" s="575"/>
      <c r="SV25" s="575"/>
      <c r="SW25" s="575"/>
      <c r="SX25" s="575"/>
      <c r="SY25" s="575"/>
      <c r="SZ25" s="575"/>
      <c r="TA25" s="575"/>
      <c r="TB25" s="575"/>
      <c r="TC25" s="575"/>
      <c r="TD25" s="575"/>
      <c r="TE25" s="575"/>
      <c r="TF25" s="575"/>
      <c r="TG25" s="575"/>
      <c r="TH25" s="575"/>
      <c r="TI25" s="575"/>
      <c r="TJ25" s="575"/>
      <c r="TK25" s="575"/>
      <c r="TL25" s="575"/>
      <c r="TM25" s="575"/>
      <c r="TN25" s="575"/>
      <c r="TO25" s="575"/>
      <c r="TP25" s="575"/>
      <c r="TQ25" s="575"/>
      <c r="TR25" s="575"/>
      <c r="TS25" s="575"/>
      <c r="TT25" s="575"/>
      <c r="TU25" s="575"/>
      <c r="TV25" s="575"/>
      <c r="TW25" s="575"/>
      <c r="TX25" s="575"/>
      <c r="TY25" s="575"/>
      <c r="TZ25" s="575"/>
      <c r="UA25" s="575"/>
      <c r="UB25" s="575"/>
      <c r="UC25" s="575"/>
      <c r="UD25" s="575"/>
      <c r="UE25" s="575"/>
      <c r="UF25" s="575"/>
      <c r="UG25" s="575"/>
      <c r="UH25" s="575"/>
      <c r="UI25" s="575"/>
      <c r="UJ25" s="575"/>
      <c r="UK25" s="575"/>
      <c r="UL25" s="575"/>
      <c r="UM25" s="575"/>
      <c r="UN25" s="575"/>
      <c r="UO25" s="575"/>
      <c r="UP25" s="575"/>
      <c r="UQ25" s="575"/>
      <c r="UR25" s="575"/>
      <c r="US25" s="575"/>
      <c r="UT25" s="575"/>
      <c r="UU25" s="575"/>
      <c r="UV25" s="575"/>
      <c r="UW25" s="575"/>
      <c r="UX25" s="575"/>
      <c r="UY25" s="575"/>
      <c r="UZ25" s="575"/>
      <c r="VA25" s="575"/>
      <c r="VB25" s="575"/>
      <c r="VC25" s="575"/>
      <c r="VD25" s="575"/>
      <c r="VE25" s="575"/>
      <c r="VF25" s="575"/>
      <c r="VG25" s="575"/>
      <c r="VH25" s="575"/>
      <c r="VI25" s="575"/>
      <c r="VJ25" s="575"/>
      <c r="VK25" s="575"/>
      <c r="VL25" s="575"/>
      <c r="VM25" s="575"/>
      <c r="VN25" s="575"/>
      <c r="VO25" s="575"/>
      <c r="VP25" s="575"/>
      <c r="VQ25" s="575"/>
      <c r="VR25" s="575"/>
      <c r="VS25" s="575"/>
      <c r="VT25" s="575"/>
      <c r="VU25" s="575"/>
      <c r="VV25" s="575"/>
      <c r="VW25" s="575"/>
      <c r="VX25" s="575"/>
      <c r="VY25" s="575"/>
      <c r="VZ25" s="575"/>
      <c r="WA25" s="575"/>
      <c r="WB25" s="575"/>
      <c r="WC25" s="575"/>
      <c r="WD25" s="575"/>
      <c r="WE25" s="575"/>
      <c r="WF25" s="575"/>
      <c r="WG25" s="575"/>
      <c r="WH25" s="575"/>
      <c r="WI25" s="575"/>
      <c r="WJ25" s="575"/>
      <c r="WK25" s="575"/>
      <c r="WL25" s="575"/>
      <c r="WM25" s="575"/>
      <c r="WN25" s="575"/>
      <c r="WO25" s="575"/>
      <c r="WP25" s="575"/>
      <c r="WQ25" s="575"/>
      <c r="WR25" s="575"/>
      <c r="WS25" s="575"/>
      <c r="WT25" s="575"/>
      <c r="WU25" s="575"/>
      <c r="WV25" s="575"/>
      <c r="WW25" s="575"/>
      <c r="WX25" s="575"/>
      <c r="WY25" s="575"/>
      <c r="WZ25" s="575"/>
      <c r="XA25" s="575"/>
      <c r="XB25" s="575"/>
      <c r="XC25" s="575"/>
      <c r="XD25" s="575"/>
      <c r="XE25" s="575"/>
      <c r="XF25" s="575"/>
      <c r="XG25" s="575"/>
      <c r="XH25" s="575"/>
      <c r="XI25" s="575"/>
      <c r="XJ25" s="575"/>
      <c r="XK25" s="575"/>
      <c r="XL25" s="575"/>
      <c r="XM25" s="575"/>
      <c r="XN25" s="575"/>
      <c r="XO25" s="575"/>
      <c r="XP25" s="575"/>
      <c r="XQ25" s="575"/>
      <c r="XR25" s="575"/>
      <c r="XS25" s="575"/>
      <c r="XT25" s="575"/>
      <c r="XU25" s="575"/>
      <c r="XV25" s="575"/>
      <c r="XW25" s="575"/>
      <c r="XX25" s="575"/>
      <c r="XY25" s="575"/>
      <c r="XZ25" s="575"/>
      <c r="YA25" s="575"/>
      <c r="YB25" s="575"/>
      <c r="YC25" s="575"/>
      <c r="YD25" s="575"/>
      <c r="YE25" s="575"/>
      <c r="YF25" s="575"/>
      <c r="YG25" s="575"/>
      <c r="YH25" s="575"/>
      <c r="YI25" s="575"/>
      <c r="YJ25" s="575"/>
      <c r="YK25" s="575"/>
      <c r="YL25" s="575"/>
      <c r="YM25" s="575"/>
      <c r="YN25" s="575"/>
      <c r="YO25" s="575"/>
      <c r="YP25" s="575"/>
      <c r="YQ25" s="575"/>
      <c r="YR25" s="575"/>
      <c r="YS25" s="575"/>
      <c r="YT25" s="575"/>
      <c r="YU25" s="575"/>
      <c r="YV25" s="575"/>
      <c r="YW25" s="575"/>
      <c r="YX25" s="575"/>
      <c r="YY25" s="575"/>
      <c r="YZ25" s="575"/>
      <c r="ZA25" s="575"/>
      <c r="ZB25" s="575"/>
      <c r="ZC25" s="575"/>
      <c r="ZD25" s="575"/>
      <c r="ZE25" s="575"/>
      <c r="ZF25" s="575"/>
      <c r="ZG25" s="575"/>
      <c r="ZH25" s="575"/>
      <c r="ZI25" s="575"/>
      <c r="ZJ25" s="575"/>
      <c r="ZK25" s="575"/>
      <c r="ZL25" s="575"/>
      <c r="ZM25" s="575"/>
      <c r="ZN25" s="575"/>
      <c r="ZO25" s="575"/>
      <c r="ZP25" s="575"/>
      <c r="ZQ25" s="575"/>
      <c r="ZR25" s="575"/>
      <c r="ZS25" s="575"/>
      <c r="ZT25" s="575"/>
      <c r="ZU25" s="575"/>
      <c r="ZV25" s="575"/>
      <c r="ZW25" s="575"/>
      <c r="ZX25" s="575"/>
      <c r="ZY25" s="575"/>
      <c r="ZZ25" s="575"/>
      <c r="AAA25" s="575"/>
      <c r="AAB25" s="575"/>
      <c r="AAC25" s="575"/>
      <c r="AAD25" s="575"/>
      <c r="AAE25" s="575"/>
      <c r="AAF25" s="575"/>
      <c r="AAG25" s="575"/>
      <c r="AAH25" s="575"/>
      <c r="AAI25" s="575"/>
      <c r="AAJ25" s="575"/>
      <c r="AAK25" s="575"/>
      <c r="AAL25" s="575"/>
      <c r="AAM25" s="575"/>
      <c r="AAN25" s="575"/>
      <c r="AAO25" s="575"/>
      <c r="AAP25" s="575"/>
      <c r="AAQ25" s="575"/>
      <c r="AAR25" s="575"/>
      <c r="AAS25" s="575"/>
      <c r="AAT25" s="575"/>
      <c r="AAU25" s="575"/>
      <c r="AAV25" s="575"/>
      <c r="AAW25" s="575"/>
      <c r="AAX25" s="575"/>
      <c r="AAY25" s="575"/>
      <c r="AAZ25" s="575"/>
      <c r="ABA25" s="575"/>
      <c r="ABB25" s="575"/>
      <c r="ABC25" s="575"/>
      <c r="ABD25" s="575"/>
      <c r="ABE25" s="575"/>
      <c r="ABF25" s="575"/>
      <c r="ABG25" s="575"/>
      <c r="ABH25" s="575"/>
      <c r="ABI25" s="575"/>
      <c r="ABJ25" s="575"/>
      <c r="ABK25" s="575"/>
      <c r="ABL25" s="575"/>
      <c r="ABM25" s="575"/>
      <c r="ABN25" s="575"/>
      <c r="ABO25" s="575"/>
      <c r="ABP25" s="575"/>
      <c r="ABQ25" s="575"/>
      <c r="ABR25" s="575"/>
      <c r="ABS25" s="575"/>
      <c r="ABT25" s="575"/>
      <c r="ABU25" s="575"/>
      <c r="ABV25" s="575"/>
      <c r="ABW25" s="575"/>
      <c r="ABX25" s="575"/>
      <c r="ABY25" s="575"/>
      <c r="ABZ25" s="575"/>
      <c r="ACA25" s="575"/>
      <c r="ACB25" s="575"/>
      <c r="ACC25" s="575"/>
      <c r="ACD25" s="575"/>
      <c r="ACE25" s="575"/>
      <c r="ACF25" s="575"/>
      <c r="ACG25" s="575"/>
      <c r="ACH25" s="575"/>
      <c r="ACI25" s="575"/>
      <c r="ACJ25" s="575"/>
      <c r="ACK25" s="575"/>
      <c r="ACL25" s="575"/>
      <c r="ACM25" s="575"/>
      <c r="ACN25" s="575"/>
      <c r="ACO25" s="575"/>
      <c r="ACP25" s="575"/>
      <c r="ACQ25" s="575"/>
      <c r="ACR25" s="575"/>
      <c r="ACS25" s="575"/>
      <c r="ACT25" s="575"/>
      <c r="ACU25" s="575"/>
      <c r="ACV25" s="575"/>
      <c r="ACW25" s="575"/>
      <c r="ACX25" s="575"/>
      <c r="ACY25" s="575"/>
      <c r="ACZ25" s="575"/>
      <c r="ADA25" s="575"/>
      <c r="ADB25" s="575"/>
      <c r="ADC25" s="575"/>
      <c r="ADD25" s="575"/>
      <c r="ADE25" s="575"/>
      <c r="ADF25" s="575"/>
      <c r="ADG25" s="575"/>
      <c r="ADH25" s="575"/>
      <c r="ADI25" s="575"/>
      <c r="ADJ25" s="575"/>
      <c r="ADK25" s="575"/>
      <c r="ADL25" s="575"/>
      <c r="ADM25" s="575"/>
      <c r="ADN25" s="575"/>
      <c r="ADO25" s="575"/>
      <c r="ADP25" s="575"/>
      <c r="ADQ25" s="575"/>
      <c r="ADR25" s="575"/>
      <c r="ADS25" s="575"/>
      <c r="ADT25" s="575"/>
      <c r="ADU25" s="575"/>
      <c r="ADV25" s="575"/>
      <c r="ADW25" s="575"/>
      <c r="ADX25" s="575"/>
      <c r="ADY25" s="575"/>
      <c r="ADZ25" s="575"/>
      <c r="AEA25" s="575"/>
      <c r="AEB25" s="575"/>
      <c r="AEC25" s="575"/>
      <c r="AED25" s="575"/>
      <c r="AEE25" s="575"/>
      <c r="AEF25" s="575"/>
      <c r="AEG25" s="575"/>
      <c r="AEH25" s="575"/>
      <c r="AEI25" s="575"/>
      <c r="AEJ25" s="575"/>
      <c r="AEK25" s="575"/>
      <c r="AEL25" s="575"/>
      <c r="AEM25" s="575"/>
      <c r="AEN25" s="575"/>
      <c r="AEO25" s="575"/>
      <c r="AEP25" s="575"/>
      <c r="AEQ25" s="575"/>
      <c r="AER25" s="575"/>
      <c r="AES25" s="575"/>
      <c r="AET25" s="575"/>
      <c r="AEU25" s="575"/>
      <c r="AEV25" s="575"/>
      <c r="AEW25" s="575"/>
      <c r="AEX25" s="575"/>
      <c r="AEY25" s="575"/>
      <c r="AEZ25" s="575"/>
      <c r="AFA25" s="575"/>
      <c r="AFB25" s="575"/>
      <c r="AFC25" s="575"/>
      <c r="AFD25" s="575"/>
      <c r="AFE25" s="575"/>
      <c r="AFF25" s="575"/>
      <c r="AFG25" s="575"/>
      <c r="AFH25" s="575"/>
      <c r="AFI25" s="575"/>
      <c r="AFJ25" s="575"/>
      <c r="AFK25" s="575"/>
      <c r="AFL25" s="575"/>
      <c r="AFM25" s="575"/>
      <c r="AFN25" s="575"/>
      <c r="AFO25" s="575"/>
      <c r="AFP25" s="575"/>
      <c r="AFQ25" s="575"/>
      <c r="AFR25" s="575"/>
      <c r="AFS25" s="575"/>
      <c r="AFT25" s="575"/>
      <c r="AFU25" s="575"/>
      <c r="AFV25" s="575"/>
      <c r="AFW25" s="575"/>
      <c r="AFX25" s="575"/>
      <c r="AFY25" s="575"/>
      <c r="AFZ25" s="575"/>
      <c r="AGA25" s="575"/>
      <c r="AGB25" s="575"/>
      <c r="AGC25" s="575"/>
      <c r="AGD25" s="575"/>
      <c r="AGE25" s="575"/>
      <c r="AGF25" s="575"/>
      <c r="AGG25" s="575"/>
      <c r="AGH25" s="575"/>
      <c r="AGI25" s="575"/>
      <c r="AGJ25" s="575"/>
      <c r="AGK25" s="575"/>
      <c r="AGL25" s="575"/>
      <c r="AGM25" s="575"/>
      <c r="AGN25" s="575"/>
      <c r="AGO25" s="575"/>
      <c r="AGP25" s="575"/>
      <c r="AGQ25" s="575"/>
      <c r="AGR25" s="575"/>
      <c r="AGS25" s="575"/>
      <c r="AGT25" s="575"/>
      <c r="AGU25" s="575"/>
      <c r="AGV25" s="575"/>
      <c r="AGW25" s="575"/>
      <c r="AGX25" s="575"/>
      <c r="AGY25" s="575"/>
      <c r="AGZ25" s="575"/>
      <c r="AHA25" s="575"/>
      <c r="AHB25" s="575"/>
      <c r="AHC25" s="575"/>
      <c r="AHD25" s="575"/>
      <c r="AHE25" s="575"/>
      <c r="AHF25" s="575"/>
      <c r="AHG25" s="575"/>
      <c r="AHH25" s="575"/>
      <c r="AHI25" s="575"/>
      <c r="AHJ25" s="575"/>
      <c r="AHK25" s="575"/>
      <c r="AHL25" s="575"/>
      <c r="AHM25" s="575"/>
      <c r="AHN25" s="575"/>
      <c r="AHO25" s="575"/>
      <c r="AHP25" s="575"/>
      <c r="AHQ25" s="575"/>
      <c r="AHR25" s="575"/>
      <c r="AHS25" s="575"/>
      <c r="AHT25" s="575"/>
      <c r="AHU25" s="575"/>
      <c r="AHV25" s="575"/>
      <c r="AHW25" s="575"/>
      <c r="AHX25" s="575"/>
      <c r="AHY25" s="575"/>
      <c r="AHZ25" s="575"/>
      <c r="AIA25" s="575"/>
      <c r="AIB25" s="575"/>
      <c r="AIC25" s="575"/>
      <c r="AID25" s="575"/>
      <c r="AIE25" s="575"/>
      <c r="AIF25" s="575"/>
      <c r="AIG25" s="575"/>
      <c r="AIH25" s="575"/>
      <c r="AII25" s="575"/>
      <c r="AIJ25" s="575"/>
      <c r="AIK25" s="575"/>
      <c r="AIL25" s="575"/>
      <c r="AIM25" s="575"/>
      <c r="AIN25" s="575"/>
      <c r="AIO25" s="575"/>
      <c r="AIP25" s="575"/>
      <c r="AIQ25" s="575"/>
      <c r="AIR25" s="575"/>
      <c r="AIS25" s="575"/>
      <c r="AIT25" s="575"/>
      <c r="AIU25" s="575"/>
      <c r="AIV25" s="575"/>
      <c r="AIW25" s="575"/>
      <c r="AIX25" s="575"/>
      <c r="AIY25" s="575"/>
      <c r="AIZ25" s="575"/>
      <c r="AJA25" s="575"/>
      <c r="AJB25" s="575"/>
      <c r="AJC25" s="575"/>
      <c r="AJD25" s="575"/>
      <c r="AJE25" s="575"/>
      <c r="AJF25" s="575"/>
      <c r="AJG25" s="575"/>
      <c r="AJH25" s="575"/>
      <c r="AJI25" s="575"/>
      <c r="AJJ25" s="575"/>
      <c r="AJK25" s="575"/>
      <c r="AJL25" s="575"/>
      <c r="AJM25" s="575"/>
      <c r="AJN25" s="575"/>
      <c r="AJO25" s="575"/>
      <c r="AJP25" s="575"/>
      <c r="AJQ25" s="575"/>
      <c r="AJR25" s="575"/>
      <c r="AJS25" s="575"/>
      <c r="AJT25" s="575"/>
      <c r="AJU25" s="575"/>
      <c r="AJV25" s="575"/>
      <c r="AJW25" s="575"/>
      <c r="AJX25" s="575"/>
      <c r="AJY25" s="575"/>
      <c r="AJZ25" s="575"/>
      <c r="AKA25" s="575"/>
      <c r="AKB25" s="575"/>
      <c r="AKC25" s="575"/>
      <c r="AKD25" s="575"/>
      <c r="AKE25" s="575"/>
      <c r="AKF25" s="575"/>
      <c r="AKG25" s="575"/>
      <c r="AKH25" s="575"/>
      <c r="AKI25" s="575"/>
      <c r="AKJ25" s="575"/>
      <c r="AKK25" s="575"/>
      <c r="AKL25" s="575"/>
      <c r="AKM25" s="575"/>
      <c r="AKN25" s="575"/>
      <c r="AKO25" s="575"/>
      <c r="AKP25" s="575"/>
      <c r="AKQ25" s="575"/>
      <c r="AKR25" s="575"/>
      <c r="AKS25" s="575"/>
      <c r="AKT25" s="575"/>
      <c r="AKU25" s="575"/>
      <c r="AKV25" s="575"/>
      <c r="AKW25" s="575"/>
      <c r="AKX25" s="575"/>
      <c r="AKY25" s="575"/>
      <c r="AKZ25" s="575"/>
      <c r="ALA25" s="575"/>
      <c r="ALB25" s="575"/>
      <c r="ALC25" s="575"/>
      <c r="ALD25" s="575"/>
      <c r="ALE25" s="575"/>
      <c r="ALF25" s="575"/>
      <c r="ALG25" s="575"/>
      <c r="ALH25" s="575"/>
      <c r="ALI25" s="575"/>
      <c r="ALJ25" s="575"/>
      <c r="ALK25" s="575"/>
      <c r="ALL25" s="575"/>
      <c r="ALM25" s="575"/>
      <c r="ALN25" s="575"/>
      <c r="ALO25" s="575"/>
      <c r="ALP25" s="575"/>
      <c r="ALQ25" s="575"/>
      <c r="ALR25" s="575"/>
      <c r="ALS25" s="575"/>
      <c r="ALT25" s="575"/>
      <c r="ALU25" s="575"/>
      <c r="ALV25" s="575"/>
      <c r="ALW25" s="575"/>
      <c r="ALX25" s="575"/>
      <c r="ALY25" s="575"/>
      <c r="ALZ25" s="575"/>
      <c r="AMA25" s="575"/>
      <c r="AMB25" s="575"/>
      <c r="AMC25" s="575"/>
      <c r="AMD25" s="575"/>
      <c r="AME25" s="575"/>
      <c r="AMF25" s="575"/>
      <c r="AMG25" s="575"/>
      <c r="AMH25" s="575"/>
      <c r="AMI25" s="575"/>
      <c r="AMJ25" s="575"/>
      <c r="AMK25" s="575"/>
      <c r="AML25" s="575"/>
      <c r="AMM25" s="575"/>
      <c r="AMN25" s="575"/>
      <c r="AMO25" s="575"/>
      <c r="AMP25" s="575"/>
      <c r="AMQ25" s="575"/>
      <c r="AMR25" s="575"/>
      <c r="AMS25" s="575"/>
      <c r="AMT25" s="575"/>
      <c r="AMU25" s="575"/>
      <c r="AMV25" s="575"/>
      <c r="AMW25" s="575"/>
      <c r="AMX25" s="575"/>
      <c r="AMY25" s="575"/>
      <c r="AMZ25" s="575"/>
      <c r="ANA25" s="575"/>
      <c r="ANB25" s="575"/>
      <c r="ANC25" s="575"/>
      <c r="AND25" s="575"/>
      <c r="ANE25" s="575"/>
      <c r="ANF25" s="575"/>
      <c r="ANG25" s="575"/>
      <c r="ANH25" s="575"/>
      <c r="ANI25" s="575"/>
      <c r="ANJ25" s="575"/>
      <c r="ANK25" s="575"/>
      <c r="ANL25" s="575"/>
      <c r="ANM25" s="575"/>
      <c r="ANN25" s="575"/>
      <c r="ANO25" s="575"/>
      <c r="ANP25" s="575"/>
      <c r="ANQ25" s="575"/>
      <c r="ANR25" s="575"/>
      <c r="ANS25" s="575"/>
      <c r="ANT25" s="575"/>
      <c r="ANU25" s="575"/>
      <c r="ANV25" s="575"/>
      <c r="ANW25" s="575"/>
      <c r="ANX25" s="575"/>
      <c r="ANY25" s="575"/>
      <c r="ANZ25" s="575"/>
      <c r="AOA25" s="575"/>
      <c r="AOB25" s="575"/>
      <c r="AOC25" s="575"/>
      <c r="AOD25" s="575"/>
      <c r="AOE25" s="575"/>
      <c r="AOF25" s="575"/>
      <c r="AOG25" s="575"/>
      <c r="AOH25" s="575"/>
      <c r="AOI25" s="575"/>
      <c r="AOJ25" s="575"/>
      <c r="AOK25" s="575"/>
      <c r="AOL25" s="575"/>
      <c r="AOM25" s="575"/>
      <c r="AON25" s="575"/>
      <c r="AOO25" s="575"/>
      <c r="AOP25" s="575"/>
      <c r="AOQ25" s="575"/>
      <c r="AOR25" s="575"/>
      <c r="AOS25" s="575"/>
      <c r="AOT25" s="575"/>
      <c r="AOU25" s="575"/>
      <c r="AOV25" s="575"/>
      <c r="AOW25" s="575"/>
      <c r="AOX25" s="575"/>
      <c r="AOY25" s="575"/>
      <c r="AOZ25" s="575"/>
      <c r="APA25" s="575"/>
      <c r="APB25" s="575"/>
      <c r="APC25" s="575"/>
      <c r="APD25" s="575"/>
      <c r="APE25" s="575"/>
      <c r="APF25" s="575"/>
      <c r="APG25" s="575"/>
      <c r="APH25" s="575"/>
      <c r="API25" s="575"/>
      <c r="APJ25" s="575"/>
      <c r="APK25" s="575"/>
      <c r="APL25" s="575"/>
      <c r="APM25" s="575"/>
      <c r="APN25" s="575"/>
      <c r="APO25" s="575"/>
      <c r="APP25" s="575"/>
      <c r="APQ25" s="575"/>
      <c r="APR25" s="575"/>
      <c r="APS25" s="575"/>
      <c r="APT25" s="575"/>
      <c r="APU25" s="575"/>
      <c r="APV25" s="575"/>
      <c r="APW25" s="575"/>
      <c r="APX25" s="575"/>
      <c r="APY25" s="575"/>
      <c r="APZ25" s="575"/>
      <c r="AQA25" s="575"/>
      <c r="AQB25" s="575"/>
      <c r="AQC25" s="575"/>
      <c r="AQD25" s="575"/>
      <c r="AQE25" s="575"/>
      <c r="AQF25" s="575"/>
      <c r="AQG25" s="575"/>
      <c r="AQH25" s="575"/>
      <c r="AQI25" s="575"/>
      <c r="AQJ25" s="575"/>
      <c r="AQK25" s="575"/>
      <c r="AQL25" s="575"/>
      <c r="AQM25" s="575"/>
      <c r="AQN25" s="575"/>
      <c r="AQO25" s="575"/>
      <c r="AQP25" s="575"/>
      <c r="AQQ25" s="575"/>
      <c r="AQR25" s="575"/>
      <c r="AQS25" s="575"/>
      <c r="AQT25" s="575"/>
      <c r="AQU25" s="575"/>
      <c r="AQV25" s="575"/>
      <c r="AQW25" s="575"/>
      <c r="AQX25" s="575"/>
      <c r="AQY25" s="575"/>
      <c r="AQZ25" s="575"/>
      <c r="ARA25" s="575"/>
      <c r="ARB25" s="575"/>
      <c r="ARC25" s="575"/>
      <c r="ARD25" s="575"/>
      <c r="ARE25" s="575"/>
      <c r="ARF25" s="575"/>
      <c r="ARG25" s="575"/>
      <c r="ARH25" s="575"/>
      <c r="ARI25" s="575"/>
      <c r="ARJ25" s="575"/>
      <c r="ARK25" s="575"/>
      <c r="ARL25" s="575"/>
      <c r="ARM25" s="575"/>
      <c r="ARN25" s="575"/>
      <c r="ARO25" s="575"/>
      <c r="ARP25" s="575"/>
      <c r="ARQ25" s="575"/>
      <c r="ARR25" s="575"/>
      <c r="ARS25" s="575"/>
      <c r="ART25" s="575"/>
      <c r="ARU25" s="575"/>
      <c r="ARV25" s="575"/>
      <c r="ARW25" s="575"/>
      <c r="ARX25" s="575"/>
      <c r="ARY25" s="575"/>
      <c r="ARZ25" s="575"/>
      <c r="ASA25" s="575"/>
      <c r="ASB25" s="575"/>
      <c r="ASC25" s="575"/>
      <c r="ASD25" s="575"/>
      <c r="ASE25" s="575"/>
      <c r="ASF25" s="575"/>
      <c r="ASG25" s="575"/>
      <c r="ASH25" s="575"/>
      <c r="ASI25" s="575"/>
      <c r="ASJ25" s="575"/>
      <c r="ASK25" s="575"/>
      <c r="ASL25" s="575"/>
      <c r="ASM25" s="575"/>
      <c r="ASN25" s="575"/>
      <c r="ASO25" s="575"/>
      <c r="ASP25" s="575"/>
      <c r="ASQ25" s="575"/>
      <c r="ASR25" s="575"/>
      <c r="ASS25" s="575"/>
      <c r="AST25" s="575"/>
      <c r="ASU25" s="575"/>
      <c r="ASV25" s="575"/>
      <c r="ASW25" s="575"/>
      <c r="ASX25" s="575"/>
      <c r="ASY25" s="575"/>
      <c r="ASZ25" s="575"/>
      <c r="ATA25" s="575"/>
      <c r="ATB25" s="575"/>
      <c r="ATC25" s="575"/>
      <c r="ATD25" s="575"/>
      <c r="ATE25" s="575"/>
      <c r="ATF25" s="575"/>
      <c r="ATG25" s="575"/>
      <c r="ATH25" s="575"/>
      <c r="ATI25" s="575"/>
      <c r="ATJ25" s="575"/>
      <c r="ATK25" s="575"/>
      <c r="ATL25" s="575"/>
      <c r="ATM25" s="575"/>
      <c r="ATN25" s="575"/>
      <c r="ATO25" s="575"/>
      <c r="ATP25" s="575"/>
      <c r="ATQ25" s="575"/>
      <c r="ATR25" s="575"/>
      <c r="ATS25" s="575"/>
      <c r="ATT25" s="575"/>
      <c r="ATU25" s="575"/>
      <c r="ATV25" s="575"/>
      <c r="ATW25" s="575"/>
      <c r="ATX25" s="575"/>
      <c r="ATY25" s="575"/>
      <c r="ATZ25" s="575"/>
      <c r="AUA25" s="575"/>
      <c r="AUB25" s="575"/>
      <c r="AUC25" s="575"/>
      <c r="AUD25" s="575"/>
      <c r="AUE25" s="575"/>
      <c r="AUF25" s="575"/>
      <c r="AUG25" s="575"/>
      <c r="AUH25" s="575"/>
      <c r="AUI25" s="575"/>
      <c r="AUJ25" s="575"/>
      <c r="AUK25" s="575"/>
      <c r="AUL25" s="575"/>
      <c r="AUM25" s="575"/>
      <c r="AUN25" s="575"/>
      <c r="AUO25" s="575"/>
      <c r="AUP25" s="575"/>
      <c r="AUQ25" s="575"/>
      <c r="AUR25" s="575"/>
      <c r="AUS25" s="575"/>
      <c r="AUT25" s="575"/>
      <c r="AUU25" s="575"/>
      <c r="AUV25" s="575"/>
      <c r="AUW25" s="575"/>
      <c r="AUX25" s="575"/>
      <c r="AUY25" s="575"/>
      <c r="AUZ25" s="575"/>
      <c r="AVA25" s="575"/>
      <c r="AVB25" s="575"/>
      <c r="AVC25" s="575"/>
      <c r="AVD25" s="575"/>
      <c r="AVE25" s="575"/>
      <c r="AVF25" s="575"/>
      <c r="AVG25" s="575"/>
      <c r="AVH25" s="575"/>
      <c r="AVI25" s="575"/>
      <c r="AVJ25" s="575"/>
      <c r="AVK25" s="575"/>
      <c r="AVL25" s="575"/>
      <c r="AVM25" s="575"/>
      <c r="AVN25" s="575"/>
      <c r="AVO25" s="575"/>
      <c r="AVP25" s="575"/>
      <c r="AVQ25" s="575"/>
      <c r="AVR25" s="575"/>
      <c r="AVS25" s="575"/>
      <c r="AVT25" s="575"/>
      <c r="AVU25" s="575"/>
      <c r="AVV25" s="575"/>
      <c r="AVW25" s="575"/>
      <c r="AVX25" s="575"/>
      <c r="AVY25" s="575"/>
      <c r="AVZ25" s="575"/>
      <c r="AWA25" s="575"/>
      <c r="AWB25" s="575"/>
      <c r="AWC25" s="575"/>
      <c r="AWD25" s="575"/>
      <c r="AWE25" s="575"/>
      <c r="AWF25" s="575"/>
      <c r="AWG25" s="575"/>
      <c r="AWH25" s="575"/>
      <c r="AWI25" s="575"/>
      <c r="AWJ25" s="575"/>
      <c r="AWK25" s="575"/>
      <c r="AWL25" s="575"/>
      <c r="AWM25" s="575"/>
      <c r="AWN25" s="575"/>
      <c r="AWO25" s="575"/>
      <c r="AWP25" s="575"/>
      <c r="AWQ25" s="575"/>
      <c r="AWR25" s="575"/>
      <c r="AWS25" s="575"/>
      <c r="AWT25" s="575"/>
      <c r="AWU25" s="575"/>
      <c r="AWV25" s="575"/>
      <c r="AWW25" s="575"/>
      <c r="AWX25" s="575"/>
      <c r="AWY25" s="575"/>
      <c r="AWZ25" s="575"/>
      <c r="AXA25" s="575"/>
      <c r="AXB25" s="575"/>
      <c r="AXC25" s="575"/>
      <c r="AXD25" s="575"/>
      <c r="AXE25" s="575"/>
      <c r="AXF25" s="575"/>
      <c r="AXG25" s="575"/>
      <c r="AXH25" s="575"/>
      <c r="AXI25" s="575"/>
      <c r="AXJ25" s="575"/>
      <c r="AXK25" s="575"/>
      <c r="AXL25" s="575"/>
      <c r="AXM25" s="575"/>
      <c r="AXN25" s="575"/>
      <c r="AXO25" s="575"/>
      <c r="AXP25" s="575"/>
      <c r="AXQ25" s="575"/>
      <c r="AXR25" s="575"/>
      <c r="AXS25" s="575"/>
      <c r="AXT25" s="575"/>
      <c r="AXU25" s="575"/>
      <c r="AXV25" s="575"/>
      <c r="AXW25" s="575"/>
      <c r="AXX25" s="575"/>
      <c r="AXY25" s="575"/>
      <c r="AXZ25" s="575"/>
      <c r="AYA25" s="575"/>
      <c r="AYB25" s="575"/>
      <c r="AYC25" s="575"/>
      <c r="AYD25" s="575"/>
      <c r="AYE25" s="575"/>
      <c r="AYF25" s="575"/>
      <c r="AYG25" s="575"/>
      <c r="AYH25" s="575"/>
      <c r="AYI25" s="575"/>
      <c r="AYJ25" s="575"/>
      <c r="AYK25" s="575"/>
      <c r="AYL25" s="575"/>
      <c r="AYM25" s="575"/>
      <c r="AYN25" s="575"/>
      <c r="AYO25" s="575"/>
      <c r="AYP25" s="575"/>
      <c r="AYQ25" s="575"/>
      <c r="AYR25" s="575"/>
      <c r="AYS25" s="575"/>
      <c r="AYT25" s="575"/>
      <c r="AYU25" s="575"/>
      <c r="AYV25" s="575"/>
      <c r="AYW25" s="575"/>
      <c r="AYX25" s="575"/>
      <c r="AYY25" s="575"/>
      <c r="AYZ25" s="575"/>
      <c r="AZA25" s="575"/>
      <c r="AZB25" s="575"/>
      <c r="AZC25" s="575"/>
      <c r="AZD25" s="575"/>
      <c r="AZE25" s="575"/>
      <c r="AZF25" s="575"/>
      <c r="AZG25" s="575"/>
      <c r="AZH25" s="575"/>
      <c r="AZI25" s="575"/>
      <c r="AZJ25" s="575"/>
      <c r="AZK25" s="575"/>
      <c r="AZL25" s="575"/>
      <c r="AZM25" s="575"/>
      <c r="AZN25" s="575"/>
      <c r="AZO25" s="575"/>
      <c r="AZP25" s="575"/>
      <c r="AZQ25" s="575"/>
      <c r="AZR25" s="575"/>
      <c r="AZS25" s="575"/>
      <c r="AZT25" s="575"/>
      <c r="AZU25" s="575"/>
      <c r="AZV25" s="575"/>
      <c r="AZW25" s="575"/>
      <c r="AZX25" s="575"/>
      <c r="AZY25" s="575"/>
      <c r="AZZ25" s="575"/>
      <c r="BAA25" s="575"/>
      <c r="BAB25" s="575"/>
      <c r="BAC25" s="575"/>
      <c r="BAD25" s="575"/>
      <c r="BAE25" s="575"/>
      <c r="BAF25" s="575"/>
      <c r="BAG25" s="575"/>
      <c r="BAH25" s="575"/>
      <c r="BAI25" s="575"/>
      <c r="BAJ25" s="575"/>
      <c r="BAK25" s="575"/>
      <c r="BAL25" s="575"/>
      <c r="BAM25" s="575"/>
      <c r="BAN25" s="575"/>
      <c r="BAO25" s="575"/>
      <c r="BAP25" s="575"/>
      <c r="BAQ25" s="575"/>
      <c r="BAR25" s="575"/>
      <c r="BAS25" s="575"/>
      <c r="BAT25" s="575"/>
      <c r="BAU25" s="575"/>
      <c r="BAV25" s="575"/>
      <c r="BAW25" s="575"/>
      <c r="BAX25" s="575"/>
      <c r="BAY25" s="575"/>
      <c r="BAZ25" s="575"/>
      <c r="BBA25" s="575"/>
      <c r="BBB25" s="575"/>
      <c r="BBC25" s="575"/>
      <c r="BBD25" s="575"/>
      <c r="BBE25" s="575"/>
      <c r="BBF25" s="575"/>
      <c r="BBG25" s="575"/>
      <c r="BBH25" s="575"/>
      <c r="BBI25" s="575"/>
      <c r="BBJ25" s="575"/>
      <c r="BBK25" s="575"/>
      <c r="BBL25" s="575"/>
      <c r="BBM25" s="575"/>
      <c r="BBN25" s="575"/>
      <c r="BBO25" s="575"/>
      <c r="BBP25" s="575"/>
      <c r="BBQ25" s="575"/>
      <c r="BBR25" s="575"/>
      <c r="BBS25" s="575"/>
      <c r="BBT25" s="575"/>
      <c r="BBU25" s="575"/>
      <c r="BBV25" s="575"/>
      <c r="BBW25" s="575"/>
      <c r="BBX25" s="575"/>
      <c r="BBY25" s="575"/>
      <c r="BBZ25" s="575"/>
      <c r="BCA25" s="575"/>
      <c r="BCB25" s="575"/>
      <c r="BCC25" s="575"/>
      <c r="BCD25" s="575"/>
      <c r="BCE25" s="575"/>
      <c r="BCF25" s="575"/>
      <c r="BCG25" s="575"/>
      <c r="BCH25" s="575"/>
      <c r="BCI25" s="575"/>
      <c r="BCJ25" s="575"/>
      <c r="BCK25" s="575"/>
      <c r="BCL25" s="575"/>
      <c r="BCM25" s="575"/>
      <c r="BCN25" s="575"/>
      <c r="BCO25" s="575"/>
      <c r="BCP25" s="575"/>
      <c r="BCQ25" s="575"/>
      <c r="BCR25" s="575"/>
      <c r="BCS25" s="575"/>
      <c r="BCT25" s="575"/>
      <c r="BCU25" s="575"/>
      <c r="BCV25" s="575"/>
      <c r="BCW25" s="575"/>
      <c r="BCX25" s="575"/>
      <c r="BCY25" s="575"/>
      <c r="BCZ25" s="575"/>
      <c r="BDA25" s="575"/>
      <c r="BDB25" s="575"/>
      <c r="BDC25" s="575"/>
      <c r="BDD25" s="575"/>
      <c r="BDE25" s="575"/>
      <c r="BDF25" s="575"/>
      <c r="BDG25" s="575"/>
      <c r="BDH25" s="575"/>
      <c r="BDI25" s="575"/>
      <c r="BDJ25" s="575"/>
      <c r="BDK25" s="575"/>
      <c r="BDL25" s="575"/>
      <c r="BDM25" s="575"/>
      <c r="BDN25" s="575"/>
      <c r="BDO25" s="575"/>
      <c r="BDP25" s="575"/>
      <c r="BDQ25" s="575"/>
      <c r="BDR25" s="575"/>
      <c r="BDS25" s="575"/>
      <c r="BDT25" s="575"/>
    </row>
    <row r="26" spans="1:1476" s="632" customFormat="1" x14ac:dyDescent="0.25">
      <c r="A26" s="608">
        <v>5427</v>
      </c>
      <c r="B26" s="609" t="s">
        <v>289</v>
      </c>
      <c r="C26" s="610">
        <v>3354687.6</v>
      </c>
      <c r="D26" s="610">
        <v>1037828.45</v>
      </c>
      <c r="E26" s="610"/>
      <c r="F26" s="611"/>
      <c r="G26" s="610">
        <v>41587.800000000003</v>
      </c>
      <c r="H26" s="610">
        <v>10488.35</v>
      </c>
      <c r="I26" s="610">
        <v>744144.35</v>
      </c>
      <c r="J26" s="610">
        <v>13997.29</v>
      </c>
      <c r="K26" s="610">
        <v>5658.95</v>
      </c>
      <c r="L26" s="610">
        <v>480025.3</v>
      </c>
      <c r="M26" s="434">
        <f t="shared" si="0"/>
        <v>5688418.0899999989</v>
      </c>
      <c r="N26" s="612">
        <v>11648.35</v>
      </c>
      <c r="O26" s="612">
        <v>0</v>
      </c>
      <c r="P26" s="612">
        <v>216118.15</v>
      </c>
      <c r="Q26" s="612"/>
      <c r="R26" s="612">
        <v>314012.7</v>
      </c>
      <c r="S26" s="610">
        <v>5442.23</v>
      </c>
      <c r="T26" s="543">
        <f t="shared" si="1"/>
        <v>6235639.5199999996</v>
      </c>
      <c r="U26" s="575">
        <v>-19.190000000000001</v>
      </c>
      <c r="V26" s="612"/>
      <c r="W26" s="612">
        <v>-20051.25</v>
      </c>
      <c r="X26" s="624">
        <v>64</v>
      </c>
      <c r="Y26" s="631">
        <v>1.3</v>
      </c>
      <c r="Z26" s="628">
        <f>VLOOKUP(A26,'[2]2022 toutes communes'!$B$9:$D$317,3,FALSE)</f>
        <v>887</v>
      </c>
      <c r="AA26" s="617"/>
      <c r="AB26" s="618">
        <v>3684</v>
      </c>
      <c r="AC26" s="547">
        <f>AB26/VPI!R26</f>
        <v>4.2382774092848026E-2</v>
      </c>
      <c r="AD26" s="548">
        <f t="shared" si="2"/>
        <v>175981</v>
      </c>
      <c r="AE26" s="547">
        <f>AD26/VPI!R26</f>
        <v>2.0245827816594701</v>
      </c>
      <c r="AF26" s="618">
        <v>179665</v>
      </c>
      <c r="AG26" s="618">
        <v>45696</v>
      </c>
      <c r="AH26" s="618">
        <v>94371</v>
      </c>
      <c r="AI26" s="627"/>
      <c r="AJ26" s="628">
        <v>0</v>
      </c>
      <c r="AK26" s="547">
        <f>AJ26/VPI!R26</f>
        <v>0</v>
      </c>
      <c r="AL26" s="548">
        <f t="shared" si="3"/>
        <v>4213</v>
      </c>
      <c r="AM26" s="547">
        <f>AL26/VPI!R26</f>
        <v>4.8468682750588694E-2</v>
      </c>
      <c r="AN26" s="628">
        <v>4213</v>
      </c>
      <c r="AO26" s="627"/>
      <c r="AP26" s="629">
        <v>40.583981406407261</v>
      </c>
      <c r="AQ26" s="575"/>
      <c r="AR26" s="630">
        <v>0</v>
      </c>
      <c r="AS26" s="575"/>
      <c r="AT26" s="575"/>
      <c r="AU26" s="575"/>
      <c r="AV26" s="575"/>
      <c r="AW26" s="575"/>
      <c r="AX26" s="575"/>
      <c r="AY26" s="575"/>
      <c r="AZ26" s="575"/>
      <c r="BA26" s="575"/>
      <c r="BB26" s="575"/>
      <c r="BC26" s="575"/>
      <c r="BD26" s="575"/>
      <c r="BE26" s="575"/>
      <c r="BF26" s="575"/>
      <c r="BG26" s="575"/>
      <c r="BH26" s="575"/>
      <c r="BI26" s="575"/>
      <c r="BJ26" s="575"/>
      <c r="BK26" s="575"/>
      <c r="BL26" s="575"/>
      <c r="BM26" s="575"/>
      <c r="BN26" s="575"/>
      <c r="BO26" s="575"/>
      <c r="BP26" s="575"/>
      <c r="BQ26" s="575"/>
      <c r="BR26" s="575"/>
      <c r="BS26" s="575"/>
      <c r="BT26" s="575"/>
      <c r="BU26" s="575"/>
      <c r="BV26" s="575"/>
      <c r="BW26" s="575"/>
      <c r="BX26" s="575"/>
      <c r="BY26" s="575"/>
      <c r="BZ26" s="575"/>
      <c r="CA26" s="575"/>
      <c r="CB26" s="575"/>
      <c r="CC26" s="575"/>
      <c r="CD26" s="575"/>
      <c r="CE26" s="575"/>
      <c r="CF26" s="575"/>
      <c r="CG26" s="575"/>
      <c r="CH26" s="575"/>
      <c r="CI26" s="575"/>
      <c r="CJ26" s="575"/>
      <c r="CK26" s="575"/>
      <c r="CL26" s="575"/>
      <c r="CM26" s="575"/>
      <c r="CN26" s="575"/>
      <c r="CO26" s="575"/>
      <c r="CP26" s="575"/>
      <c r="CQ26" s="575"/>
      <c r="CR26" s="575"/>
      <c r="CS26" s="575"/>
      <c r="CT26" s="575"/>
      <c r="CU26" s="575"/>
      <c r="CV26" s="575"/>
      <c r="CW26" s="575"/>
      <c r="CX26" s="575"/>
      <c r="CY26" s="575"/>
      <c r="CZ26" s="575"/>
      <c r="DA26" s="575"/>
      <c r="DB26" s="575"/>
      <c r="DC26" s="575"/>
      <c r="DD26" s="575"/>
      <c r="DE26" s="575"/>
      <c r="DF26" s="575"/>
      <c r="DG26" s="575"/>
      <c r="DH26" s="575"/>
      <c r="DI26" s="575"/>
      <c r="DJ26" s="575"/>
      <c r="DK26" s="575"/>
      <c r="DL26" s="575"/>
      <c r="DM26" s="575"/>
      <c r="DN26" s="575"/>
      <c r="DO26" s="575"/>
      <c r="DP26" s="575"/>
      <c r="DQ26" s="575"/>
      <c r="DR26" s="575"/>
      <c r="DS26" s="575"/>
      <c r="DT26" s="575"/>
      <c r="DU26" s="575"/>
      <c r="DV26" s="575"/>
      <c r="DW26" s="575"/>
      <c r="DX26" s="575"/>
      <c r="DY26" s="575"/>
      <c r="DZ26" s="575"/>
      <c r="EA26" s="575"/>
      <c r="EB26" s="575"/>
      <c r="EC26" s="575"/>
      <c r="ED26" s="575"/>
      <c r="EE26" s="575"/>
      <c r="EF26" s="575"/>
      <c r="EG26" s="575"/>
      <c r="EH26" s="575"/>
      <c r="EI26" s="575"/>
      <c r="EJ26" s="575"/>
      <c r="EK26" s="575"/>
      <c r="EL26" s="575"/>
      <c r="EM26" s="575"/>
      <c r="EN26" s="575"/>
      <c r="EO26" s="575"/>
      <c r="EP26" s="575"/>
      <c r="EQ26" s="575"/>
      <c r="ER26" s="575"/>
      <c r="ES26" s="575"/>
      <c r="ET26" s="575"/>
      <c r="EU26" s="575"/>
      <c r="EV26" s="575"/>
      <c r="EW26" s="575"/>
      <c r="EX26" s="575"/>
      <c r="EY26" s="575"/>
      <c r="EZ26" s="575"/>
      <c r="FA26" s="575"/>
      <c r="FB26" s="575"/>
      <c r="FC26" s="575"/>
      <c r="FD26" s="575"/>
      <c r="FE26" s="575"/>
      <c r="FF26" s="575"/>
      <c r="FG26" s="575"/>
      <c r="FH26" s="575"/>
      <c r="FI26" s="575"/>
      <c r="FJ26" s="575"/>
      <c r="FK26" s="575"/>
      <c r="FL26" s="575"/>
      <c r="FM26" s="575"/>
      <c r="FN26" s="575"/>
      <c r="FO26" s="575"/>
      <c r="FP26" s="575"/>
      <c r="FQ26" s="575"/>
      <c r="FR26" s="575"/>
      <c r="FS26" s="575"/>
      <c r="FT26" s="575"/>
      <c r="FU26" s="575"/>
      <c r="FV26" s="575"/>
      <c r="FW26" s="575"/>
      <c r="FX26" s="575"/>
      <c r="FY26" s="575"/>
      <c r="FZ26" s="575"/>
      <c r="GA26" s="575"/>
      <c r="GB26" s="575"/>
      <c r="GC26" s="575"/>
      <c r="GD26" s="575"/>
      <c r="GE26" s="575"/>
      <c r="GF26" s="575"/>
      <c r="GG26" s="575"/>
      <c r="GH26" s="575"/>
      <c r="GI26" s="575"/>
      <c r="GJ26" s="575"/>
      <c r="GK26" s="575"/>
      <c r="GL26" s="575"/>
      <c r="GM26" s="575"/>
      <c r="GN26" s="575"/>
      <c r="GO26" s="575"/>
      <c r="GP26" s="575"/>
      <c r="GQ26" s="575"/>
      <c r="GR26" s="575"/>
      <c r="GS26" s="575"/>
      <c r="GT26" s="575"/>
      <c r="GU26" s="575"/>
      <c r="GV26" s="575"/>
      <c r="GW26" s="575"/>
      <c r="GX26" s="575"/>
      <c r="GY26" s="575"/>
      <c r="GZ26" s="575"/>
      <c r="HA26" s="575"/>
      <c r="HB26" s="575"/>
      <c r="HC26" s="575"/>
      <c r="HD26" s="575"/>
      <c r="HE26" s="575"/>
      <c r="HF26" s="575"/>
      <c r="HG26" s="575"/>
      <c r="HH26" s="575"/>
      <c r="HI26" s="575"/>
      <c r="HJ26" s="575"/>
      <c r="HK26" s="575"/>
      <c r="HL26" s="575"/>
      <c r="HM26" s="575"/>
      <c r="HN26" s="575"/>
      <c r="HO26" s="575"/>
      <c r="HP26" s="575"/>
      <c r="HQ26" s="575"/>
      <c r="HR26" s="575"/>
      <c r="HS26" s="575"/>
      <c r="HT26" s="575"/>
      <c r="HU26" s="575"/>
      <c r="HV26" s="575"/>
      <c r="HW26" s="575"/>
      <c r="HX26" s="575"/>
      <c r="HY26" s="575"/>
      <c r="HZ26" s="575"/>
      <c r="IA26" s="575"/>
      <c r="IB26" s="575"/>
      <c r="IC26" s="575"/>
      <c r="ID26" s="575"/>
      <c r="IE26" s="575"/>
      <c r="IF26" s="575"/>
      <c r="IG26" s="575"/>
      <c r="IH26" s="575"/>
      <c r="II26" s="575"/>
      <c r="IJ26" s="575"/>
      <c r="IK26" s="575"/>
      <c r="IL26" s="575"/>
      <c r="IM26" s="575"/>
      <c r="IN26" s="575"/>
      <c r="IO26" s="575"/>
      <c r="IP26" s="575"/>
      <c r="IQ26" s="575"/>
      <c r="IR26" s="575"/>
      <c r="IS26" s="575"/>
      <c r="IT26" s="575"/>
      <c r="IU26" s="575"/>
      <c r="IV26" s="575"/>
      <c r="IW26" s="575"/>
      <c r="IX26" s="575"/>
      <c r="IY26" s="575"/>
      <c r="IZ26" s="575"/>
      <c r="JA26" s="575"/>
      <c r="JB26" s="575"/>
      <c r="JC26" s="575"/>
      <c r="JD26" s="575"/>
      <c r="JE26" s="575"/>
      <c r="JF26" s="575"/>
      <c r="JG26" s="575"/>
      <c r="JH26" s="575"/>
      <c r="JI26" s="575"/>
      <c r="JJ26" s="575"/>
      <c r="JK26" s="575"/>
      <c r="JL26" s="575"/>
      <c r="JM26" s="575"/>
      <c r="JN26" s="575"/>
      <c r="JO26" s="575"/>
      <c r="JP26" s="575"/>
      <c r="JQ26" s="575"/>
      <c r="JR26" s="575"/>
      <c r="JS26" s="575"/>
      <c r="JT26" s="575"/>
      <c r="JU26" s="575"/>
      <c r="JV26" s="575"/>
      <c r="JW26" s="575"/>
      <c r="JX26" s="575"/>
      <c r="JY26" s="575"/>
      <c r="JZ26" s="575"/>
      <c r="KA26" s="575"/>
      <c r="KB26" s="575"/>
      <c r="KC26" s="575"/>
      <c r="KD26" s="575"/>
      <c r="KE26" s="575"/>
      <c r="KF26" s="575"/>
      <c r="KG26" s="575"/>
      <c r="KH26" s="575"/>
      <c r="KI26" s="575"/>
      <c r="KJ26" s="575"/>
      <c r="KK26" s="575"/>
      <c r="KL26" s="575"/>
      <c r="KM26" s="575"/>
      <c r="KN26" s="575"/>
      <c r="KO26" s="575"/>
      <c r="KP26" s="575"/>
      <c r="KQ26" s="575"/>
      <c r="KR26" s="575"/>
      <c r="KS26" s="575"/>
      <c r="KT26" s="575"/>
      <c r="KU26" s="575"/>
      <c r="KV26" s="575"/>
      <c r="KW26" s="575"/>
      <c r="KX26" s="575"/>
      <c r="KY26" s="575"/>
      <c r="KZ26" s="575"/>
      <c r="LA26" s="575"/>
      <c r="LB26" s="575"/>
      <c r="LC26" s="575"/>
      <c r="LD26" s="575"/>
      <c r="LE26" s="575"/>
      <c r="LF26" s="575"/>
      <c r="LG26" s="575"/>
      <c r="LH26" s="575"/>
      <c r="LI26" s="575"/>
      <c r="LJ26" s="575"/>
      <c r="LK26" s="575"/>
      <c r="LL26" s="575"/>
      <c r="LM26" s="575"/>
      <c r="LN26" s="575"/>
      <c r="LO26" s="575"/>
      <c r="LP26" s="575"/>
      <c r="LQ26" s="575"/>
      <c r="LR26" s="575"/>
      <c r="LS26" s="575"/>
      <c r="LT26" s="575"/>
      <c r="LU26" s="575"/>
      <c r="LV26" s="575"/>
      <c r="LW26" s="575"/>
      <c r="LX26" s="575"/>
      <c r="LY26" s="575"/>
      <c r="LZ26" s="575"/>
      <c r="MA26" s="575"/>
      <c r="MB26" s="575"/>
      <c r="MC26" s="575"/>
      <c r="MD26" s="575"/>
      <c r="ME26" s="575"/>
      <c r="MF26" s="575"/>
      <c r="MG26" s="575"/>
      <c r="MH26" s="575"/>
      <c r="MI26" s="575"/>
      <c r="MJ26" s="575"/>
      <c r="MK26" s="575"/>
      <c r="ML26" s="575"/>
      <c r="MM26" s="575"/>
      <c r="MN26" s="575"/>
      <c r="MO26" s="575"/>
      <c r="MP26" s="575"/>
      <c r="MQ26" s="575"/>
      <c r="MR26" s="575"/>
      <c r="MS26" s="575"/>
      <c r="MT26" s="575"/>
      <c r="MU26" s="575"/>
      <c r="MV26" s="575"/>
      <c r="MW26" s="575"/>
      <c r="MX26" s="575"/>
      <c r="MY26" s="575"/>
      <c r="MZ26" s="575"/>
      <c r="NA26" s="575"/>
      <c r="NB26" s="575"/>
      <c r="NC26" s="575"/>
      <c r="ND26" s="575"/>
      <c r="NE26" s="575"/>
      <c r="NF26" s="575"/>
      <c r="NG26" s="575"/>
      <c r="NH26" s="575"/>
      <c r="NI26" s="575"/>
      <c r="NJ26" s="575"/>
      <c r="NK26" s="575"/>
      <c r="NL26" s="575"/>
      <c r="NM26" s="575"/>
      <c r="NN26" s="575"/>
      <c r="NO26" s="575"/>
      <c r="NP26" s="575"/>
      <c r="NQ26" s="575"/>
      <c r="NR26" s="575"/>
      <c r="NS26" s="575"/>
      <c r="NT26" s="575"/>
      <c r="NU26" s="575"/>
      <c r="NV26" s="575"/>
      <c r="NW26" s="575"/>
      <c r="NX26" s="575"/>
      <c r="NY26" s="575"/>
      <c r="NZ26" s="575"/>
      <c r="OA26" s="575"/>
      <c r="OB26" s="575"/>
      <c r="OC26" s="575"/>
      <c r="OD26" s="575"/>
      <c r="OE26" s="575"/>
      <c r="OF26" s="575"/>
      <c r="OG26" s="575"/>
      <c r="OH26" s="575"/>
      <c r="OI26" s="575"/>
      <c r="OJ26" s="575"/>
      <c r="OK26" s="575"/>
      <c r="OL26" s="575"/>
      <c r="OM26" s="575"/>
      <c r="ON26" s="575"/>
      <c r="OO26" s="575"/>
      <c r="OP26" s="575"/>
      <c r="OQ26" s="575"/>
      <c r="OR26" s="575"/>
      <c r="OS26" s="575"/>
      <c r="OT26" s="575"/>
      <c r="OU26" s="575"/>
      <c r="OV26" s="575"/>
      <c r="OW26" s="575"/>
      <c r="OX26" s="575"/>
      <c r="OY26" s="575"/>
      <c r="OZ26" s="575"/>
      <c r="PA26" s="575"/>
      <c r="PB26" s="575"/>
      <c r="PC26" s="575"/>
      <c r="PD26" s="575"/>
      <c r="PE26" s="575"/>
      <c r="PF26" s="575"/>
      <c r="PG26" s="575"/>
      <c r="PH26" s="575"/>
      <c r="PI26" s="575"/>
      <c r="PJ26" s="575"/>
      <c r="PK26" s="575"/>
      <c r="PL26" s="575"/>
      <c r="PM26" s="575"/>
      <c r="PN26" s="575"/>
      <c r="PO26" s="575"/>
      <c r="PP26" s="575"/>
      <c r="PQ26" s="575"/>
      <c r="PR26" s="575"/>
      <c r="PS26" s="575"/>
      <c r="PT26" s="575"/>
      <c r="PU26" s="575"/>
      <c r="PV26" s="575"/>
      <c r="PW26" s="575"/>
      <c r="PX26" s="575"/>
      <c r="PY26" s="575"/>
      <c r="PZ26" s="575"/>
      <c r="QA26" s="575"/>
      <c r="QB26" s="575"/>
      <c r="QC26" s="575"/>
      <c r="QD26" s="575"/>
      <c r="QE26" s="575"/>
      <c r="QF26" s="575"/>
      <c r="QG26" s="575"/>
      <c r="QH26" s="575"/>
      <c r="QI26" s="575"/>
      <c r="QJ26" s="575"/>
      <c r="QK26" s="575"/>
      <c r="QL26" s="575"/>
      <c r="QM26" s="575"/>
      <c r="QN26" s="575"/>
      <c r="QO26" s="575"/>
      <c r="QP26" s="575"/>
      <c r="QQ26" s="575"/>
      <c r="QR26" s="575"/>
      <c r="QS26" s="575"/>
      <c r="QT26" s="575"/>
      <c r="QU26" s="575"/>
      <c r="QV26" s="575"/>
      <c r="QW26" s="575"/>
      <c r="QX26" s="575"/>
      <c r="QY26" s="575"/>
      <c r="QZ26" s="575"/>
      <c r="RA26" s="575"/>
      <c r="RB26" s="575"/>
      <c r="RC26" s="575"/>
      <c r="RD26" s="575"/>
      <c r="RE26" s="575"/>
      <c r="RF26" s="575"/>
      <c r="RG26" s="575"/>
      <c r="RH26" s="575"/>
      <c r="RI26" s="575"/>
      <c r="RJ26" s="575"/>
      <c r="RK26" s="575"/>
      <c r="RL26" s="575"/>
      <c r="RM26" s="575"/>
      <c r="RN26" s="575"/>
      <c r="RO26" s="575"/>
      <c r="RP26" s="575"/>
      <c r="RQ26" s="575"/>
      <c r="RR26" s="575"/>
      <c r="RS26" s="575"/>
      <c r="RT26" s="575"/>
      <c r="RU26" s="575"/>
      <c r="RV26" s="575"/>
      <c r="RW26" s="575"/>
      <c r="RX26" s="575"/>
      <c r="RY26" s="575"/>
      <c r="RZ26" s="575"/>
      <c r="SA26" s="575"/>
      <c r="SB26" s="575"/>
      <c r="SC26" s="575"/>
      <c r="SD26" s="575"/>
      <c r="SE26" s="575"/>
      <c r="SF26" s="575"/>
      <c r="SG26" s="575"/>
      <c r="SH26" s="575"/>
      <c r="SI26" s="575"/>
      <c r="SJ26" s="575"/>
      <c r="SK26" s="575"/>
      <c r="SL26" s="575"/>
      <c r="SM26" s="575"/>
      <c r="SN26" s="575"/>
      <c r="SO26" s="575"/>
      <c r="SP26" s="575"/>
      <c r="SQ26" s="575"/>
      <c r="SR26" s="575"/>
      <c r="SS26" s="575"/>
      <c r="ST26" s="575"/>
      <c r="SU26" s="575"/>
      <c r="SV26" s="575"/>
      <c r="SW26" s="575"/>
      <c r="SX26" s="575"/>
      <c r="SY26" s="575"/>
      <c r="SZ26" s="575"/>
      <c r="TA26" s="575"/>
      <c r="TB26" s="575"/>
      <c r="TC26" s="575"/>
      <c r="TD26" s="575"/>
      <c r="TE26" s="575"/>
      <c r="TF26" s="575"/>
      <c r="TG26" s="575"/>
      <c r="TH26" s="575"/>
      <c r="TI26" s="575"/>
      <c r="TJ26" s="575"/>
      <c r="TK26" s="575"/>
      <c r="TL26" s="575"/>
      <c r="TM26" s="575"/>
      <c r="TN26" s="575"/>
      <c r="TO26" s="575"/>
      <c r="TP26" s="575"/>
      <c r="TQ26" s="575"/>
      <c r="TR26" s="575"/>
      <c r="TS26" s="575"/>
      <c r="TT26" s="575"/>
      <c r="TU26" s="575"/>
      <c r="TV26" s="575"/>
      <c r="TW26" s="575"/>
      <c r="TX26" s="575"/>
      <c r="TY26" s="575"/>
      <c r="TZ26" s="575"/>
      <c r="UA26" s="575"/>
      <c r="UB26" s="575"/>
      <c r="UC26" s="575"/>
      <c r="UD26" s="575"/>
      <c r="UE26" s="575"/>
      <c r="UF26" s="575"/>
      <c r="UG26" s="575"/>
      <c r="UH26" s="575"/>
      <c r="UI26" s="575"/>
      <c r="UJ26" s="575"/>
      <c r="UK26" s="575"/>
      <c r="UL26" s="575"/>
      <c r="UM26" s="575"/>
      <c r="UN26" s="575"/>
      <c r="UO26" s="575"/>
      <c r="UP26" s="575"/>
      <c r="UQ26" s="575"/>
      <c r="UR26" s="575"/>
      <c r="US26" s="575"/>
      <c r="UT26" s="575"/>
      <c r="UU26" s="575"/>
      <c r="UV26" s="575"/>
      <c r="UW26" s="575"/>
      <c r="UX26" s="575"/>
      <c r="UY26" s="575"/>
      <c r="UZ26" s="575"/>
      <c r="VA26" s="575"/>
      <c r="VB26" s="575"/>
      <c r="VC26" s="575"/>
      <c r="VD26" s="575"/>
      <c r="VE26" s="575"/>
      <c r="VF26" s="575"/>
      <c r="VG26" s="575"/>
      <c r="VH26" s="575"/>
      <c r="VI26" s="575"/>
      <c r="VJ26" s="575"/>
      <c r="VK26" s="575"/>
      <c r="VL26" s="575"/>
      <c r="VM26" s="575"/>
      <c r="VN26" s="575"/>
      <c r="VO26" s="575"/>
      <c r="VP26" s="575"/>
      <c r="VQ26" s="575"/>
      <c r="VR26" s="575"/>
      <c r="VS26" s="575"/>
      <c r="VT26" s="575"/>
      <c r="VU26" s="575"/>
      <c r="VV26" s="575"/>
      <c r="VW26" s="575"/>
      <c r="VX26" s="575"/>
      <c r="VY26" s="575"/>
      <c r="VZ26" s="575"/>
      <c r="WA26" s="575"/>
      <c r="WB26" s="575"/>
      <c r="WC26" s="575"/>
      <c r="WD26" s="575"/>
      <c r="WE26" s="575"/>
      <c r="WF26" s="575"/>
      <c r="WG26" s="575"/>
      <c r="WH26" s="575"/>
      <c r="WI26" s="575"/>
      <c r="WJ26" s="575"/>
      <c r="WK26" s="575"/>
      <c r="WL26" s="575"/>
      <c r="WM26" s="575"/>
      <c r="WN26" s="575"/>
      <c r="WO26" s="575"/>
      <c r="WP26" s="575"/>
      <c r="WQ26" s="575"/>
      <c r="WR26" s="575"/>
      <c r="WS26" s="575"/>
      <c r="WT26" s="575"/>
      <c r="WU26" s="575"/>
      <c r="WV26" s="575"/>
      <c r="WW26" s="575"/>
      <c r="WX26" s="575"/>
      <c r="WY26" s="575"/>
      <c r="WZ26" s="575"/>
      <c r="XA26" s="575"/>
      <c r="XB26" s="575"/>
      <c r="XC26" s="575"/>
      <c r="XD26" s="575"/>
      <c r="XE26" s="575"/>
      <c r="XF26" s="575"/>
      <c r="XG26" s="575"/>
      <c r="XH26" s="575"/>
      <c r="XI26" s="575"/>
      <c r="XJ26" s="575"/>
      <c r="XK26" s="575"/>
      <c r="XL26" s="575"/>
      <c r="XM26" s="575"/>
      <c r="XN26" s="575"/>
      <c r="XO26" s="575"/>
      <c r="XP26" s="575"/>
      <c r="XQ26" s="575"/>
      <c r="XR26" s="575"/>
      <c r="XS26" s="575"/>
      <c r="XT26" s="575"/>
      <c r="XU26" s="575"/>
      <c r="XV26" s="575"/>
      <c r="XW26" s="575"/>
      <c r="XX26" s="575"/>
      <c r="XY26" s="575"/>
      <c r="XZ26" s="575"/>
      <c r="YA26" s="575"/>
      <c r="YB26" s="575"/>
      <c r="YC26" s="575"/>
      <c r="YD26" s="575"/>
      <c r="YE26" s="575"/>
      <c r="YF26" s="575"/>
      <c r="YG26" s="575"/>
      <c r="YH26" s="575"/>
      <c r="YI26" s="575"/>
      <c r="YJ26" s="575"/>
      <c r="YK26" s="575"/>
      <c r="YL26" s="575"/>
      <c r="YM26" s="575"/>
      <c r="YN26" s="575"/>
      <c r="YO26" s="575"/>
      <c r="YP26" s="575"/>
      <c r="YQ26" s="575"/>
      <c r="YR26" s="575"/>
      <c r="YS26" s="575"/>
      <c r="YT26" s="575"/>
      <c r="YU26" s="575"/>
      <c r="YV26" s="575"/>
      <c r="YW26" s="575"/>
      <c r="YX26" s="575"/>
      <c r="YY26" s="575"/>
      <c r="YZ26" s="575"/>
      <c r="ZA26" s="575"/>
      <c r="ZB26" s="575"/>
      <c r="ZC26" s="575"/>
      <c r="ZD26" s="575"/>
      <c r="ZE26" s="575"/>
      <c r="ZF26" s="575"/>
      <c r="ZG26" s="575"/>
      <c r="ZH26" s="575"/>
      <c r="ZI26" s="575"/>
      <c r="ZJ26" s="575"/>
      <c r="ZK26" s="575"/>
      <c r="ZL26" s="575"/>
      <c r="ZM26" s="575"/>
      <c r="ZN26" s="575"/>
      <c r="ZO26" s="575"/>
      <c r="ZP26" s="575"/>
      <c r="ZQ26" s="575"/>
      <c r="ZR26" s="575"/>
      <c r="ZS26" s="575"/>
      <c r="ZT26" s="575"/>
      <c r="ZU26" s="575"/>
      <c r="ZV26" s="575"/>
      <c r="ZW26" s="575"/>
      <c r="ZX26" s="575"/>
      <c r="ZY26" s="575"/>
      <c r="ZZ26" s="575"/>
      <c r="AAA26" s="575"/>
      <c r="AAB26" s="575"/>
      <c r="AAC26" s="575"/>
      <c r="AAD26" s="575"/>
      <c r="AAE26" s="575"/>
      <c r="AAF26" s="575"/>
      <c r="AAG26" s="575"/>
      <c r="AAH26" s="575"/>
      <c r="AAI26" s="575"/>
      <c r="AAJ26" s="575"/>
      <c r="AAK26" s="575"/>
      <c r="AAL26" s="575"/>
      <c r="AAM26" s="575"/>
      <c r="AAN26" s="575"/>
      <c r="AAO26" s="575"/>
      <c r="AAP26" s="575"/>
      <c r="AAQ26" s="575"/>
      <c r="AAR26" s="575"/>
      <c r="AAS26" s="575"/>
      <c r="AAT26" s="575"/>
      <c r="AAU26" s="575"/>
      <c r="AAV26" s="575"/>
      <c r="AAW26" s="575"/>
      <c r="AAX26" s="575"/>
      <c r="AAY26" s="575"/>
      <c r="AAZ26" s="575"/>
      <c r="ABA26" s="575"/>
      <c r="ABB26" s="575"/>
      <c r="ABC26" s="575"/>
      <c r="ABD26" s="575"/>
      <c r="ABE26" s="575"/>
      <c r="ABF26" s="575"/>
      <c r="ABG26" s="575"/>
      <c r="ABH26" s="575"/>
      <c r="ABI26" s="575"/>
      <c r="ABJ26" s="575"/>
      <c r="ABK26" s="575"/>
      <c r="ABL26" s="575"/>
      <c r="ABM26" s="575"/>
      <c r="ABN26" s="575"/>
      <c r="ABO26" s="575"/>
      <c r="ABP26" s="575"/>
      <c r="ABQ26" s="575"/>
      <c r="ABR26" s="575"/>
      <c r="ABS26" s="575"/>
      <c r="ABT26" s="575"/>
      <c r="ABU26" s="575"/>
      <c r="ABV26" s="575"/>
      <c r="ABW26" s="575"/>
      <c r="ABX26" s="575"/>
      <c r="ABY26" s="575"/>
      <c r="ABZ26" s="575"/>
      <c r="ACA26" s="575"/>
      <c r="ACB26" s="575"/>
      <c r="ACC26" s="575"/>
      <c r="ACD26" s="575"/>
      <c r="ACE26" s="575"/>
      <c r="ACF26" s="575"/>
      <c r="ACG26" s="575"/>
      <c r="ACH26" s="575"/>
      <c r="ACI26" s="575"/>
      <c r="ACJ26" s="575"/>
      <c r="ACK26" s="575"/>
      <c r="ACL26" s="575"/>
      <c r="ACM26" s="575"/>
      <c r="ACN26" s="575"/>
      <c r="ACO26" s="575"/>
      <c r="ACP26" s="575"/>
      <c r="ACQ26" s="575"/>
      <c r="ACR26" s="575"/>
      <c r="ACS26" s="575"/>
      <c r="ACT26" s="575"/>
      <c r="ACU26" s="575"/>
      <c r="ACV26" s="575"/>
      <c r="ACW26" s="575"/>
      <c r="ACX26" s="575"/>
      <c r="ACY26" s="575"/>
      <c r="ACZ26" s="575"/>
      <c r="ADA26" s="575"/>
      <c r="ADB26" s="575"/>
      <c r="ADC26" s="575"/>
      <c r="ADD26" s="575"/>
      <c r="ADE26" s="575"/>
      <c r="ADF26" s="575"/>
      <c r="ADG26" s="575"/>
      <c r="ADH26" s="575"/>
      <c r="ADI26" s="575"/>
      <c r="ADJ26" s="575"/>
      <c r="ADK26" s="575"/>
      <c r="ADL26" s="575"/>
      <c r="ADM26" s="575"/>
      <c r="ADN26" s="575"/>
      <c r="ADO26" s="575"/>
      <c r="ADP26" s="575"/>
      <c r="ADQ26" s="575"/>
      <c r="ADR26" s="575"/>
      <c r="ADS26" s="575"/>
      <c r="ADT26" s="575"/>
      <c r="ADU26" s="575"/>
      <c r="ADV26" s="575"/>
      <c r="ADW26" s="575"/>
      <c r="ADX26" s="575"/>
      <c r="ADY26" s="575"/>
      <c r="ADZ26" s="575"/>
      <c r="AEA26" s="575"/>
      <c r="AEB26" s="575"/>
      <c r="AEC26" s="575"/>
      <c r="AED26" s="575"/>
      <c r="AEE26" s="575"/>
      <c r="AEF26" s="575"/>
      <c r="AEG26" s="575"/>
      <c r="AEH26" s="575"/>
      <c r="AEI26" s="575"/>
      <c r="AEJ26" s="575"/>
      <c r="AEK26" s="575"/>
      <c r="AEL26" s="575"/>
      <c r="AEM26" s="575"/>
      <c r="AEN26" s="575"/>
      <c r="AEO26" s="575"/>
      <c r="AEP26" s="575"/>
      <c r="AEQ26" s="575"/>
      <c r="AER26" s="575"/>
      <c r="AES26" s="575"/>
      <c r="AET26" s="575"/>
      <c r="AEU26" s="575"/>
      <c r="AEV26" s="575"/>
      <c r="AEW26" s="575"/>
      <c r="AEX26" s="575"/>
      <c r="AEY26" s="575"/>
      <c r="AEZ26" s="575"/>
      <c r="AFA26" s="575"/>
      <c r="AFB26" s="575"/>
      <c r="AFC26" s="575"/>
      <c r="AFD26" s="575"/>
      <c r="AFE26" s="575"/>
      <c r="AFF26" s="575"/>
      <c r="AFG26" s="575"/>
      <c r="AFH26" s="575"/>
      <c r="AFI26" s="575"/>
      <c r="AFJ26" s="575"/>
      <c r="AFK26" s="575"/>
      <c r="AFL26" s="575"/>
      <c r="AFM26" s="575"/>
      <c r="AFN26" s="575"/>
      <c r="AFO26" s="575"/>
      <c r="AFP26" s="575"/>
      <c r="AFQ26" s="575"/>
      <c r="AFR26" s="575"/>
      <c r="AFS26" s="575"/>
      <c r="AFT26" s="575"/>
      <c r="AFU26" s="575"/>
      <c r="AFV26" s="575"/>
      <c r="AFW26" s="575"/>
      <c r="AFX26" s="575"/>
      <c r="AFY26" s="575"/>
      <c r="AFZ26" s="575"/>
      <c r="AGA26" s="575"/>
      <c r="AGB26" s="575"/>
      <c r="AGC26" s="575"/>
      <c r="AGD26" s="575"/>
      <c r="AGE26" s="575"/>
      <c r="AGF26" s="575"/>
      <c r="AGG26" s="575"/>
      <c r="AGH26" s="575"/>
      <c r="AGI26" s="575"/>
      <c r="AGJ26" s="575"/>
      <c r="AGK26" s="575"/>
      <c r="AGL26" s="575"/>
      <c r="AGM26" s="575"/>
      <c r="AGN26" s="575"/>
      <c r="AGO26" s="575"/>
      <c r="AGP26" s="575"/>
      <c r="AGQ26" s="575"/>
      <c r="AGR26" s="575"/>
      <c r="AGS26" s="575"/>
      <c r="AGT26" s="575"/>
      <c r="AGU26" s="575"/>
      <c r="AGV26" s="575"/>
      <c r="AGW26" s="575"/>
      <c r="AGX26" s="575"/>
      <c r="AGY26" s="575"/>
      <c r="AGZ26" s="575"/>
      <c r="AHA26" s="575"/>
      <c r="AHB26" s="575"/>
      <c r="AHC26" s="575"/>
      <c r="AHD26" s="575"/>
      <c r="AHE26" s="575"/>
      <c r="AHF26" s="575"/>
      <c r="AHG26" s="575"/>
      <c r="AHH26" s="575"/>
      <c r="AHI26" s="575"/>
      <c r="AHJ26" s="575"/>
      <c r="AHK26" s="575"/>
      <c r="AHL26" s="575"/>
      <c r="AHM26" s="575"/>
      <c r="AHN26" s="575"/>
      <c r="AHO26" s="575"/>
      <c r="AHP26" s="575"/>
      <c r="AHQ26" s="575"/>
      <c r="AHR26" s="575"/>
      <c r="AHS26" s="575"/>
      <c r="AHT26" s="575"/>
      <c r="AHU26" s="575"/>
      <c r="AHV26" s="575"/>
      <c r="AHW26" s="575"/>
      <c r="AHX26" s="575"/>
      <c r="AHY26" s="575"/>
      <c r="AHZ26" s="575"/>
      <c r="AIA26" s="575"/>
      <c r="AIB26" s="575"/>
      <c r="AIC26" s="575"/>
      <c r="AID26" s="575"/>
      <c r="AIE26" s="575"/>
      <c r="AIF26" s="575"/>
      <c r="AIG26" s="575"/>
      <c r="AIH26" s="575"/>
      <c r="AII26" s="575"/>
      <c r="AIJ26" s="575"/>
      <c r="AIK26" s="575"/>
      <c r="AIL26" s="575"/>
      <c r="AIM26" s="575"/>
      <c r="AIN26" s="575"/>
      <c r="AIO26" s="575"/>
      <c r="AIP26" s="575"/>
      <c r="AIQ26" s="575"/>
      <c r="AIR26" s="575"/>
      <c r="AIS26" s="575"/>
      <c r="AIT26" s="575"/>
      <c r="AIU26" s="575"/>
      <c r="AIV26" s="575"/>
      <c r="AIW26" s="575"/>
      <c r="AIX26" s="575"/>
      <c r="AIY26" s="575"/>
      <c r="AIZ26" s="575"/>
      <c r="AJA26" s="575"/>
      <c r="AJB26" s="575"/>
      <c r="AJC26" s="575"/>
      <c r="AJD26" s="575"/>
      <c r="AJE26" s="575"/>
      <c r="AJF26" s="575"/>
      <c r="AJG26" s="575"/>
      <c r="AJH26" s="575"/>
      <c r="AJI26" s="575"/>
      <c r="AJJ26" s="575"/>
      <c r="AJK26" s="575"/>
      <c r="AJL26" s="575"/>
      <c r="AJM26" s="575"/>
      <c r="AJN26" s="575"/>
      <c r="AJO26" s="575"/>
      <c r="AJP26" s="575"/>
      <c r="AJQ26" s="575"/>
      <c r="AJR26" s="575"/>
      <c r="AJS26" s="575"/>
      <c r="AJT26" s="575"/>
      <c r="AJU26" s="575"/>
      <c r="AJV26" s="575"/>
      <c r="AJW26" s="575"/>
      <c r="AJX26" s="575"/>
      <c r="AJY26" s="575"/>
      <c r="AJZ26" s="575"/>
      <c r="AKA26" s="575"/>
      <c r="AKB26" s="575"/>
      <c r="AKC26" s="575"/>
      <c r="AKD26" s="575"/>
      <c r="AKE26" s="575"/>
      <c r="AKF26" s="575"/>
      <c r="AKG26" s="575"/>
      <c r="AKH26" s="575"/>
      <c r="AKI26" s="575"/>
      <c r="AKJ26" s="575"/>
      <c r="AKK26" s="575"/>
      <c r="AKL26" s="575"/>
      <c r="AKM26" s="575"/>
      <c r="AKN26" s="575"/>
      <c r="AKO26" s="575"/>
      <c r="AKP26" s="575"/>
      <c r="AKQ26" s="575"/>
      <c r="AKR26" s="575"/>
      <c r="AKS26" s="575"/>
      <c r="AKT26" s="575"/>
      <c r="AKU26" s="575"/>
      <c r="AKV26" s="575"/>
      <c r="AKW26" s="575"/>
      <c r="AKX26" s="575"/>
      <c r="AKY26" s="575"/>
      <c r="AKZ26" s="575"/>
      <c r="ALA26" s="575"/>
      <c r="ALB26" s="575"/>
      <c r="ALC26" s="575"/>
      <c r="ALD26" s="575"/>
      <c r="ALE26" s="575"/>
      <c r="ALF26" s="575"/>
      <c r="ALG26" s="575"/>
      <c r="ALH26" s="575"/>
      <c r="ALI26" s="575"/>
      <c r="ALJ26" s="575"/>
      <c r="ALK26" s="575"/>
      <c r="ALL26" s="575"/>
      <c r="ALM26" s="575"/>
      <c r="ALN26" s="575"/>
      <c r="ALO26" s="575"/>
      <c r="ALP26" s="575"/>
      <c r="ALQ26" s="575"/>
      <c r="ALR26" s="575"/>
      <c r="ALS26" s="575"/>
      <c r="ALT26" s="575"/>
      <c r="ALU26" s="575"/>
      <c r="ALV26" s="575"/>
      <c r="ALW26" s="575"/>
      <c r="ALX26" s="575"/>
      <c r="ALY26" s="575"/>
      <c r="ALZ26" s="575"/>
      <c r="AMA26" s="575"/>
      <c r="AMB26" s="575"/>
      <c r="AMC26" s="575"/>
      <c r="AMD26" s="575"/>
      <c r="AME26" s="575"/>
      <c r="AMF26" s="575"/>
      <c r="AMG26" s="575"/>
      <c r="AMH26" s="575"/>
      <c r="AMI26" s="575"/>
      <c r="AMJ26" s="575"/>
      <c r="AMK26" s="575"/>
      <c r="AML26" s="575"/>
      <c r="AMM26" s="575"/>
      <c r="AMN26" s="575"/>
      <c r="AMO26" s="575"/>
      <c r="AMP26" s="575"/>
      <c r="AMQ26" s="575"/>
      <c r="AMR26" s="575"/>
      <c r="AMS26" s="575"/>
      <c r="AMT26" s="575"/>
      <c r="AMU26" s="575"/>
      <c r="AMV26" s="575"/>
      <c r="AMW26" s="575"/>
      <c r="AMX26" s="575"/>
      <c r="AMY26" s="575"/>
      <c r="AMZ26" s="575"/>
      <c r="ANA26" s="575"/>
      <c r="ANB26" s="575"/>
      <c r="ANC26" s="575"/>
      <c r="AND26" s="575"/>
      <c r="ANE26" s="575"/>
      <c r="ANF26" s="575"/>
      <c r="ANG26" s="575"/>
      <c r="ANH26" s="575"/>
      <c r="ANI26" s="575"/>
      <c r="ANJ26" s="575"/>
      <c r="ANK26" s="575"/>
      <c r="ANL26" s="575"/>
      <c r="ANM26" s="575"/>
      <c r="ANN26" s="575"/>
      <c r="ANO26" s="575"/>
      <c r="ANP26" s="575"/>
      <c r="ANQ26" s="575"/>
      <c r="ANR26" s="575"/>
      <c r="ANS26" s="575"/>
      <c r="ANT26" s="575"/>
      <c r="ANU26" s="575"/>
      <c r="ANV26" s="575"/>
      <c r="ANW26" s="575"/>
      <c r="ANX26" s="575"/>
      <c r="ANY26" s="575"/>
      <c r="ANZ26" s="575"/>
      <c r="AOA26" s="575"/>
      <c r="AOB26" s="575"/>
      <c r="AOC26" s="575"/>
      <c r="AOD26" s="575"/>
      <c r="AOE26" s="575"/>
      <c r="AOF26" s="575"/>
      <c r="AOG26" s="575"/>
      <c r="AOH26" s="575"/>
      <c r="AOI26" s="575"/>
      <c r="AOJ26" s="575"/>
      <c r="AOK26" s="575"/>
      <c r="AOL26" s="575"/>
      <c r="AOM26" s="575"/>
      <c r="AON26" s="575"/>
      <c r="AOO26" s="575"/>
      <c r="AOP26" s="575"/>
      <c r="AOQ26" s="575"/>
      <c r="AOR26" s="575"/>
      <c r="AOS26" s="575"/>
      <c r="AOT26" s="575"/>
      <c r="AOU26" s="575"/>
      <c r="AOV26" s="575"/>
      <c r="AOW26" s="575"/>
      <c r="AOX26" s="575"/>
      <c r="AOY26" s="575"/>
      <c r="AOZ26" s="575"/>
      <c r="APA26" s="575"/>
      <c r="APB26" s="575"/>
      <c r="APC26" s="575"/>
      <c r="APD26" s="575"/>
      <c r="APE26" s="575"/>
      <c r="APF26" s="575"/>
      <c r="APG26" s="575"/>
      <c r="APH26" s="575"/>
      <c r="API26" s="575"/>
      <c r="APJ26" s="575"/>
      <c r="APK26" s="575"/>
      <c r="APL26" s="575"/>
      <c r="APM26" s="575"/>
      <c r="APN26" s="575"/>
      <c r="APO26" s="575"/>
      <c r="APP26" s="575"/>
      <c r="APQ26" s="575"/>
      <c r="APR26" s="575"/>
      <c r="APS26" s="575"/>
      <c r="APT26" s="575"/>
      <c r="APU26" s="575"/>
      <c r="APV26" s="575"/>
      <c r="APW26" s="575"/>
      <c r="APX26" s="575"/>
      <c r="APY26" s="575"/>
      <c r="APZ26" s="575"/>
      <c r="AQA26" s="575"/>
      <c r="AQB26" s="575"/>
      <c r="AQC26" s="575"/>
      <c r="AQD26" s="575"/>
      <c r="AQE26" s="575"/>
      <c r="AQF26" s="575"/>
      <c r="AQG26" s="575"/>
      <c r="AQH26" s="575"/>
      <c r="AQI26" s="575"/>
      <c r="AQJ26" s="575"/>
      <c r="AQK26" s="575"/>
      <c r="AQL26" s="575"/>
      <c r="AQM26" s="575"/>
      <c r="AQN26" s="575"/>
      <c r="AQO26" s="575"/>
      <c r="AQP26" s="575"/>
      <c r="AQQ26" s="575"/>
      <c r="AQR26" s="575"/>
      <c r="AQS26" s="575"/>
      <c r="AQT26" s="575"/>
      <c r="AQU26" s="575"/>
      <c r="AQV26" s="575"/>
      <c r="AQW26" s="575"/>
      <c r="AQX26" s="575"/>
      <c r="AQY26" s="575"/>
      <c r="AQZ26" s="575"/>
      <c r="ARA26" s="575"/>
      <c r="ARB26" s="575"/>
      <c r="ARC26" s="575"/>
      <c r="ARD26" s="575"/>
      <c r="ARE26" s="575"/>
      <c r="ARF26" s="575"/>
      <c r="ARG26" s="575"/>
      <c r="ARH26" s="575"/>
      <c r="ARI26" s="575"/>
      <c r="ARJ26" s="575"/>
      <c r="ARK26" s="575"/>
      <c r="ARL26" s="575"/>
      <c r="ARM26" s="575"/>
      <c r="ARN26" s="575"/>
      <c r="ARO26" s="575"/>
      <c r="ARP26" s="575"/>
      <c r="ARQ26" s="575"/>
      <c r="ARR26" s="575"/>
      <c r="ARS26" s="575"/>
      <c r="ART26" s="575"/>
      <c r="ARU26" s="575"/>
      <c r="ARV26" s="575"/>
      <c r="ARW26" s="575"/>
      <c r="ARX26" s="575"/>
      <c r="ARY26" s="575"/>
      <c r="ARZ26" s="575"/>
      <c r="ASA26" s="575"/>
      <c r="ASB26" s="575"/>
      <c r="ASC26" s="575"/>
      <c r="ASD26" s="575"/>
      <c r="ASE26" s="575"/>
      <c r="ASF26" s="575"/>
      <c r="ASG26" s="575"/>
      <c r="ASH26" s="575"/>
      <c r="ASI26" s="575"/>
      <c r="ASJ26" s="575"/>
      <c r="ASK26" s="575"/>
      <c r="ASL26" s="575"/>
      <c r="ASM26" s="575"/>
      <c r="ASN26" s="575"/>
      <c r="ASO26" s="575"/>
      <c r="ASP26" s="575"/>
      <c r="ASQ26" s="575"/>
      <c r="ASR26" s="575"/>
      <c r="ASS26" s="575"/>
      <c r="AST26" s="575"/>
      <c r="ASU26" s="575"/>
      <c r="ASV26" s="575"/>
      <c r="ASW26" s="575"/>
      <c r="ASX26" s="575"/>
      <c r="ASY26" s="575"/>
      <c r="ASZ26" s="575"/>
      <c r="ATA26" s="575"/>
      <c r="ATB26" s="575"/>
      <c r="ATC26" s="575"/>
      <c r="ATD26" s="575"/>
      <c r="ATE26" s="575"/>
      <c r="ATF26" s="575"/>
      <c r="ATG26" s="575"/>
      <c r="ATH26" s="575"/>
      <c r="ATI26" s="575"/>
      <c r="ATJ26" s="575"/>
      <c r="ATK26" s="575"/>
      <c r="ATL26" s="575"/>
      <c r="ATM26" s="575"/>
      <c r="ATN26" s="575"/>
      <c r="ATO26" s="575"/>
      <c r="ATP26" s="575"/>
      <c r="ATQ26" s="575"/>
      <c r="ATR26" s="575"/>
      <c r="ATS26" s="575"/>
      <c r="ATT26" s="575"/>
      <c r="ATU26" s="575"/>
      <c r="ATV26" s="575"/>
      <c r="ATW26" s="575"/>
      <c r="ATX26" s="575"/>
      <c r="ATY26" s="575"/>
      <c r="ATZ26" s="575"/>
      <c r="AUA26" s="575"/>
      <c r="AUB26" s="575"/>
      <c r="AUC26" s="575"/>
      <c r="AUD26" s="575"/>
      <c r="AUE26" s="575"/>
      <c r="AUF26" s="575"/>
      <c r="AUG26" s="575"/>
      <c r="AUH26" s="575"/>
      <c r="AUI26" s="575"/>
      <c r="AUJ26" s="575"/>
      <c r="AUK26" s="575"/>
      <c r="AUL26" s="575"/>
      <c r="AUM26" s="575"/>
      <c r="AUN26" s="575"/>
      <c r="AUO26" s="575"/>
      <c r="AUP26" s="575"/>
      <c r="AUQ26" s="575"/>
      <c r="AUR26" s="575"/>
      <c r="AUS26" s="575"/>
      <c r="AUT26" s="575"/>
      <c r="AUU26" s="575"/>
      <c r="AUV26" s="575"/>
      <c r="AUW26" s="575"/>
      <c r="AUX26" s="575"/>
      <c r="AUY26" s="575"/>
      <c r="AUZ26" s="575"/>
      <c r="AVA26" s="575"/>
      <c r="AVB26" s="575"/>
      <c r="AVC26" s="575"/>
      <c r="AVD26" s="575"/>
      <c r="AVE26" s="575"/>
      <c r="AVF26" s="575"/>
      <c r="AVG26" s="575"/>
      <c r="AVH26" s="575"/>
      <c r="AVI26" s="575"/>
      <c r="AVJ26" s="575"/>
      <c r="AVK26" s="575"/>
      <c r="AVL26" s="575"/>
      <c r="AVM26" s="575"/>
      <c r="AVN26" s="575"/>
      <c r="AVO26" s="575"/>
      <c r="AVP26" s="575"/>
      <c r="AVQ26" s="575"/>
      <c r="AVR26" s="575"/>
      <c r="AVS26" s="575"/>
      <c r="AVT26" s="575"/>
      <c r="AVU26" s="575"/>
      <c r="AVV26" s="575"/>
      <c r="AVW26" s="575"/>
      <c r="AVX26" s="575"/>
      <c r="AVY26" s="575"/>
      <c r="AVZ26" s="575"/>
      <c r="AWA26" s="575"/>
      <c r="AWB26" s="575"/>
      <c r="AWC26" s="575"/>
      <c r="AWD26" s="575"/>
      <c r="AWE26" s="575"/>
      <c r="AWF26" s="575"/>
      <c r="AWG26" s="575"/>
      <c r="AWH26" s="575"/>
      <c r="AWI26" s="575"/>
      <c r="AWJ26" s="575"/>
      <c r="AWK26" s="575"/>
      <c r="AWL26" s="575"/>
      <c r="AWM26" s="575"/>
      <c r="AWN26" s="575"/>
      <c r="AWO26" s="575"/>
      <c r="AWP26" s="575"/>
      <c r="AWQ26" s="575"/>
      <c r="AWR26" s="575"/>
      <c r="AWS26" s="575"/>
      <c r="AWT26" s="575"/>
      <c r="AWU26" s="575"/>
      <c r="AWV26" s="575"/>
      <c r="AWW26" s="575"/>
      <c r="AWX26" s="575"/>
      <c r="AWY26" s="575"/>
      <c r="AWZ26" s="575"/>
      <c r="AXA26" s="575"/>
      <c r="AXB26" s="575"/>
      <c r="AXC26" s="575"/>
      <c r="AXD26" s="575"/>
      <c r="AXE26" s="575"/>
      <c r="AXF26" s="575"/>
      <c r="AXG26" s="575"/>
      <c r="AXH26" s="575"/>
      <c r="AXI26" s="575"/>
      <c r="AXJ26" s="575"/>
      <c r="AXK26" s="575"/>
      <c r="AXL26" s="575"/>
      <c r="AXM26" s="575"/>
      <c r="AXN26" s="575"/>
      <c r="AXO26" s="575"/>
      <c r="AXP26" s="575"/>
      <c r="AXQ26" s="575"/>
      <c r="AXR26" s="575"/>
      <c r="AXS26" s="575"/>
      <c r="AXT26" s="575"/>
      <c r="AXU26" s="575"/>
      <c r="AXV26" s="575"/>
      <c r="AXW26" s="575"/>
      <c r="AXX26" s="575"/>
      <c r="AXY26" s="575"/>
      <c r="AXZ26" s="575"/>
      <c r="AYA26" s="575"/>
      <c r="AYB26" s="575"/>
      <c r="AYC26" s="575"/>
      <c r="AYD26" s="575"/>
      <c r="AYE26" s="575"/>
      <c r="AYF26" s="575"/>
      <c r="AYG26" s="575"/>
      <c r="AYH26" s="575"/>
      <c r="AYI26" s="575"/>
      <c r="AYJ26" s="575"/>
      <c r="AYK26" s="575"/>
      <c r="AYL26" s="575"/>
      <c r="AYM26" s="575"/>
      <c r="AYN26" s="575"/>
      <c r="AYO26" s="575"/>
      <c r="AYP26" s="575"/>
      <c r="AYQ26" s="575"/>
      <c r="AYR26" s="575"/>
      <c r="AYS26" s="575"/>
      <c r="AYT26" s="575"/>
      <c r="AYU26" s="575"/>
      <c r="AYV26" s="575"/>
      <c r="AYW26" s="575"/>
      <c r="AYX26" s="575"/>
      <c r="AYY26" s="575"/>
      <c r="AYZ26" s="575"/>
      <c r="AZA26" s="575"/>
      <c r="AZB26" s="575"/>
      <c r="AZC26" s="575"/>
      <c r="AZD26" s="575"/>
      <c r="AZE26" s="575"/>
      <c r="AZF26" s="575"/>
      <c r="AZG26" s="575"/>
      <c r="AZH26" s="575"/>
      <c r="AZI26" s="575"/>
      <c r="AZJ26" s="575"/>
      <c r="AZK26" s="575"/>
      <c r="AZL26" s="575"/>
      <c r="AZM26" s="575"/>
      <c r="AZN26" s="575"/>
      <c r="AZO26" s="575"/>
      <c r="AZP26" s="575"/>
      <c r="AZQ26" s="575"/>
      <c r="AZR26" s="575"/>
      <c r="AZS26" s="575"/>
      <c r="AZT26" s="575"/>
      <c r="AZU26" s="575"/>
      <c r="AZV26" s="575"/>
      <c r="AZW26" s="575"/>
      <c r="AZX26" s="575"/>
      <c r="AZY26" s="575"/>
      <c r="AZZ26" s="575"/>
      <c r="BAA26" s="575"/>
      <c r="BAB26" s="575"/>
      <c r="BAC26" s="575"/>
      <c r="BAD26" s="575"/>
      <c r="BAE26" s="575"/>
      <c r="BAF26" s="575"/>
      <c r="BAG26" s="575"/>
      <c r="BAH26" s="575"/>
      <c r="BAI26" s="575"/>
      <c r="BAJ26" s="575"/>
      <c r="BAK26" s="575"/>
      <c r="BAL26" s="575"/>
      <c r="BAM26" s="575"/>
      <c r="BAN26" s="575"/>
      <c r="BAO26" s="575"/>
      <c r="BAP26" s="575"/>
      <c r="BAQ26" s="575"/>
      <c r="BAR26" s="575"/>
      <c r="BAS26" s="575"/>
      <c r="BAT26" s="575"/>
      <c r="BAU26" s="575"/>
      <c r="BAV26" s="575"/>
      <c r="BAW26" s="575"/>
      <c r="BAX26" s="575"/>
      <c r="BAY26" s="575"/>
      <c r="BAZ26" s="575"/>
      <c r="BBA26" s="575"/>
      <c r="BBB26" s="575"/>
      <c r="BBC26" s="575"/>
      <c r="BBD26" s="575"/>
      <c r="BBE26" s="575"/>
      <c r="BBF26" s="575"/>
      <c r="BBG26" s="575"/>
      <c r="BBH26" s="575"/>
      <c r="BBI26" s="575"/>
      <c r="BBJ26" s="575"/>
      <c r="BBK26" s="575"/>
      <c r="BBL26" s="575"/>
      <c r="BBM26" s="575"/>
      <c r="BBN26" s="575"/>
      <c r="BBO26" s="575"/>
      <c r="BBP26" s="575"/>
      <c r="BBQ26" s="575"/>
      <c r="BBR26" s="575"/>
      <c r="BBS26" s="575"/>
      <c r="BBT26" s="575"/>
      <c r="BBU26" s="575"/>
      <c r="BBV26" s="575"/>
      <c r="BBW26" s="575"/>
      <c r="BBX26" s="575"/>
      <c r="BBY26" s="575"/>
      <c r="BBZ26" s="575"/>
      <c r="BCA26" s="575"/>
      <c r="BCB26" s="575"/>
      <c r="BCC26" s="575"/>
      <c r="BCD26" s="575"/>
      <c r="BCE26" s="575"/>
      <c r="BCF26" s="575"/>
      <c r="BCG26" s="575"/>
      <c r="BCH26" s="575"/>
      <c r="BCI26" s="575"/>
      <c r="BCJ26" s="575"/>
      <c r="BCK26" s="575"/>
      <c r="BCL26" s="575"/>
      <c r="BCM26" s="575"/>
      <c r="BCN26" s="575"/>
      <c r="BCO26" s="575"/>
      <c r="BCP26" s="575"/>
      <c r="BCQ26" s="575"/>
      <c r="BCR26" s="575"/>
      <c r="BCS26" s="575"/>
      <c r="BCT26" s="575"/>
      <c r="BCU26" s="575"/>
      <c r="BCV26" s="575"/>
      <c r="BCW26" s="575"/>
      <c r="BCX26" s="575"/>
      <c r="BCY26" s="575"/>
      <c r="BCZ26" s="575"/>
      <c r="BDA26" s="575"/>
      <c r="BDB26" s="575"/>
      <c r="BDC26" s="575"/>
      <c r="BDD26" s="575"/>
      <c r="BDE26" s="575"/>
      <c r="BDF26" s="575"/>
      <c r="BDG26" s="575"/>
      <c r="BDH26" s="575"/>
      <c r="BDI26" s="575"/>
      <c r="BDJ26" s="575"/>
      <c r="BDK26" s="575"/>
      <c r="BDL26" s="575"/>
      <c r="BDM26" s="575"/>
      <c r="BDN26" s="575"/>
      <c r="BDO26" s="575"/>
      <c r="BDP26" s="575"/>
      <c r="BDQ26" s="575"/>
      <c r="BDR26" s="575"/>
      <c r="BDS26" s="575"/>
      <c r="BDT26" s="575"/>
    </row>
    <row r="27" spans="1:1476" x14ac:dyDescent="0.25">
      <c r="A27" s="608">
        <v>5428</v>
      </c>
      <c r="B27" s="609" t="s">
        <v>290</v>
      </c>
      <c r="C27" s="610">
        <v>4215495.59</v>
      </c>
      <c r="D27" s="610">
        <v>526680.52</v>
      </c>
      <c r="E27" s="610"/>
      <c r="F27" s="611"/>
      <c r="G27" s="610">
        <v>28864</v>
      </c>
      <c r="H27" s="610">
        <v>14804.4</v>
      </c>
      <c r="I27" s="610"/>
      <c r="J27" s="610">
        <v>161676.75</v>
      </c>
      <c r="K27" s="610">
        <v>23087.1</v>
      </c>
      <c r="L27" s="610">
        <v>513280.05</v>
      </c>
      <c r="M27" s="434">
        <f t="shared" si="0"/>
        <v>5483888.4099999992</v>
      </c>
      <c r="N27" s="612">
        <v>239748.8</v>
      </c>
      <c r="O27" s="612">
        <v>196758.9</v>
      </c>
      <c r="P27" s="612">
        <v>271683.20000000001</v>
      </c>
      <c r="Q27" s="612">
        <v>26663.84</v>
      </c>
      <c r="R27" s="612">
        <v>283286.55</v>
      </c>
      <c r="S27" s="610">
        <v>4563.57</v>
      </c>
      <c r="T27" s="543">
        <f t="shared" si="1"/>
        <v>6506593.2699999996</v>
      </c>
      <c r="U27" s="575">
        <v>-113343</v>
      </c>
      <c r="V27" s="612"/>
      <c r="W27" s="612">
        <v>-85.84</v>
      </c>
      <c r="X27" s="624">
        <v>74.5</v>
      </c>
      <c r="Y27" s="631">
        <v>1.2</v>
      </c>
      <c r="Z27" s="628">
        <f>VLOOKUP(A27,'[2]2022 toutes communes'!$B$9:$D$317,3,FALSE)</f>
        <v>2414</v>
      </c>
      <c r="AA27" s="617"/>
      <c r="AB27" s="618">
        <v>246503</v>
      </c>
      <c r="AC27" s="547">
        <f>AB27/VPI!R27</f>
        <v>3.4544749473086007</v>
      </c>
      <c r="AD27" s="548">
        <f t="shared" si="2"/>
        <v>636837</v>
      </c>
      <c r="AE27" s="547">
        <f>AD27/VPI!R27</f>
        <v>8.9245869706217249</v>
      </c>
      <c r="AF27" s="618">
        <v>883340</v>
      </c>
      <c r="AG27" s="618">
        <v>122914</v>
      </c>
      <c r="AH27" s="618">
        <v>281369</v>
      </c>
      <c r="AI27" s="627"/>
      <c r="AJ27" s="628">
        <v>0</v>
      </c>
      <c r="AK27" s="547">
        <f>AJ27/VPI!R27</f>
        <v>0</v>
      </c>
      <c r="AL27" s="548">
        <f t="shared" si="3"/>
        <v>24699</v>
      </c>
      <c r="AM27" s="547">
        <f>AL27/VPI!R27</f>
        <v>0.34612997295600917</v>
      </c>
      <c r="AN27" s="628">
        <v>24699</v>
      </c>
      <c r="AO27" s="627"/>
      <c r="AP27" s="629">
        <v>7.7941035715866231</v>
      </c>
      <c r="AR27" s="630">
        <v>0</v>
      </c>
    </row>
    <row r="28" spans="1:1476" x14ac:dyDescent="0.25">
      <c r="A28" s="608">
        <v>5429</v>
      </c>
      <c r="B28" s="609" t="s">
        <v>302</v>
      </c>
      <c r="C28" s="610">
        <v>1064813.8600000001</v>
      </c>
      <c r="D28" s="610">
        <v>143506.15</v>
      </c>
      <c r="E28" s="610"/>
      <c r="F28" s="611"/>
      <c r="G28" s="610">
        <v>33397.75</v>
      </c>
      <c r="H28" s="610">
        <v>4100.8</v>
      </c>
      <c r="I28" s="610"/>
      <c r="J28" s="610">
        <v>-731.21</v>
      </c>
      <c r="K28" s="610">
        <v>752.55</v>
      </c>
      <c r="L28" s="610">
        <v>111739.05</v>
      </c>
      <c r="M28" s="434">
        <f t="shared" si="0"/>
        <v>1357578.9500000002</v>
      </c>
      <c r="N28" s="612">
        <v>15883.15</v>
      </c>
      <c r="O28" s="612">
        <v>0</v>
      </c>
      <c r="P28" s="612">
        <v>32387</v>
      </c>
      <c r="Q28" s="612">
        <v>0</v>
      </c>
      <c r="R28" s="612">
        <v>79501.100000000006</v>
      </c>
      <c r="S28" s="610">
        <v>3918.79</v>
      </c>
      <c r="T28" s="543">
        <f t="shared" si="1"/>
        <v>1489268.9900000002</v>
      </c>
      <c r="U28" s="575">
        <v>-32963.19</v>
      </c>
      <c r="V28" s="612"/>
      <c r="W28" s="612">
        <v>0</v>
      </c>
      <c r="X28" s="624">
        <v>77.5</v>
      </c>
      <c r="Y28" s="631">
        <v>1</v>
      </c>
      <c r="Z28" s="628">
        <f>VLOOKUP(A28,'[2]2022 toutes communes'!$B$9:$D$317,3,FALSE)</f>
        <v>541</v>
      </c>
      <c r="AA28" s="617"/>
      <c r="AB28" s="618">
        <v>0</v>
      </c>
      <c r="AC28" s="547">
        <f>AB28/VPI!R28</f>
        <v>0</v>
      </c>
      <c r="AD28" s="548">
        <f t="shared" si="2"/>
        <v>142921</v>
      </c>
      <c r="AE28" s="547">
        <f>AD28/VPI!R28</f>
        <v>8.3372897603603899</v>
      </c>
      <c r="AF28" s="618">
        <v>142921</v>
      </c>
      <c r="AG28" s="618">
        <v>26609</v>
      </c>
      <c r="AH28" s="618">
        <v>49483</v>
      </c>
      <c r="AI28" s="627"/>
      <c r="AJ28" s="628">
        <v>0</v>
      </c>
      <c r="AK28" s="547">
        <f>AJ28/VPI!R28</f>
        <v>0</v>
      </c>
      <c r="AL28" s="548">
        <f t="shared" si="3"/>
        <v>24891</v>
      </c>
      <c r="AM28" s="547">
        <f>AL28/VPI!R28</f>
        <v>1.4520153051345179</v>
      </c>
      <c r="AN28" s="628">
        <v>24891</v>
      </c>
      <c r="AO28" s="627"/>
      <c r="AP28" s="629">
        <v>18.850790109901546</v>
      </c>
      <c r="AR28" s="630">
        <v>0</v>
      </c>
    </row>
    <row r="29" spans="1:1476" x14ac:dyDescent="0.25">
      <c r="A29" s="608">
        <v>5430</v>
      </c>
      <c r="B29" s="609" t="s">
        <v>303</v>
      </c>
      <c r="C29" s="610">
        <v>1095883.99</v>
      </c>
      <c r="D29" s="610">
        <v>131569.31</v>
      </c>
      <c r="E29" s="610"/>
      <c r="F29" s="611"/>
      <c r="G29" s="610">
        <v>-783.5</v>
      </c>
      <c r="H29" s="610">
        <v>1960.55</v>
      </c>
      <c r="I29" s="610"/>
      <c r="J29" s="610">
        <v>7017.17</v>
      </c>
      <c r="K29" s="610">
        <v>-1384.5</v>
      </c>
      <c r="L29" s="610">
        <v>95036.5</v>
      </c>
      <c r="M29" s="434">
        <f t="shared" si="0"/>
        <v>1329299.52</v>
      </c>
      <c r="N29" s="612">
        <v>11206.4</v>
      </c>
      <c r="O29" s="612"/>
      <c r="P29" s="612">
        <v>49907</v>
      </c>
      <c r="Q29" s="612"/>
      <c r="R29" s="612">
        <v>64624.45</v>
      </c>
      <c r="S29" s="610">
        <v>123.01</v>
      </c>
      <c r="T29" s="543">
        <f t="shared" si="1"/>
        <v>1455160.38</v>
      </c>
      <c r="U29" s="575">
        <v>-2398.1999999999998</v>
      </c>
      <c r="V29" s="612"/>
      <c r="W29" s="612">
        <v>-91.38</v>
      </c>
      <c r="X29" s="624">
        <v>77.5</v>
      </c>
      <c r="Y29" s="631">
        <v>1</v>
      </c>
      <c r="Z29" s="628">
        <f>VLOOKUP(A29,'[2]2022 toutes communes'!$B$9:$D$317,3,FALSE)</f>
        <v>499</v>
      </c>
      <c r="AA29" s="617"/>
      <c r="AB29" s="618">
        <v>45818</v>
      </c>
      <c r="AC29" s="547">
        <f>AB29/VPI!R29</f>
        <v>2.676016900477149</v>
      </c>
      <c r="AD29" s="548">
        <f t="shared" si="2"/>
        <v>100803</v>
      </c>
      <c r="AE29" s="547">
        <f>AD29/VPI!R29</f>
        <v>5.8874357592823356</v>
      </c>
      <c r="AF29" s="618">
        <v>146621</v>
      </c>
      <c r="AG29" s="618">
        <v>24818</v>
      </c>
      <c r="AH29" s="618">
        <v>45041</v>
      </c>
      <c r="AI29" s="627"/>
      <c r="AJ29" s="628">
        <v>0</v>
      </c>
      <c r="AK29" s="547">
        <f>AJ29/VPI!R29</f>
        <v>0</v>
      </c>
      <c r="AL29" s="548">
        <f t="shared" si="3"/>
        <v>-16342</v>
      </c>
      <c r="AM29" s="547">
        <f>AL29/VPI!R29</f>
        <v>-0.95446043449294105</v>
      </c>
      <c r="AN29" s="628">
        <v>-16342</v>
      </c>
      <c r="AO29" s="627"/>
      <c r="AP29" s="629">
        <v>14.824200221946516</v>
      </c>
      <c r="AR29" s="630">
        <v>0</v>
      </c>
    </row>
    <row r="30" spans="1:1476" x14ac:dyDescent="0.25">
      <c r="A30" s="608">
        <v>5431</v>
      </c>
      <c r="B30" s="609" t="s">
        <v>304</v>
      </c>
      <c r="C30" s="610">
        <v>531387.01</v>
      </c>
      <c r="D30" s="610">
        <v>79637.86</v>
      </c>
      <c r="E30" s="610"/>
      <c r="F30" s="611"/>
      <c r="G30" s="610">
        <v>-448.55</v>
      </c>
      <c r="H30" s="610">
        <v>327.7</v>
      </c>
      <c r="I30" s="610"/>
      <c r="J30" s="610">
        <v>38582.04</v>
      </c>
      <c r="K30" s="610">
        <v>799.5</v>
      </c>
      <c r="L30" s="610">
        <v>54478.400000000001</v>
      </c>
      <c r="M30" s="434">
        <f t="shared" si="0"/>
        <v>704763.96</v>
      </c>
      <c r="N30" s="612">
        <v>266.60000000000002</v>
      </c>
      <c r="O30" s="612"/>
      <c r="P30" s="612">
        <v>45650</v>
      </c>
      <c r="Q30" s="612"/>
      <c r="R30" s="612">
        <v>12397.6</v>
      </c>
      <c r="S30" s="610">
        <v>-12.63</v>
      </c>
      <c r="T30" s="543">
        <f t="shared" si="1"/>
        <v>763065.52999999991</v>
      </c>
      <c r="U30" s="575">
        <v>-762.06</v>
      </c>
      <c r="V30" s="612"/>
      <c r="W30" s="612">
        <v>-2835.6</v>
      </c>
      <c r="X30" s="624">
        <v>74</v>
      </c>
      <c r="Y30" s="631">
        <v>1</v>
      </c>
      <c r="Z30" s="628">
        <f>VLOOKUP(A30,'[2]2022 toutes communes'!$B$9:$D$317,3,FALSE)</f>
        <v>324</v>
      </c>
      <c r="AA30" s="617"/>
      <c r="AB30" s="618">
        <v>0</v>
      </c>
      <c r="AC30" s="547">
        <f>AB30/VPI!R30</f>
        <v>0</v>
      </c>
      <c r="AD30" s="548">
        <f t="shared" si="2"/>
        <v>65836</v>
      </c>
      <c r="AE30" s="547">
        <f>AD30/VPI!R30</f>
        <v>6.9483541318410271</v>
      </c>
      <c r="AF30" s="618">
        <v>65836</v>
      </c>
      <c r="AG30" s="618">
        <v>12524</v>
      </c>
      <c r="AH30" s="618">
        <v>36060</v>
      </c>
      <c r="AI30" s="627"/>
      <c r="AJ30" s="628">
        <v>0</v>
      </c>
      <c r="AK30" s="547">
        <f>AJ30/VPI!R30</f>
        <v>0</v>
      </c>
      <c r="AL30" s="548">
        <f t="shared" si="3"/>
        <v>47143</v>
      </c>
      <c r="AM30" s="547">
        <f>AL30/VPI!R30</f>
        <v>4.9754884688830048</v>
      </c>
      <c r="AN30" s="628">
        <v>47143</v>
      </c>
      <c r="AO30" s="627"/>
      <c r="AP30" s="629">
        <v>16.659379426441415</v>
      </c>
      <c r="AR30" s="630">
        <v>0</v>
      </c>
    </row>
    <row r="31" spans="1:1476" s="632" customFormat="1" x14ac:dyDescent="0.25">
      <c r="A31" s="608">
        <v>5434</v>
      </c>
      <c r="B31" s="609" t="s">
        <v>305</v>
      </c>
      <c r="C31" s="610">
        <v>2578778.56</v>
      </c>
      <c r="D31" s="610">
        <v>0</v>
      </c>
      <c r="E31" s="610">
        <v>0</v>
      </c>
      <c r="F31" s="611">
        <v>0</v>
      </c>
      <c r="G31" s="610">
        <v>-1253.8</v>
      </c>
      <c r="H31" s="610">
        <v>3483.9</v>
      </c>
      <c r="I31" s="610">
        <v>0</v>
      </c>
      <c r="J31" s="610">
        <v>36211.4</v>
      </c>
      <c r="K31" s="610">
        <v>4647.2</v>
      </c>
      <c r="L31" s="610">
        <v>295266.05</v>
      </c>
      <c r="M31" s="434">
        <f t="shared" si="0"/>
        <v>2917133.31</v>
      </c>
      <c r="N31" s="612">
        <v>22601.85</v>
      </c>
      <c r="O31" s="612">
        <v>139609.20000000001</v>
      </c>
      <c r="P31" s="612">
        <v>322846.05</v>
      </c>
      <c r="Q31" s="612">
        <v>862.13</v>
      </c>
      <c r="R31" s="612">
        <v>203304.95</v>
      </c>
      <c r="S31" s="610">
        <v>233.06</v>
      </c>
      <c r="T31" s="543">
        <f t="shared" si="1"/>
        <v>3606590.5500000003</v>
      </c>
      <c r="U31" s="575">
        <v>-22698.36</v>
      </c>
      <c r="V31" s="612"/>
      <c r="W31" s="612">
        <v>-3042.95</v>
      </c>
      <c r="X31" s="624">
        <v>69.5</v>
      </c>
      <c r="Y31" s="631">
        <v>1.2</v>
      </c>
      <c r="Z31" s="628">
        <f>VLOOKUP(A31,'[2]2022 toutes communes'!$B$9:$D$317,3,FALSE)</f>
        <v>1069</v>
      </c>
      <c r="AA31" s="617"/>
      <c r="AB31" s="618">
        <v>12088</v>
      </c>
      <c r="AC31" s="547">
        <f>AB31/VPI!R31</f>
        <v>0.29547463781993288</v>
      </c>
      <c r="AD31" s="548">
        <f t="shared" si="2"/>
        <v>345104</v>
      </c>
      <c r="AE31" s="547">
        <f>AD31/VPI!R31</f>
        <v>8.4355955832404135</v>
      </c>
      <c r="AF31" s="618">
        <v>357192</v>
      </c>
      <c r="AG31" s="618">
        <v>54856</v>
      </c>
      <c r="AH31" s="618">
        <v>124429</v>
      </c>
      <c r="AI31" s="627"/>
      <c r="AJ31" s="628">
        <v>0</v>
      </c>
      <c r="AK31" s="547">
        <f>AJ31/VPI!R31</f>
        <v>0</v>
      </c>
      <c r="AL31" s="548">
        <f t="shared" si="3"/>
        <v>7747</v>
      </c>
      <c r="AM31" s="547">
        <f>AL31/VPI!R31</f>
        <v>0.18936482620706652</v>
      </c>
      <c r="AN31" s="628">
        <v>7747</v>
      </c>
      <c r="AO31" s="627"/>
      <c r="AP31" s="629">
        <v>23.719047977736892</v>
      </c>
      <c r="AQ31" s="575"/>
      <c r="AR31" s="630">
        <v>0</v>
      </c>
      <c r="AS31" s="575"/>
      <c r="AT31" s="575"/>
      <c r="AU31" s="575"/>
      <c r="AV31" s="575"/>
      <c r="AW31" s="575"/>
      <c r="AX31" s="575"/>
      <c r="AY31" s="575"/>
      <c r="AZ31" s="575"/>
      <c r="BA31" s="575"/>
      <c r="BB31" s="575"/>
      <c r="BC31" s="575"/>
      <c r="BD31" s="575"/>
      <c r="BE31" s="575"/>
      <c r="BF31" s="575"/>
      <c r="BG31" s="575"/>
      <c r="BH31" s="575"/>
      <c r="BI31" s="575"/>
      <c r="BJ31" s="575"/>
      <c r="BK31" s="575"/>
      <c r="BL31" s="575"/>
      <c r="BM31" s="575"/>
      <c r="BN31" s="575"/>
      <c r="BO31" s="575"/>
      <c r="BP31" s="575"/>
      <c r="BQ31" s="575"/>
      <c r="BR31" s="575"/>
      <c r="BS31" s="575"/>
      <c r="BT31" s="575"/>
      <c r="BU31" s="575"/>
      <c r="BV31" s="575"/>
      <c r="BW31" s="575"/>
      <c r="BX31" s="575"/>
      <c r="BY31" s="575"/>
      <c r="BZ31" s="575"/>
      <c r="CA31" s="575"/>
      <c r="CB31" s="575"/>
      <c r="CC31" s="575"/>
      <c r="CD31" s="575"/>
      <c r="CE31" s="575"/>
      <c r="CF31" s="575"/>
      <c r="CG31" s="575"/>
      <c r="CH31" s="575"/>
      <c r="CI31" s="575"/>
      <c r="CJ31" s="575"/>
      <c r="CK31" s="575"/>
      <c r="CL31" s="575"/>
      <c r="CM31" s="575"/>
      <c r="CN31" s="575"/>
      <c r="CO31" s="575"/>
      <c r="CP31" s="575"/>
      <c r="CQ31" s="575"/>
      <c r="CR31" s="575"/>
      <c r="CS31" s="575"/>
      <c r="CT31" s="575"/>
      <c r="CU31" s="575"/>
      <c r="CV31" s="575"/>
      <c r="CW31" s="575"/>
      <c r="CX31" s="575"/>
      <c r="CY31" s="575"/>
      <c r="CZ31" s="575"/>
      <c r="DA31" s="575"/>
      <c r="DB31" s="575"/>
      <c r="DC31" s="575"/>
      <c r="DD31" s="575"/>
      <c r="DE31" s="575"/>
      <c r="DF31" s="575"/>
      <c r="DG31" s="575"/>
      <c r="DH31" s="575"/>
      <c r="DI31" s="575"/>
      <c r="DJ31" s="575"/>
      <c r="DK31" s="575"/>
      <c r="DL31" s="575"/>
      <c r="DM31" s="575"/>
      <c r="DN31" s="575"/>
      <c r="DO31" s="575"/>
      <c r="DP31" s="575"/>
      <c r="DQ31" s="575"/>
      <c r="DR31" s="575"/>
      <c r="DS31" s="575"/>
      <c r="DT31" s="575"/>
      <c r="DU31" s="575"/>
      <c r="DV31" s="575"/>
      <c r="DW31" s="575"/>
      <c r="DX31" s="575"/>
      <c r="DY31" s="575"/>
      <c r="DZ31" s="575"/>
      <c r="EA31" s="575"/>
      <c r="EB31" s="575"/>
      <c r="EC31" s="575"/>
      <c r="ED31" s="575"/>
      <c r="EE31" s="575"/>
      <c r="EF31" s="575"/>
      <c r="EG31" s="575"/>
      <c r="EH31" s="575"/>
      <c r="EI31" s="575"/>
      <c r="EJ31" s="575"/>
      <c r="EK31" s="575"/>
      <c r="EL31" s="575"/>
      <c r="EM31" s="575"/>
      <c r="EN31" s="575"/>
      <c r="EO31" s="575"/>
      <c r="EP31" s="575"/>
      <c r="EQ31" s="575"/>
      <c r="ER31" s="575"/>
      <c r="ES31" s="575"/>
      <c r="ET31" s="575"/>
      <c r="EU31" s="575"/>
      <c r="EV31" s="575"/>
      <c r="EW31" s="575"/>
      <c r="EX31" s="575"/>
      <c r="EY31" s="575"/>
      <c r="EZ31" s="575"/>
      <c r="FA31" s="575"/>
      <c r="FB31" s="575"/>
      <c r="FC31" s="575"/>
      <c r="FD31" s="575"/>
      <c r="FE31" s="575"/>
      <c r="FF31" s="575"/>
      <c r="FG31" s="575"/>
      <c r="FH31" s="575"/>
      <c r="FI31" s="575"/>
      <c r="FJ31" s="575"/>
      <c r="FK31" s="575"/>
      <c r="FL31" s="575"/>
      <c r="FM31" s="575"/>
      <c r="FN31" s="575"/>
      <c r="FO31" s="575"/>
      <c r="FP31" s="575"/>
      <c r="FQ31" s="575"/>
      <c r="FR31" s="575"/>
      <c r="FS31" s="575"/>
      <c r="FT31" s="575"/>
      <c r="FU31" s="575"/>
      <c r="FV31" s="575"/>
      <c r="FW31" s="575"/>
      <c r="FX31" s="575"/>
      <c r="FY31" s="575"/>
      <c r="FZ31" s="575"/>
      <c r="GA31" s="575"/>
      <c r="GB31" s="575"/>
      <c r="GC31" s="575"/>
      <c r="GD31" s="575"/>
      <c r="GE31" s="575"/>
      <c r="GF31" s="575"/>
      <c r="GG31" s="575"/>
      <c r="GH31" s="575"/>
      <c r="GI31" s="575"/>
      <c r="GJ31" s="575"/>
      <c r="GK31" s="575"/>
      <c r="GL31" s="575"/>
      <c r="GM31" s="575"/>
      <c r="GN31" s="575"/>
      <c r="GO31" s="575"/>
      <c r="GP31" s="575"/>
      <c r="GQ31" s="575"/>
      <c r="GR31" s="575"/>
      <c r="GS31" s="575"/>
      <c r="GT31" s="575"/>
      <c r="GU31" s="575"/>
      <c r="GV31" s="575"/>
      <c r="GW31" s="575"/>
      <c r="GX31" s="575"/>
      <c r="GY31" s="575"/>
      <c r="GZ31" s="575"/>
      <c r="HA31" s="575"/>
      <c r="HB31" s="575"/>
      <c r="HC31" s="575"/>
      <c r="HD31" s="575"/>
      <c r="HE31" s="575"/>
      <c r="HF31" s="575"/>
      <c r="HG31" s="575"/>
      <c r="HH31" s="575"/>
      <c r="HI31" s="575"/>
      <c r="HJ31" s="575"/>
      <c r="HK31" s="575"/>
      <c r="HL31" s="575"/>
      <c r="HM31" s="575"/>
      <c r="HN31" s="575"/>
      <c r="HO31" s="575"/>
      <c r="HP31" s="575"/>
      <c r="HQ31" s="575"/>
      <c r="HR31" s="575"/>
      <c r="HS31" s="575"/>
      <c r="HT31" s="575"/>
      <c r="HU31" s="575"/>
      <c r="HV31" s="575"/>
      <c r="HW31" s="575"/>
      <c r="HX31" s="575"/>
      <c r="HY31" s="575"/>
      <c r="HZ31" s="575"/>
      <c r="IA31" s="575"/>
      <c r="IB31" s="575"/>
      <c r="IC31" s="575"/>
      <c r="ID31" s="575"/>
      <c r="IE31" s="575"/>
      <c r="IF31" s="575"/>
      <c r="IG31" s="575"/>
      <c r="IH31" s="575"/>
      <c r="II31" s="575"/>
      <c r="IJ31" s="575"/>
      <c r="IK31" s="575"/>
      <c r="IL31" s="575"/>
      <c r="IM31" s="575"/>
      <c r="IN31" s="575"/>
      <c r="IO31" s="575"/>
      <c r="IP31" s="575"/>
      <c r="IQ31" s="575"/>
      <c r="IR31" s="575"/>
      <c r="IS31" s="575"/>
      <c r="IT31" s="575"/>
      <c r="IU31" s="575"/>
      <c r="IV31" s="575"/>
      <c r="IW31" s="575"/>
      <c r="IX31" s="575"/>
      <c r="IY31" s="575"/>
      <c r="IZ31" s="575"/>
      <c r="JA31" s="575"/>
      <c r="JB31" s="575"/>
      <c r="JC31" s="575"/>
      <c r="JD31" s="575"/>
      <c r="JE31" s="575"/>
      <c r="JF31" s="575"/>
      <c r="JG31" s="575"/>
      <c r="JH31" s="575"/>
      <c r="JI31" s="575"/>
      <c r="JJ31" s="575"/>
      <c r="JK31" s="575"/>
      <c r="JL31" s="575"/>
      <c r="JM31" s="575"/>
      <c r="JN31" s="575"/>
      <c r="JO31" s="575"/>
      <c r="JP31" s="575"/>
      <c r="JQ31" s="575"/>
      <c r="JR31" s="575"/>
      <c r="JS31" s="575"/>
      <c r="JT31" s="575"/>
      <c r="JU31" s="575"/>
      <c r="JV31" s="575"/>
      <c r="JW31" s="575"/>
      <c r="JX31" s="575"/>
      <c r="JY31" s="575"/>
      <c r="JZ31" s="575"/>
      <c r="KA31" s="575"/>
      <c r="KB31" s="575"/>
      <c r="KC31" s="575"/>
      <c r="KD31" s="575"/>
      <c r="KE31" s="575"/>
      <c r="KF31" s="575"/>
      <c r="KG31" s="575"/>
      <c r="KH31" s="575"/>
      <c r="KI31" s="575"/>
      <c r="KJ31" s="575"/>
      <c r="KK31" s="575"/>
      <c r="KL31" s="575"/>
      <c r="KM31" s="575"/>
      <c r="KN31" s="575"/>
      <c r="KO31" s="575"/>
      <c r="KP31" s="575"/>
      <c r="KQ31" s="575"/>
      <c r="KR31" s="575"/>
      <c r="KS31" s="575"/>
      <c r="KT31" s="575"/>
      <c r="KU31" s="575"/>
      <c r="KV31" s="575"/>
      <c r="KW31" s="575"/>
      <c r="KX31" s="575"/>
      <c r="KY31" s="575"/>
      <c r="KZ31" s="575"/>
      <c r="LA31" s="575"/>
      <c r="LB31" s="575"/>
      <c r="LC31" s="575"/>
      <c r="LD31" s="575"/>
      <c r="LE31" s="575"/>
      <c r="LF31" s="575"/>
      <c r="LG31" s="575"/>
      <c r="LH31" s="575"/>
      <c r="LI31" s="575"/>
      <c r="LJ31" s="575"/>
      <c r="LK31" s="575"/>
      <c r="LL31" s="575"/>
      <c r="LM31" s="575"/>
      <c r="LN31" s="575"/>
      <c r="LO31" s="575"/>
      <c r="LP31" s="575"/>
      <c r="LQ31" s="575"/>
      <c r="LR31" s="575"/>
      <c r="LS31" s="575"/>
      <c r="LT31" s="575"/>
      <c r="LU31" s="575"/>
      <c r="LV31" s="575"/>
      <c r="LW31" s="575"/>
      <c r="LX31" s="575"/>
      <c r="LY31" s="575"/>
      <c r="LZ31" s="575"/>
      <c r="MA31" s="575"/>
      <c r="MB31" s="575"/>
      <c r="MC31" s="575"/>
      <c r="MD31" s="575"/>
      <c r="ME31" s="575"/>
      <c r="MF31" s="575"/>
      <c r="MG31" s="575"/>
      <c r="MH31" s="575"/>
      <c r="MI31" s="575"/>
      <c r="MJ31" s="575"/>
      <c r="MK31" s="575"/>
      <c r="ML31" s="575"/>
      <c r="MM31" s="575"/>
      <c r="MN31" s="575"/>
      <c r="MO31" s="575"/>
      <c r="MP31" s="575"/>
      <c r="MQ31" s="575"/>
      <c r="MR31" s="575"/>
      <c r="MS31" s="575"/>
      <c r="MT31" s="575"/>
      <c r="MU31" s="575"/>
      <c r="MV31" s="575"/>
      <c r="MW31" s="575"/>
      <c r="MX31" s="575"/>
      <c r="MY31" s="575"/>
      <c r="MZ31" s="575"/>
      <c r="NA31" s="575"/>
      <c r="NB31" s="575"/>
      <c r="NC31" s="575"/>
      <c r="ND31" s="575"/>
      <c r="NE31" s="575"/>
      <c r="NF31" s="575"/>
      <c r="NG31" s="575"/>
      <c r="NH31" s="575"/>
      <c r="NI31" s="575"/>
      <c r="NJ31" s="575"/>
      <c r="NK31" s="575"/>
      <c r="NL31" s="575"/>
      <c r="NM31" s="575"/>
      <c r="NN31" s="575"/>
      <c r="NO31" s="575"/>
      <c r="NP31" s="575"/>
      <c r="NQ31" s="575"/>
      <c r="NR31" s="575"/>
      <c r="NS31" s="575"/>
      <c r="NT31" s="575"/>
      <c r="NU31" s="575"/>
      <c r="NV31" s="575"/>
      <c r="NW31" s="575"/>
      <c r="NX31" s="575"/>
      <c r="NY31" s="575"/>
      <c r="NZ31" s="575"/>
      <c r="OA31" s="575"/>
      <c r="OB31" s="575"/>
      <c r="OC31" s="575"/>
      <c r="OD31" s="575"/>
      <c r="OE31" s="575"/>
      <c r="OF31" s="575"/>
      <c r="OG31" s="575"/>
      <c r="OH31" s="575"/>
      <c r="OI31" s="575"/>
      <c r="OJ31" s="575"/>
      <c r="OK31" s="575"/>
      <c r="OL31" s="575"/>
      <c r="OM31" s="575"/>
      <c r="ON31" s="575"/>
      <c r="OO31" s="575"/>
      <c r="OP31" s="575"/>
      <c r="OQ31" s="575"/>
      <c r="OR31" s="575"/>
      <c r="OS31" s="575"/>
      <c r="OT31" s="575"/>
      <c r="OU31" s="575"/>
      <c r="OV31" s="575"/>
      <c r="OW31" s="575"/>
      <c r="OX31" s="575"/>
      <c r="OY31" s="575"/>
      <c r="OZ31" s="575"/>
      <c r="PA31" s="575"/>
      <c r="PB31" s="575"/>
      <c r="PC31" s="575"/>
      <c r="PD31" s="575"/>
      <c r="PE31" s="575"/>
      <c r="PF31" s="575"/>
      <c r="PG31" s="575"/>
      <c r="PH31" s="575"/>
      <c r="PI31" s="575"/>
      <c r="PJ31" s="575"/>
      <c r="PK31" s="575"/>
      <c r="PL31" s="575"/>
      <c r="PM31" s="575"/>
      <c r="PN31" s="575"/>
      <c r="PO31" s="575"/>
      <c r="PP31" s="575"/>
      <c r="PQ31" s="575"/>
      <c r="PR31" s="575"/>
      <c r="PS31" s="575"/>
      <c r="PT31" s="575"/>
      <c r="PU31" s="575"/>
      <c r="PV31" s="575"/>
      <c r="PW31" s="575"/>
      <c r="PX31" s="575"/>
      <c r="PY31" s="575"/>
      <c r="PZ31" s="575"/>
      <c r="QA31" s="575"/>
      <c r="QB31" s="575"/>
      <c r="QC31" s="575"/>
      <c r="QD31" s="575"/>
      <c r="QE31" s="575"/>
      <c r="QF31" s="575"/>
      <c r="QG31" s="575"/>
      <c r="QH31" s="575"/>
      <c r="QI31" s="575"/>
      <c r="QJ31" s="575"/>
      <c r="QK31" s="575"/>
      <c r="QL31" s="575"/>
      <c r="QM31" s="575"/>
      <c r="QN31" s="575"/>
      <c r="QO31" s="575"/>
      <c r="QP31" s="575"/>
      <c r="QQ31" s="575"/>
      <c r="QR31" s="575"/>
      <c r="QS31" s="575"/>
      <c r="QT31" s="575"/>
      <c r="QU31" s="575"/>
      <c r="QV31" s="575"/>
      <c r="QW31" s="575"/>
      <c r="QX31" s="575"/>
      <c r="QY31" s="575"/>
      <c r="QZ31" s="575"/>
      <c r="RA31" s="575"/>
      <c r="RB31" s="575"/>
      <c r="RC31" s="575"/>
      <c r="RD31" s="575"/>
      <c r="RE31" s="575"/>
      <c r="RF31" s="575"/>
      <c r="RG31" s="575"/>
      <c r="RH31" s="575"/>
      <c r="RI31" s="575"/>
      <c r="RJ31" s="575"/>
      <c r="RK31" s="575"/>
      <c r="RL31" s="575"/>
      <c r="RM31" s="575"/>
      <c r="RN31" s="575"/>
      <c r="RO31" s="575"/>
      <c r="RP31" s="575"/>
      <c r="RQ31" s="575"/>
      <c r="RR31" s="575"/>
      <c r="RS31" s="575"/>
      <c r="RT31" s="575"/>
      <c r="RU31" s="575"/>
      <c r="RV31" s="575"/>
      <c r="RW31" s="575"/>
      <c r="RX31" s="575"/>
      <c r="RY31" s="575"/>
      <c r="RZ31" s="575"/>
      <c r="SA31" s="575"/>
      <c r="SB31" s="575"/>
      <c r="SC31" s="575"/>
      <c r="SD31" s="575"/>
      <c r="SE31" s="575"/>
      <c r="SF31" s="575"/>
      <c r="SG31" s="575"/>
      <c r="SH31" s="575"/>
      <c r="SI31" s="575"/>
      <c r="SJ31" s="575"/>
      <c r="SK31" s="575"/>
      <c r="SL31" s="575"/>
      <c r="SM31" s="575"/>
      <c r="SN31" s="575"/>
      <c r="SO31" s="575"/>
      <c r="SP31" s="575"/>
      <c r="SQ31" s="575"/>
      <c r="SR31" s="575"/>
      <c r="SS31" s="575"/>
      <c r="ST31" s="575"/>
      <c r="SU31" s="575"/>
      <c r="SV31" s="575"/>
      <c r="SW31" s="575"/>
      <c r="SX31" s="575"/>
      <c r="SY31" s="575"/>
      <c r="SZ31" s="575"/>
      <c r="TA31" s="575"/>
      <c r="TB31" s="575"/>
      <c r="TC31" s="575"/>
      <c r="TD31" s="575"/>
      <c r="TE31" s="575"/>
      <c r="TF31" s="575"/>
      <c r="TG31" s="575"/>
      <c r="TH31" s="575"/>
      <c r="TI31" s="575"/>
      <c r="TJ31" s="575"/>
      <c r="TK31" s="575"/>
      <c r="TL31" s="575"/>
      <c r="TM31" s="575"/>
      <c r="TN31" s="575"/>
      <c r="TO31" s="575"/>
      <c r="TP31" s="575"/>
      <c r="TQ31" s="575"/>
      <c r="TR31" s="575"/>
      <c r="TS31" s="575"/>
      <c r="TT31" s="575"/>
      <c r="TU31" s="575"/>
      <c r="TV31" s="575"/>
      <c r="TW31" s="575"/>
      <c r="TX31" s="575"/>
      <c r="TY31" s="575"/>
      <c r="TZ31" s="575"/>
      <c r="UA31" s="575"/>
      <c r="UB31" s="575"/>
      <c r="UC31" s="575"/>
      <c r="UD31" s="575"/>
      <c r="UE31" s="575"/>
      <c r="UF31" s="575"/>
      <c r="UG31" s="575"/>
      <c r="UH31" s="575"/>
      <c r="UI31" s="575"/>
      <c r="UJ31" s="575"/>
      <c r="UK31" s="575"/>
      <c r="UL31" s="575"/>
      <c r="UM31" s="575"/>
      <c r="UN31" s="575"/>
      <c r="UO31" s="575"/>
      <c r="UP31" s="575"/>
      <c r="UQ31" s="575"/>
      <c r="UR31" s="575"/>
      <c r="US31" s="575"/>
      <c r="UT31" s="575"/>
      <c r="UU31" s="575"/>
      <c r="UV31" s="575"/>
      <c r="UW31" s="575"/>
      <c r="UX31" s="575"/>
      <c r="UY31" s="575"/>
      <c r="UZ31" s="575"/>
      <c r="VA31" s="575"/>
      <c r="VB31" s="575"/>
      <c r="VC31" s="575"/>
      <c r="VD31" s="575"/>
      <c r="VE31" s="575"/>
      <c r="VF31" s="575"/>
      <c r="VG31" s="575"/>
      <c r="VH31" s="575"/>
      <c r="VI31" s="575"/>
      <c r="VJ31" s="575"/>
      <c r="VK31" s="575"/>
      <c r="VL31" s="575"/>
      <c r="VM31" s="575"/>
      <c r="VN31" s="575"/>
      <c r="VO31" s="575"/>
      <c r="VP31" s="575"/>
      <c r="VQ31" s="575"/>
      <c r="VR31" s="575"/>
      <c r="VS31" s="575"/>
      <c r="VT31" s="575"/>
      <c r="VU31" s="575"/>
      <c r="VV31" s="575"/>
      <c r="VW31" s="575"/>
      <c r="VX31" s="575"/>
      <c r="VY31" s="575"/>
      <c r="VZ31" s="575"/>
      <c r="WA31" s="575"/>
      <c r="WB31" s="575"/>
      <c r="WC31" s="575"/>
      <c r="WD31" s="575"/>
      <c r="WE31" s="575"/>
      <c r="WF31" s="575"/>
      <c r="WG31" s="575"/>
      <c r="WH31" s="575"/>
      <c r="WI31" s="575"/>
      <c r="WJ31" s="575"/>
      <c r="WK31" s="575"/>
      <c r="WL31" s="575"/>
      <c r="WM31" s="575"/>
      <c r="WN31" s="575"/>
      <c r="WO31" s="575"/>
      <c r="WP31" s="575"/>
      <c r="WQ31" s="575"/>
      <c r="WR31" s="575"/>
      <c r="WS31" s="575"/>
      <c r="WT31" s="575"/>
      <c r="WU31" s="575"/>
      <c r="WV31" s="575"/>
      <c r="WW31" s="575"/>
      <c r="WX31" s="575"/>
      <c r="WY31" s="575"/>
      <c r="WZ31" s="575"/>
      <c r="XA31" s="575"/>
      <c r="XB31" s="575"/>
      <c r="XC31" s="575"/>
      <c r="XD31" s="575"/>
      <c r="XE31" s="575"/>
      <c r="XF31" s="575"/>
      <c r="XG31" s="575"/>
      <c r="XH31" s="575"/>
      <c r="XI31" s="575"/>
      <c r="XJ31" s="575"/>
      <c r="XK31" s="575"/>
      <c r="XL31" s="575"/>
      <c r="XM31" s="575"/>
      <c r="XN31" s="575"/>
      <c r="XO31" s="575"/>
      <c r="XP31" s="575"/>
      <c r="XQ31" s="575"/>
      <c r="XR31" s="575"/>
      <c r="XS31" s="575"/>
      <c r="XT31" s="575"/>
      <c r="XU31" s="575"/>
      <c r="XV31" s="575"/>
      <c r="XW31" s="575"/>
      <c r="XX31" s="575"/>
      <c r="XY31" s="575"/>
      <c r="XZ31" s="575"/>
      <c r="YA31" s="575"/>
      <c r="YB31" s="575"/>
      <c r="YC31" s="575"/>
      <c r="YD31" s="575"/>
      <c r="YE31" s="575"/>
      <c r="YF31" s="575"/>
      <c r="YG31" s="575"/>
      <c r="YH31" s="575"/>
      <c r="YI31" s="575"/>
      <c r="YJ31" s="575"/>
      <c r="YK31" s="575"/>
      <c r="YL31" s="575"/>
      <c r="YM31" s="575"/>
      <c r="YN31" s="575"/>
      <c r="YO31" s="575"/>
      <c r="YP31" s="575"/>
      <c r="YQ31" s="575"/>
      <c r="YR31" s="575"/>
      <c r="YS31" s="575"/>
      <c r="YT31" s="575"/>
      <c r="YU31" s="575"/>
      <c r="YV31" s="575"/>
      <c r="YW31" s="575"/>
      <c r="YX31" s="575"/>
      <c r="YY31" s="575"/>
      <c r="YZ31" s="575"/>
      <c r="ZA31" s="575"/>
      <c r="ZB31" s="575"/>
      <c r="ZC31" s="575"/>
      <c r="ZD31" s="575"/>
      <c r="ZE31" s="575"/>
      <c r="ZF31" s="575"/>
      <c r="ZG31" s="575"/>
      <c r="ZH31" s="575"/>
      <c r="ZI31" s="575"/>
      <c r="ZJ31" s="575"/>
      <c r="ZK31" s="575"/>
      <c r="ZL31" s="575"/>
      <c r="ZM31" s="575"/>
      <c r="ZN31" s="575"/>
      <c r="ZO31" s="575"/>
      <c r="ZP31" s="575"/>
      <c r="ZQ31" s="575"/>
      <c r="ZR31" s="575"/>
      <c r="ZS31" s="575"/>
      <c r="ZT31" s="575"/>
      <c r="ZU31" s="575"/>
      <c r="ZV31" s="575"/>
      <c r="ZW31" s="575"/>
      <c r="ZX31" s="575"/>
      <c r="ZY31" s="575"/>
      <c r="ZZ31" s="575"/>
      <c r="AAA31" s="575"/>
      <c r="AAB31" s="575"/>
      <c r="AAC31" s="575"/>
      <c r="AAD31" s="575"/>
      <c r="AAE31" s="575"/>
      <c r="AAF31" s="575"/>
      <c r="AAG31" s="575"/>
      <c r="AAH31" s="575"/>
      <c r="AAI31" s="575"/>
      <c r="AAJ31" s="575"/>
      <c r="AAK31" s="575"/>
      <c r="AAL31" s="575"/>
      <c r="AAM31" s="575"/>
      <c r="AAN31" s="575"/>
      <c r="AAO31" s="575"/>
      <c r="AAP31" s="575"/>
      <c r="AAQ31" s="575"/>
      <c r="AAR31" s="575"/>
      <c r="AAS31" s="575"/>
      <c r="AAT31" s="575"/>
      <c r="AAU31" s="575"/>
      <c r="AAV31" s="575"/>
      <c r="AAW31" s="575"/>
      <c r="AAX31" s="575"/>
      <c r="AAY31" s="575"/>
      <c r="AAZ31" s="575"/>
      <c r="ABA31" s="575"/>
      <c r="ABB31" s="575"/>
      <c r="ABC31" s="575"/>
      <c r="ABD31" s="575"/>
      <c r="ABE31" s="575"/>
      <c r="ABF31" s="575"/>
      <c r="ABG31" s="575"/>
      <c r="ABH31" s="575"/>
      <c r="ABI31" s="575"/>
      <c r="ABJ31" s="575"/>
      <c r="ABK31" s="575"/>
      <c r="ABL31" s="575"/>
      <c r="ABM31" s="575"/>
      <c r="ABN31" s="575"/>
      <c r="ABO31" s="575"/>
      <c r="ABP31" s="575"/>
      <c r="ABQ31" s="575"/>
      <c r="ABR31" s="575"/>
      <c r="ABS31" s="575"/>
      <c r="ABT31" s="575"/>
      <c r="ABU31" s="575"/>
      <c r="ABV31" s="575"/>
      <c r="ABW31" s="575"/>
      <c r="ABX31" s="575"/>
      <c r="ABY31" s="575"/>
      <c r="ABZ31" s="575"/>
      <c r="ACA31" s="575"/>
      <c r="ACB31" s="575"/>
      <c r="ACC31" s="575"/>
      <c r="ACD31" s="575"/>
      <c r="ACE31" s="575"/>
      <c r="ACF31" s="575"/>
      <c r="ACG31" s="575"/>
      <c r="ACH31" s="575"/>
      <c r="ACI31" s="575"/>
      <c r="ACJ31" s="575"/>
      <c r="ACK31" s="575"/>
      <c r="ACL31" s="575"/>
      <c r="ACM31" s="575"/>
      <c r="ACN31" s="575"/>
      <c r="ACO31" s="575"/>
      <c r="ACP31" s="575"/>
      <c r="ACQ31" s="575"/>
      <c r="ACR31" s="575"/>
      <c r="ACS31" s="575"/>
      <c r="ACT31" s="575"/>
      <c r="ACU31" s="575"/>
      <c r="ACV31" s="575"/>
      <c r="ACW31" s="575"/>
      <c r="ACX31" s="575"/>
      <c r="ACY31" s="575"/>
      <c r="ACZ31" s="575"/>
      <c r="ADA31" s="575"/>
      <c r="ADB31" s="575"/>
      <c r="ADC31" s="575"/>
      <c r="ADD31" s="575"/>
      <c r="ADE31" s="575"/>
      <c r="ADF31" s="575"/>
      <c r="ADG31" s="575"/>
      <c r="ADH31" s="575"/>
      <c r="ADI31" s="575"/>
      <c r="ADJ31" s="575"/>
      <c r="ADK31" s="575"/>
      <c r="ADL31" s="575"/>
      <c r="ADM31" s="575"/>
      <c r="ADN31" s="575"/>
      <c r="ADO31" s="575"/>
      <c r="ADP31" s="575"/>
      <c r="ADQ31" s="575"/>
      <c r="ADR31" s="575"/>
      <c r="ADS31" s="575"/>
      <c r="ADT31" s="575"/>
      <c r="ADU31" s="575"/>
      <c r="ADV31" s="575"/>
      <c r="ADW31" s="575"/>
      <c r="ADX31" s="575"/>
      <c r="ADY31" s="575"/>
      <c r="ADZ31" s="575"/>
      <c r="AEA31" s="575"/>
      <c r="AEB31" s="575"/>
      <c r="AEC31" s="575"/>
      <c r="AED31" s="575"/>
      <c r="AEE31" s="575"/>
      <c r="AEF31" s="575"/>
      <c r="AEG31" s="575"/>
      <c r="AEH31" s="575"/>
      <c r="AEI31" s="575"/>
      <c r="AEJ31" s="575"/>
      <c r="AEK31" s="575"/>
      <c r="AEL31" s="575"/>
      <c r="AEM31" s="575"/>
      <c r="AEN31" s="575"/>
      <c r="AEO31" s="575"/>
      <c r="AEP31" s="575"/>
      <c r="AEQ31" s="575"/>
      <c r="AER31" s="575"/>
      <c r="AES31" s="575"/>
      <c r="AET31" s="575"/>
      <c r="AEU31" s="575"/>
      <c r="AEV31" s="575"/>
      <c r="AEW31" s="575"/>
      <c r="AEX31" s="575"/>
      <c r="AEY31" s="575"/>
      <c r="AEZ31" s="575"/>
      <c r="AFA31" s="575"/>
      <c r="AFB31" s="575"/>
      <c r="AFC31" s="575"/>
      <c r="AFD31" s="575"/>
      <c r="AFE31" s="575"/>
      <c r="AFF31" s="575"/>
      <c r="AFG31" s="575"/>
      <c r="AFH31" s="575"/>
      <c r="AFI31" s="575"/>
      <c r="AFJ31" s="575"/>
      <c r="AFK31" s="575"/>
      <c r="AFL31" s="575"/>
      <c r="AFM31" s="575"/>
      <c r="AFN31" s="575"/>
      <c r="AFO31" s="575"/>
      <c r="AFP31" s="575"/>
      <c r="AFQ31" s="575"/>
      <c r="AFR31" s="575"/>
      <c r="AFS31" s="575"/>
      <c r="AFT31" s="575"/>
      <c r="AFU31" s="575"/>
      <c r="AFV31" s="575"/>
      <c r="AFW31" s="575"/>
      <c r="AFX31" s="575"/>
      <c r="AFY31" s="575"/>
      <c r="AFZ31" s="575"/>
      <c r="AGA31" s="575"/>
      <c r="AGB31" s="575"/>
      <c r="AGC31" s="575"/>
      <c r="AGD31" s="575"/>
      <c r="AGE31" s="575"/>
      <c r="AGF31" s="575"/>
      <c r="AGG31" s="575"/>
      <c r="AGH31" s="575"/>
      <c r="AGI31" s="575"/>
      <c r="AGJ31" s="575"/>
      <c r="AGK31" s="575"/>
      <c r="AGL31" s="575"/>
      <c r="AGM31" s="575"/>
      <c r="AGN31" s="575"/>
      <c r="AGO31" s="575"/>
      <c r="AGP31" s="575"/>
      <c r="AGQ31" s="575"/>
      <c r="AGR31" s="575"/>
      <c r="AGS31" s="575"/>
      <c r="AGT31" s="575"/>
      <c r="AGU31" s="575"/>
      <c r="AGV31" s="575"/>
      <c r="AGW31" s="575"/>
      <c r="AGX31" s="575"/>
      <c r="AGY31" s="575"/>
      <c r="AGZ31" s="575"/>
      <c r="AHA31" s="575"/>
      <c r="AHB31" s="575"/>
      <c r="AHC31" s="575"/>
      <c r="AHD31" s="575"/>
      <c r="AHE31" s="575"/>
      <c r="AHF31" s="575"/>
      <c r="AHG31" s="575"/>
      <c r="AHH31" s="575"/>
      <c r="AHI31" s="575"/>
      <c r="AHJ31" s="575"/>
      <c r="AHK31" s="575"/>
      <c r="AHL31" s="575"/>
      <c r="AHM31" s="575"/>
      <c r="AHN31" s="575"/>
      <c r="AHO31" s="575"/>
      <c r="AHP31" s="575"/>
      <c r="AHQ31" s="575"/>
      <c r="AHR31" s="575"/>
      <c r="AHS31" s="575"/>
      <c r="AHT31" s="575"/>
      <c r="AHU31" s="575"/>
      <c r="AHV31" s="575"/>
      <c r="AHW31" s="575"/>
      <c r="AHX31" s="575"/>
      <c r="AHY31" s="575"/>
      <c r="AHZ31" s="575"/>
      <c r="AIA31" s="575"/>
      <c r="AIB31" s="575"/>
      <c r="AIC31" s="575"/>
      <c r="AID31" s="575"/>
      <c r="AIE31" s="575"/>
      <c r="AIF31" s="575"/>
      <c r="AIG31" s="575"/>
      <c r="AIH31" s="575"/>
      <c r="AII31" s="575"/>
      <c r="AIJ31" s="575"/>
      <c r="AIK31" s="575"/>
      <c r="AIL31" s="575"/>
      <c r="AIM31" s="575"/>
      <c r="AIN31" s="575"/>
      <c r="AIO31" s="575"/>
      <c r="AIP31" s="575"/>
      <c r="AIQ31" s="575"/>
      <c r="AIR31" s="575"/>
      <c r="AIS31" s="575"/>
      <c r="AIT31" s="575"/>
      <c r="AIU31" s="575"/>
      <c r="AIV31" s="575"/>
      <c r="AIW31" s="575"/>
      <c r="AIX31" s="575"/>
      <c r="AIY31" s="575"/>
      <c r="AIZ31" s="575"/>
      <c r="AJA31" s="575"/>
      <c r="AJB31" s="575"/>
      <c r="AJC31" s="575"/>
      <c r="AJD31" s="575"/>
      <c r="AJE31" s="575"/>
      <c r="AJF31" s="575"/>
      <c r="AJG31" s="575"/>
      <c r="AJH31" s="575"/>
      <c r="AJI31" s="575"/>
      <c r="AJJ31" s="575"/>
      <c r="AJK31" s="575"/>
      <c r="AJL31" s="575"/>
      <c r="AJM31" s="575"/>
      <c r="AJN31" s="575"/>
      <c r="AJO31" s="575"/>
      <c r="AJP31" s="575"/>
      <c r="AJQ31" s="575"/>
      <c r="AJR31" s="575"/>
      <c r="AJS31" s="575"/>
      <c r="AJT31" s="575"/>
      <c r="AJU31" s="575"/>
      <c r="AJV31" s="575"/>
      <c r="AJW31" s="575"/>
      <c r="AJX31" s="575"/>
      <c r="AJY31" s="575"/>
      <c r="AJZ31" s="575"/>
      <c r="AKA31" s="575"/>
      <c r="AKB31" s="575"/>
      <c r="AKC31" s="575"/>
      <c r="AKD31" s="575"/>
      <c r="AKE31" s="575"/>
      <c r="AKF31" s="575"/>
      <c r="AKG31" s="575"/>
      <c r="AKH31" s="575"/>
      <c r="AKI31" s="575"/>
      <c r="AKJ31" s="575"/>
      <c r="AKK31" s="575"/>
      <c r="AKL31" s="575"/>
      <c r="AKM31" s="575"/>
      <c r="AKN31" s="575"/>
      <c r="AKO31" s="575"/>
      <c r="AKP31" s="575"/>
      <c r="AKQ31" s="575"/>
      <c r="AKR31" s="575"/>
      <c r="AKS31" s="575"/>
      <c r="AKT31" s="575"/>
      <c r="AKU31" s="575"/>
      <c r="AKV31" s="575"/>
      <c r="AKW31" s="575"/>
      <c r="AKX31" s="575"/>
      <c r="AKY31" s="575"/>
      <c r="AKZ31" s="575"/>
      <c r="ALA31" s="575"/>
      <c r="ALB31" s="575"/>
      <c r="ALC31" s="575"/>
      <c r="ALD31" s="575"/>
      <c r="ALE31" s="575"/>
      <c r="ALF31" s="575"/>
      <c r="ALG31" s="575"/>
      <c r="ALH31" s="575"/>
      <c r="ALI31" s="575"/>
      <c r="ALJ31" s="575"/>
      <c r="ALK31" s="575"/>
      <c r="ALL31" s="575"/>
      <c r="ALM31" s="575"/>
      <c r="ALN31" s="575"/>
      <c r="ALO31" s="575"/>
      <c r="ALP31" s="575"/>
      <c r="ALQ31" s="575"/>
      <c r="ALR31" s="575"/>
      <c r="ALS31" s="575"/>
      <c r="ALT31" s="575"/>
      <c r="ALU31" s="575"/>
      <c r="ALV31" s="575"/>
      <c r="ALW31" s="575"/>
      <c r="ALX31" s="575"/>
      <c r="ALY31" s="575"/>
      <c r="ALZ31" s="575"/>
      <c r="AMA31" s="575"/>
      <c r="AMB31" s="575"/>
      <c r="AMC31" s="575"/>
      <c r="AMD31" s="575"/>
      <c r="AME31" s="575"/>
      <c r="AMF31" s="575"/>
      <c r="AMG31" s="575"/>
      <c r="AMH31" s="575"/>
      <c r="AMI31" s="575"/>
      <c r="AMJ31" s="575"/>
      <c r="AMK31" s="575"/>
      <c r="AML31" s="575"/>
      <c r="AMM31" s="575"/>
      <c r="AMN31" s="575"/>
      <c r="AMO31" s="575"/>
      <c r="AMP31" s="575"/>
      <c r="AMQ31" s="575"/>
      <c r="AMR31" s="575"/>
      <c r="AMS31" s="575"/>
      <c r="AMT31" s="575"/>
      <c r="AMU31" s="575"/>
      <c r="AMV31" s="575"/>
      <c r="AMW31" s="575"/>
      <c r="AMX31" s="575"/>
      <c r="AMY31" s="575"/>
      <c r="AMZ31" s="575"/>
      <c r="ANA31" s="575"/>
      <c r="ANB31" s="575"/>
      <c r="ANC31" s="575"/>
      <c r="AND31" s="575"/>
      <c r="ANE31" s="575"/>
      <c r="ANF31" s="575"/>
      <c r="ANG31" s="575"/>
      <c r="ANH31" s="575"/>
      <c r="ANI31" s="575"/>
      <c r="ANJ31" s="575"/>
      <c r="ANK31" s="575"/>
      <c r="ANL31" s="575"/>
      <c r="ANM31" s="575"/>
      <c r="ANN31" s="575"/>
      <c r="ANO31" s="575"/>
      <c r="ANP31" s="575"/>
      <c r="ANQ31" s="575"/>
      <c r="ANR31" s="575"/>
      <c r="ANS31" s="575"/>
      <c r="ANT31" s="575"/>
      <c r="ANU31" s="575"/>
      <c r="ANV31" s="575"/>
      <c r="ANW31" s="575"/>
      <c r="ANX31" s="575"/>
      <c r="ANY31" s="575"/>
      <c r="ANZ31" s="575"/>
      <c r="AOA31" s="575"/>
      <c r="AOB31" s="575"/>
      <c r="AOC31" s="575"/>
      <c r="AOD31" s="575"/>
      <c r="AOE31" s="575"/>
      <c r="AOF31" s="575"/>
      <c r="AOG31" s="575"/>
      <c r="AOH31" s="575"/>
      <c r="AOI31" s="575"/>
      <c r="AOJ31" s="575"/>
      <c r="AOK31" s="575"/>
      <c r="AOL31" s="575"/>
      <c r="AOM31" s="575"/>
      <c r="AON31" s="575"/>
      <c r="AOO31" s="575"/>
      <c r="AOP31" s="575"/>
      <c r="AOQ31" s="575"/>
      <c r="AOR31" s="575"/>
      <c r="AOS31" s="575"/>
      <c r="AOT31" s="575"/>
      <c r="AOU31" s="575"/>
      <c r="AOV31" s="575"/>
      <c r="AOW31" s="575"/>
      <c r="AOX31" s="575"/>
      <c r="AOY31" s="575"/>
      <c r="AOZ31" s="575"/>
      <c r="APA31" s="575"/>
      <c r="APB31" s="575"/>
      <c r="APC31" s="575"/>
      <c r="APD31" s="575"/>
      <c r="APE31" s="575"/>
      <c r="APF31" s="575"/>
      <c r="APG31" s="575"/>
      <c r="APH31" s="575"/>
      <c r="API31" s="575"/>
      <c r="APJ31" s="575"/>
      <c r="APK31" s="575"/>
      <c r="APL31" s="575"/>
      <c r="APM31" s="575"/>
      <c r="APN31" s="575"/>
      <c r="APO31" s="575"/>
      <c r="APP31" s="575"/>
      <c r="APQ31" s="575"/>
      <c r="APR31" s="575"/>
      <c r="APS31" s="575"/>
      <c r="APT31" s="575"/>
      <c r="APU31" s="575"/>
      <c r="APV31" s="575"/>
      <c r="APW31" s="575"/>
      <c r="APX31" s="575"/>
      <c r="APY31" s="575"/>
      <c r="APZ31" s="575"/>
      <c r="AQA31" s="575"/>
      <c r="AQB31" s="575"/>
      <c r="AQC31" s="575"/>
      <c r="AQD31" s="575"/>
      <c r="AQE31" s="575"/>
      <c r="AQF31" s="575"/>
      <c r="AQG31" s="575"/>
      <c r="AQH31" s="575"/>
      <c r="AQI31" s="575"/>
      <c r="AQJ31" s="575"/>
      <c r="AQK31" s="575"/>
      <c r="AQL31" s="575"/>
      <c r="AQM31" s="575"/>
      <c r="AQN31" s="575"/>
      <c r="AQO31" s="575"/>
      <c r="AQP31" s="575"/>
      <c r="AQQ31" s="575"/>
      <c r="AQR31" s="575"/>
      <c r="AQS31" s="575"/>
      <c r="AQT31" s="575"/>
      <c r="AQU31" s="575"/>
      <c r="AQV31" s="575"/>
      <c r="AQW31" s="575"/>
      <c r="AQX31" s="575"/>
      <c r="AQY31" s="575"/>
      <c r="AQZ31" s="575"/>
      <c r="ARA31" s="575"/>
      <c r="ARB31" s="575"/>
      <c r="ARC31" s="575"/>
      <c r="ARD31" s="575"/>
      <c r="ARE31" s="575"/>
      <c r="ARF31" s="575"/>
      <c r="ARG31" s="575"/>
      <c r="ARH31" s="575"/>
      <c r="ARI31" s="575"/>
      <c r="ARJ31" s="575"/>
      <c r="ARK31" s="575"/>
      <c r="ARL31" s="575"/>
      <c r="ARM31" s="575"/>
      <c r="ARN31" s="575"/>
      <c r="ARO31" s="575"/>
      <c r="ARP31" s="575"/>
      <c r="ARQ31" s="575"/>
      <c r="ARR31" s="575"/>
      <c r="ARS31" s="575"/>
      <c r="ART31" s="575"/>
      <c r="ARU31" s="575"/>
      <c r="ARV31" s="575"/>
      <c r="ARW31" s="575"/>
      <c r="ARX31" s="575"/>
      <c r="ARY31" s="575"/>
      <c r="ARZ31" s="575"/>
      <c r="ASA31" s="575"/>
      <c r="ASB31" s="575"/>
      <c r="ASC31" s="575"/>
      <c r="ASD31" s="575"/>
      <c r="ASE31" s="575"/>
      <c r="ASF31" s="575"/>
      <c r="ASG31" s="575"/>
      <c r="ASH31" s="575"/>
      <c r="ASI31" s="575"/>
      <c r="ASJ31" s="575"/>
      <c r="ASK31" s="575"/>
      <c r="ASL31" s="575"/>
      <c r="ASM31" s="575"/>
      <c r="ASN31" s="575"/>
      <c r="ASO31" s="575"/>
      <c r="ASP31" s="575"/>
      <c r="ASQ31" s="575"/>
      <c r="ASR31" s="575"/>
      <c r="ASS31" s="575"/>
      <c r="AST31" s="575"/>
      <c r="ASU31" s="575"/>
      <c r="ASV31" s="575"/>
      <c r="ASW31" s="575"/>
      <c r="ASX31" s="575"/>
      <c r="ASY31" s="575"/>
      <c r="ASZ31" s="575"/>
      <c r="ATA31" s="575"/>
      <c r="ATB31" s="575"/>
      <c r="ATC31" s="575"/>
      <c r="ATD31" s="575"/>
      <c r="ATE31" s="575"/>
      <c r="ATF31" s="575"/>
      <c r="ATG31" s="575"/>
      <c r="ATH31" s="575"/>
      <c r="ATI31" s="575"/>
      <c r="ATJ31" s="575"/>
      <c r="ATK31" s="575"/>
      <c r="ATL31" s="575"/>
      <c r="ATM31" s="575"/>
      <c r="ATN31" s="575"/>
      <c r="ATO31" s="575"/>
      <c r="ATP31" s="575"/>
      <c r="ATQ31" s="575"/>
      <c r="ATR31" s="575"/>
      <c r="ATS31" s="575"/>
      <c r="ATT31" s="575"/>
      <c r="ATU31" s="575"/>
      <c r="ATV31" s="575"/>
      <c r="ATW31" s="575"/>
      <c r="ATX31" s="575"/>
      <c r="ATY31" s="575"/>
      <c r="ATZ31" s="575"/>
      <c r="AUA31" s="575"/>
      <c r="AUB31" s="575"/>
      <c r="AUC31" s="575"/>
      <c r="AUD31" s="575"/>
      <c r="AUE31" s="575"/>
      <c r="AUF31" s="575"/>
      <c r="AUG31" s="575"/>
      <c r="AUH31" s="575"/>
      <c r="AUI31" s="575"/>
      <c r="AUJ31" s="575"/>
      <c r="AUK31" s="575"/>
      <c r="AUL31" s="575"/>
      <c r="AUM31" s="575"/>
      <c r="AUN31" s="575"/>
      <c r="AUO31" s="575"/>
      <c r="AUP31" s="575"/>
      <c r="AUQ31" s="575"/>
      <c r="AUR31" s="575"/>
      <c r="AUS31" s="575"/>
      <c r="AUT31" s="575"/>
      <c r="AUU31" s="575"/>
      <c r="AUV31" s="575"/>
      <c r="AUW31" s="575"/>
      <c r="AUX31" s="575"/>
      <c r="AUY31" s="575"/>
      <c r="AUZ31" s="575"/>
      <c r="AVA31" s="575"/>
      <c r="AVB31" s="575"/>
      <c r="AVC31" s="575"/>
      <c r="AVD31" s="575"/>
      <c r="AVE31" s="575"/>
      <c r="AVF31" s="575"/>
      <c r="AVG31" s="575"/>
      <c r="AVH31" s="575"/>
      <c r="AVI31" s="575"/>
      <c r="AVJ31" s="575"/>
      <c r="AVK31" s="575"/>
      <c r="AVL31" s="575"/>
      <c r="AVM31" s="575"/>
      <c r="AVN31" s="575"/>
      <c r="AVO31" s="575"/>
      <c r="AVP31" s="575"/>
      <c r="AVQ31" s="575"/>
      <c r="AVR31" s="575"/>
      <c r="AVS31" s="575"/>
      <c r="AVT31" s="575"/>
      <c r="AVU31" s="575"/>
      <c r="AVV31" s="575"/>
      <c r="AVW31" s="575"/>
      <c r="AVX31" s="575"/>
      <c r="AVY31" s="575"/>
      <c r="AVZ31" s="575"/>
      <c r="AWA31" s="575"/>
      <c r="AWB31" s="575"/>
      <c r="AWC31" s="575"/>
      <c r="AWD31" s="575"/>
      <c r="AWE31" s="575"/>
      <c r="AWF31" s="575"/>
      <c r="AWG31" s="575"/>
      <c r="AWH31" s="575"/>
      <c r="AWI31" s="575"/>
      <c r="AWJ31" s="575"/>
      <c r="AWK31" s="575"/>
      <c r="AWL31" s="575"/>
      <c r="AWM31" s="575"/>
      <c r="AWN31" s="575"/>
      <c r="AWO31" s="575"/>
      <c r="AWP31" s="575"/>
      <c r="AWQ31" s="575"/>
      <c r="AWR31" s="575"/>
      <c r="AWS31" s="575"/>
      <c r="AWT31" s="575"/>
      <c r="AWU31" s="575"/>
      <c r="AWV31" s="575"/>
      <c r="AWW31" s="575"/>
      <c r="AWX31" s="575"/>
      <c r="AWY31" s="575"/>
      <c r="AWZ31" s="575"/>
      <c r="AXA31" s="575"/>
      <c r="AXB31" s="575"/>
      <c r="AXC31" s="575"/>
      <c r="AXD31" s="575"/>
      <c r="AXE31" s="575"/>
      <c r="AXF31" s="575"/>
      <c r="AXG31" s="575"/>
      <c r="AXH31" s="575"/>
      <c r="AXI31" s="575"/>
      <c r="AXJ31" s="575"/>
      <c r="AXK31" s="575"/>
      <c r="AXL31" s="575"/>
      <c r="AXM31" s="575"/>
      <c r="AXN31" s="575"/>
      <c r="AXO31" s="575"/>
      <c r="AXP31" s="575"/>
      <c r="AXQ31" s="575"/>
      <c r="AXR31" s="575"/>
      <c r="AXS31" s="575"/>
      <c r="AXT31" s="575"/>
      <c r="AXU31" s="575"/>
      <c r="AXV31" s="575"/>
      <c r="AXW31" s="575"/>
      <c r="AXX31" s="575"/>
      <c r="AXY31" s="575"/>
      <c r="AXZ31" s="575"/>
      <c r="AYA31" s="575"/>
      <c r="AYB31" s="575"/>
      <c r="AYC31" s="575"/>
      <c r="AYD31" s="575"/>
      <c r="AYE31" s="575"/>
      <c r="AYF31" s="575"/>
      <c r="AYG31" s="575"/>
      <c r="AYH31" s="575"/>
      <c r="AYI31" s="575"/>
      <c r="AYJ31" s="575"/>
      <c r="AYK31" s="575"/>
      <c r="AYL31" s="575"/>
      <c r="AYM31" s="575"/>
      <c r="AYN31" s="575"/>
      <c r="AYO31" s="575"/>
      <c r="AYP31" s="575"/>
      <c r="AYQ31" s="575"/>
      <c r="AYR31" s="575"/>
      <c r="AYS31" s="575"/>
      <c r="AYT31" s="575"/>
      <c r="AYU31" s="575"/>
      <c r="AYV31" s="575"/>
      <c r="AYW31" s="575"/>
      <c r="AYX31" s="575"/>
      <c r="AYY31" s="575"/>
      <c r="AYZ31" s="575"/>
      <c r="AZA31" s="575"/>
      <c r="AZB31" s="575"/>
      <c r="AZC31" s="575"/>
      <c r="AZD31" s="575"/>
      <c r="AZE31" s="575"/>
      <c r="AZF31" s="575"/>
      <c r="AZG31" s="575"/>
      <c r="AZH31" s="575"/>
      <c r="AZI31" s="575"/>
      <c r="AZJ31" s="575"/>
      <c r="AZK31" s="575"/>
      <c r="AZL31" s="575"/>
      <c r="AZM31" s="575"/>
      <c r="AZN31" s="575"/>
      <c r="AZO31" s="575"/>
      <c r="AZP31" s="575"/>
      <c r="AZQ31" s="575"/>
      <c r="AZR31" s="575"/>
      <c r="AZS31" s="575"/>
      <c r="AZT31" s="575"/>
      <c r="AZU31" s="575"/>
      <c r="AZV31" s="575"/>
      <c r="AZW31" s="575"/>
      <c r="AZX31" s="575"/>
      <c r="AZY31" s="575"/>
      <c r="AZZ31" s="575"/>
      <c r="BAA31" s="575"/>
      <c r="BAB31" s="575"/>
      <c r="BAC31" s="575"/>
      <c r="BAD31" s="575"/>
      <c r="BAE31" s="575"/>
      <c r="BAF31" s="575"/>
      <c r="BAG31" s="575"/>
      <c r="BAH31" s="575"/>
      <c r="BAI31" s="575"/>
      <c r="BAJ31" s="575"/>
      <c r="BAK31" s="575"/>
      <c r="BAL31" s="575"/>
      <c r="BAM31" s="575"/>
      <c r="BAN31" s="575"/>
      <c r="BAO31" s="575"/>
      <c r="BAP31" s="575"/>
      <c r="BAQ31" s="575"/>
      <c r="BAR31" s="575"/>
      <c r="BAS31" s="575"/>
      <c r="BAT31" s="575"/>
      <c r="BAU31" s="575"/>
      <c r="BAV31" s="575"/>
      <c r="BAW31" s="575"/>
      <c r="BAX31" s="575"/>
      <c r="BAY31" s="575"/>
      <c r="BAZ31" s="575"/>
      <c r="BBA31" s="575"/>
      <c r="BBB31" s="575"/>
      <c r="BBC31" s="575"/>
      <c r="BBD31" s="575"/>
      <c r="BBE31" s="575"/>
      <c r="BBF31" s="575"/>
      <c r="BBG31" s="575"/>
      <c r="BBH31" s="575"/>
      <c r="BBI31" s="575"/>
      <c r="BBJ31" s="575"/>
      <c r="BBK31" s="575"/>
      <c r="BBL31" s="575"/>
      <c r="BBM31" s="575"/>
      <c r="BBN31" s="575"/>
      <c r="BBO31" s="575"/>
      <c r="BBP31" s="575"/>
      <c r="BBQ31" s="575"/>
      <c r="BBR31" s="575"/>
      <c r="BBS31" s="575"/>
      <c r="BBT31" s="575"/>
      <c r="BBU31" s="575"/>
      <c r="BBV31" s="575"/>
      <c r="BBW31" s="575"/>
      <c r="BBX31" s="575"/>
      <c r="BBY31" s="575"/>
      <c r="BBZ31" s="575"/>
      <c r="BCA31" s="575"/>
      <c r="BCB31" s="575"/>
      <c r="BCC31" s="575"/>
      <c r="BCD31" s="575"/>
      <c r="BCE31" s="575"/>
      <c r="BCF31" s="575"/>
      <c r="BCG31" s="575"/>
      <c r="BCH31" s="575"/>
      <c r="BCI31" s="575"/>
      <c r="BCJ31" s="575"/>
      <c r="BCK31" s="575"/>
      <c r="BCL31" s="575"/>
      <c r="BCM31" s="575"/>
      <c r="BCN31" s="575"/>
      <c r="BCO31" s="575"/>
      <c r="BCP31" s="575"/>
      <c r="BCQ31" s="575"/>
      <c r="BCR31" s="575"/>
      <c r="BCS31" s="575"/>
      <c r="BCT31" s="575"/>
      <c r="BCU31" s="575"/>
      <c r="BCV31" s="575"/>
      <c r="BCW31" s="575"/>
      <c r="BCX31" s="575"/>
      <c r="BCY31" s="575"/>
      <c r="BCZ31" s="575"/>
      <c r="BDA31" s="575"/>
      <c r="BDB31" s="575"/>
      <c r="BDC31" s="575"/>
      <c r="BDD31" s="575"/>
      <c r="BDE31" s="575"/>
      <c r="BDF31" s="575"/>
      <c r="BDG31" s="575"/>
      <c r="BDH31" s="575"/>
      <c r="BDI31" s="575"/>
      <c r="BDJ31" s="575"/>
      <c r="BDK31" s="575"/>
      <c r="BDL31" s="575"/>
      <c r="BDM31" s="575"/>
      <c r="BDN31" s="575"/>
      <c r="BDO31" s="575"/>
      <c r="BDP31" s="575"/>
      <c r="BDQ31" s="575"/>
      <c r="BDR31" s="575"/>
      <c r="BDS31" s="575"/>
      <c r="BDT31" s="575"/>
    </row>
    <row r="32" spans="1:1476" x14ac:dyDescent="0.25">
      <c r="A32" s="608">
        <v>5435</v>
      </c>
      <c r="B32" s="609" t="s">
        <v>291</v>
      </c>
      <c r="C32" s="610">
        <v>1407184.07</v>
      </c>
      <c r="D32" s="610">
        <v>187388.19</v>
      </c>
      <c r="E32" s="610"/>
      <c r="F32" s="611"/>
      <c r="G32" s="610">
        <v>17704.150000000001</v>
      </c>
      <c r="H32" s="610">
        <v>232.35</v>
      </c>
      <c r="I32" s="610"/>
      <c r="J32" s="610">
        <v>15499.66</v>
      </c>
      <c r="K32" s="610"/>
      <c r="L32" s="610">
        <v>133937</v>
      </c>
      <c r="M32" s="434">
        <f t="shared" si="0"/>
        <v>1761945.42</v>
      </c>
      <c r="N32" s="612">
        <v>13664.5</v>
      </c>
      <c r="O32" s="612">
        <v>0</v>
      </c>
      <c r="P32" s="612">
        <v>289235.40000000002</v>
      </c>
      <c r="Q32" s="612">
        <v>309.2</v>
      </c>
      <c r="R32" s="612">
        <v>64137.7</v>
      </c>
      <c r="S32" s="610">
        <v>1874.46</v>
      </c>
      <c r="T32" s="543">
        <f t="shared" si="1"/>
        <v>2131166.6799999997</v>
      </c>
      <c r="U32" s="575">
        <v>-7116.05</v>
      </c>
      <c r="V32" s="612"/>
      <c r="W32" s="612">
        <v>-114.89</v>
      </c>
      <c r="X32" s="624">
        <v>69</v>
      </c>
      <c r="Y32" s="631">
        <v>1</v>
      </c>
      <c r="Z32" s="628">
        <f>VLOOKUP(A32,'[2]2022 toutes communes'!$B$9:$D$317,3,FALSE)</f>
        <v>697</v>
      </c>
      <c r="AA32" s="617"/>
      <c r="AB32" s="618">
        <v>15000</v>
      </c>
      <c r="AC32" s="547">
        <f>AB32/VPI!R32</f>
        <v>0.58910643504921689</v>
      </c>
      <c r="AD32" s="548">
        <f t="shared" si="2"/>
        <v>133686</v>
      </c>
      <c r="AE32" s="547">
        <f>AD32/VPI!R32</f>
        <v>5.2503521917326408</v>
      </c>
      <c r="AF32" s="618">
        <v>148686</v>
      </c>
      <c r="AG32" s="618">
        <v>26461</v>
      </c>
      <c r="AH32" s="618">
        <v>73661</v>
      </c>
      <c r="AI32" s="627"/>
      <c r="AJ32" s="628">
        <v>0</v>
      </c>
      <c r="AK32" s="547">
        <f>AJ32/VPI!R32</f>
        <v>0</v>
      </c>
      <c r="AL32" s="548">
        <f t="shared" si="3"/>
        <v>14756</v>
      </c>
      <c r="AM32" s="547">
        <f>AL32/VPI!R32</f>
        <v>0.57952363703908305</v>
      </c>
      <c r="AN32" s="628">
        <v>14756</v>
      </c>
      <c r="AO32" s="627"/>
      <c r="AP32" s="629">
        <v>22.627327698818849</v>
      </c>
      <c r="AR32" s="630">
        <v>0</v>
      </c>
    </row>
    <row r="33" spans="1:1476" x14ac:dyDescent="0.25">
      <c r="A33" s="608">
        <v>5436</v>
      </c>
      <c r="B33" s="609" t="s">
        <v>292</v>
      </c>
      <c r="C33" s="610">
        <v>1157078.4099999999</v>
      </c>
      <c r="D33" s="610">
        <v>71073.45</v>
      </c>
      <c r="E33" s="610"/>
      <c r="F33" s="611"/>
      <c r="G33" s="610">
        <v>6882.65</v>
      </c>
      <c r="H33" s="610">
        <v>-653.85</v>
      </c>
      <c r="I33" s="610"/>
      <c r="J33" s="610">
        <v>-7518.66</v>
      </c>
      <c r="K33" s="610"/>
      <c r="L33" s="610">
        <v>73775.600000000006</v>
      </c>
      <c r="M33" s="434">
        <f t="shared" si="0"/>
        <v>1300637.5999999999</v>
      </c>
      <c r="N33" s="612">
        <v>851</v>
      </c>
      <c r="O33" s="612"/>
      <c r="P33" s="612">
        <v>9986.9500000000007</v>
      </c>
      <c r="Q33" s="612"/>
      <c r="R33" s="612">
        <v>33519.65</v>
      </c>
      <c r="S33" s="610">
        <v>650.94000000000005</v>
      </c>
      <c r="T33" s="543">
        <f t="shared" si="1"/>
        <v>1345646.1399999997</v>
      </c>
      <c r="U33" s="575">
        <v>-21037.62</v>
      </c>
      <c r="V33" s="612"/>
      <c r="W33" s="612">
        <v>-1090.45</v>
      </c>
      <c r="X33" s="624">
        <v>79</v>
      </c>
      <c r="Y33" s="631">
        <v>0.8</v>
      </c>
      <c r="Z33" s="628">
        <f>VLOOKUP(A33,'[2]2022 toutes communes'!$B$9:$D$317,3,FALSE)</f>
        <v>456</v>
      </c>
      <c r="AA33" s="617"/>
      <c r="AB33" s="618">
        <v>0</v>
      </c>
      <c r="AC33" s="547">
        <f>AB33/VPI!R33</f>
        <v>0</v>
      </c>
      <c r="AD33" s="548">
        <f t="shared" si="2"/>
        <v>47304</v>
      </c>
      <c r="AE33" s="547">
        <f>AD33/VPI!R33</f>
        <v>2.8799348140296415</v>
      </c>
      <c r="AF33" s="618">
        <v>47304</v>
      </c>
      <c r="AG33" s="618">
        <v>15624</v>
      </c>
      <c r="AH33" s="618">
        <v>42524</v>
      </c>
      <c r="AI33" s="627"/>
      <c r="AJ33" s="628">
        <v>0</v>
      </c>
      <c r="AK33" s="547">
        <f>AJ33/VPI!R33</f>
        <v>0</v>
      </c>
      <c r="AL33" s="548">
        <f t="shared" si="3"/>
        <v>10360</v>
      </c>
      <c r="AM33" s="547">
        <f>AL33/VPI!R33</f>
        <v>0.63073153799566817</v>
      </c>
      <c r="AN33" s="628">
        <v>10360</v>
      </c>
      <c r="AO33" s="627"/>
      <c r="AP33" s="629">
        <v>19.240468772638589</v>
      </c>
      <c r="AR33" s="630">
        <v>0</v>
      </c>
    </row>
    <row r="34" spans="1:1476" x14ac:dyDescent="0.25">
      <c r="A34" s="608">
        <v>5437</v>
      </c>
      <c r="B34" s="609" t="s">
        <v>293</v>
      </c>
      <c r="C34" s="610">
        <v>845950.34</v>
      </c>
      <c r="D34" s="610">
        <v>86086.080000000002</v>
      </c>
      <c r="E34" s="610"/>
      <c r="F34" s="611"/>
      <c r="G34" s="610">
        <v>-4928.3999999999996</v>
      </c>
      <c r="H34" s="610">
        <v>2441.8000000000002</v>
      </c>
      <c r="I34" s="610"/>
      <c r="J34" s="610">
        <v>14839.82</v>
      </c>
      <c r="K34" s="610">
        <v>3141.85</v>
      </c>
      <c r="L34" s="610">
        <v>76554.8</v>
      </c>
      <c r="M34" s="434">
        <f t="shared" si="0"/>
        <v>1024086.2899999999</v>
      </c>
      <c r="N34" s="612">
        <v>0</v>
      </c>
      <c r="O34" s="612"/>
      <c r="P34" s="612">
        <v>81643.7</v>
      </c>
      <c r="Q34" s="612">
        <v>4123.3</v>
      </c>
      <c r="R34" s="612">
        <v>87754.9</v>
      </c>
      <c r="S34" s="610">
        <v>-259.86</v>
      </c>
      <c r="T34" s="543">
        <f t="shared" si="1"/>
        <v>1197348.3299999998</v>
      </c>
      <c r="U34" s="575">
        <v>-57716.35</v>
      </c>
      <c r="V34" s="612"/>
      <c r="W34" s="612">
        <v>0</v>
      </c>
      <c r="X34" s="624">
        <v>80</v>
      </c>
      <c r="Y34" s="631">
        <v>1</v>
      </c>
      <c r="Z34" s="628">
        <f>VLOOKUP(A34,'[2]2022 toutes communes'!$B$9:$D$317,3,FALSE)</f>
        <v>449</v>
      </c>
      <c r="AA34" s="617"/>
      <c r="AB34" s="618">
        <v>0</v>
      </c>
      <c r="AC34" s="547">
        <f>AB34/VPI!R34</f>
        <v>0</v>
      </c>
      <c r="AD34" s="548">
        <f t="shared" si="2"/>
        <v>34826</v>
      </c>
      <c r="AE34" s="547">
        <f>AD34/VPI!R34</f>
        <v>2.8715565320995244</v>
      </c>
      <c r="AF34" s="618">
        <v>34826</v>
      </c>
      <c r="AG34" s="618">
        <v>15147</v>
      </c>
      <c r="AH34" s="618">
        <v>51890</v>
      </c>
      <c r="AI34" s="627"/>
      <c r="AJ34" s="628">
        <v>0</v>
      </c>
      <c r="AK34" s="547">
        <f>AJ34/VPI!R34</f>
        <v>0</v>
      </c>
      <c r="AL34" s="548">
        <f t="shared" si="3"/>
        <v>-53001</v>
      </c>
      <c r="AM34" s="547">
        <f>AL34/VPI!R34</f>
        <v>-4.3701650421468701</v>
      </c>
      <c r="AN34" s="628">
        <v>-53001</v>
      </c>
      <c r="AO34" s="627"/>
      <c r="AP34" s="629">
        <v>11.80107091244011</v>
      </c>
      <c r="AR34" s="630">
        <v>0</v>
      </c>
    </row>
    <row r="35" spans="1:1476" x14ac:dyDescent="0.25">
      <c r="A35" s="608">
        <v>5451</v>
      </c>
      <c r="B35" s="609" t="s">
        <v>294</v>
      </c>
      <c r="C35" s="610">
        <v>5152890.21</v>
      </c>
      <c r="D35" s="610">
        <v>545375.56000000006</v>
      </c>
      <c r="E35" s="610"/>
      <c r="F35" s="611"/>
      <c r="G35" s="610">
        <v>2158979.0499999998</v>
      </c>
      <c r="H35" s="610">
        <v>62490.8</v>
      </c>
      <c r="I35" s="610"/>
      <c r="J35" s="610">
        <v>429329.45</v>
      </c>
      <c r="K35" s="610">
        <v>122620.35</v>
      </c>
      <c r="L35" s="610">
        <v>1510091.2</v>
      </c>
      <c r="M35" s="434">
        <f t="shared" si="0"/>
        <v>9981776.6199999992</v>
      </c>
      <c r="N35" s="612">
        <v>576515.75</v>
      </c>
      <c r="O35" s="612">
        <v>44969.4</v>
      </c>
      <c r="P35" s="612">
        <v>521329.3</v>
      </c>
      <c r="Q35" s="612">
        <v>136481.04999999999</v>
      </c>
      <c r="R35" s="612">
        <v>291093.59999999998</v>
      </c>
      <c r="S35" s="610">
        <v>232155</v>
      </c>
      <c r="T35" s="543">
        <f t="shared" si="1"/>
        <v>11784320.720000001</v>
      </c>
      <c r="U35" s="575">
        <v>-361384.15</v>
      </c>
      <c r="V35" s="612"/>
      <c r="W35" s="612">
        <v>-562.54</v>
      </c>
      <c r="X35" s="624">
        <v>66.5</v>
      </c>
      <c r="Y35" s="631">
        <v>1.5</v>
      </c>
      <c r="Z35" s="628">
        <f>VLOOKUP(A35,'[2]2022 toutes communes'!$B$9:$D$317,3,FALSE)</f>
        <v>4696</v>
      </c>
      <c r="AA35" s="617"/>
      <c r="AB35" s="618">
        <v>517265</v>
      </c>
      <c r="AC35" s="547">
        <f>AB35/VPI!R35</f>
        <v>3.6265420873126049</v>
      </c>
      <c r="AD35" s="548">
        <f t="shared" si="2"/>
        <v>1084625</v>
      </c>
      <c r="AE35" s="547">
        <f>AD35/VPI!R35</f>
        <v>7.6042999457752485</v>
      </c>
      <c r="AF35" s="618">
        <v>1601890</v>
      </c>
      <c r="AG35" s="618">
        <v>746313</v>
      </c>
      <c r="AH35" s="618">
        <v>461591</v>
      </c>
      <c r="AI35" s="627"/>
      <c r="AJ35" s="628">
        <v>0</v>
      </c>
      <c r="AK35" s="547">
        <f>AJ35/VPI!R35</f>
        <v>0</v>
      </c>
      <c r="AL35" s="548">
        <f t="shared" si="3"/>
        <v>75745</v>
      </c>
      <c r="AM35" s="547">
        <f>AL35/VPI!R35</f>
        <v>0.53104778093142446</v>
      </c>
      <c r="AN35" s="628">
        <v>75745</v>
      </c>
      <c r="AO35" s="627"/>
      <c r="AP35" s="629">
        <v>8.0841964090713176</v>
      </c>
      <c r="AR35" s="630">
        <v>0</v>
      </c>
    </row>
    <row r="36" spans="1:1476" x14ac:dyDescent="0.25">
      <c r="A36" s="608">
        <v>5456</v>
      </c>
      <c r="B36" s="609" t="s">
        <v>295</v>
      </c>
      <c r="C36" s="610">
        <v>2992922.87</v>
      </c>
      <c r="D36" s="610">
        <v>333421.40999999997</v>
      </c>
      <c r="E36" s="610"/>
      <c r="F36" s="611"/>
      <c r="G36" s="610">
        <v>60766.2</v>
      </c>
      <c r="H36" s="610">
        <v>3213.7</v>
      </c>
      <c r="I36" s="610"/>
      <c r="J36" s="610">
        <v>28027.279999999999</v>
      </c>
      <c r="K36" s="610">
        <v>11289.55</v>
      </c>
      <c r="L36" s="610">
        <v>552212.85</v>
      </c>
      <c r="M36" s="434">
        <f t="shared" si="0"/>
        <v>3981853.8600000003</v>
      </c>
      <c r="N36" s="612">
        <v>1727.7</v>
      </c>
      <c r="O36" s="612">
        <v>157402.4</v>
      </c>
      <c r="P36" s="612">
        <v>293421.75</v>
      </c>
      <c r="Q36" s="612">
        <v>-11425.02</v>
      </c>
      <c r="R36" s="612">
        <v>195572.25</v>
      </c>
      <c r="S36" s="610">
        <v>6686.23</v>
      </c>
      <c r="T36" s="543">
        <f t="shared" si="1"/>
        <v>4625239.1700000018</v>
      </c>
      <c r="U36" s="575">
        <v>-13342.6</v>
      </c>
      <c r="V36" s="612"/>
      <c r="W36" s="612">
        <v>-138.75</v>
      </c>
      <c r="X36" s="624">
        <v>59</v>
      </c>
      <c r="Y36" s="631">
        <v>1.5</v>
      </c>
      <c r="Z36" s="628">
        <f>VLOOKUP(A36,'[2]2022 toutes communes'!$B$9:$D$317,3,FALSE)</f>
        <v>1876</v>
      </c>
      <c r="AA36" s="617"/>
      <c r="AB36" s="618">
        <v>67404</v>
      </c>
      <c r="AC36" s="547">
        <f>AB36/VPI!R36</f>
        <v>1.0521947225128372</v>
      </c>
      <c r="AD36" s="548">
        <f t="shared" si="2"/>
        <v>367050</v>
      </c>
      <c r="AE36" s="547">
        <f>AD36/VPI!R36</f>
        <v>5.7297500578353944</v>
      </c>
      <c r="AF36" s="618">
        <v>434454</v>
      </c>
      <c r="AG36" s="618">
        <v>105117</v>
      </c>
      <c r="AH36" s="618">
        <v>177279</v>
      </c>
      <c r="AI36" s="627"/>
      <c r="AJ36" s="628">
        <v>0</v>
      </c>
      <c r="AK36" s="547">
        <f>AJ36/VPI!R36</f>
        <v>0</v>
      </c>
      <c r="AL36" s="548">
        <f t="shared" si="3"/>
        <v>24459</v>
      </c>
      <c r="AM36" s="547">
        <f>AL36/VPI!R36</f>
        <v>0.38181162420541043</v>
      </c>
      <c r="AN36" s="628">
        <v>24459</v>
      </c>
      <c r="AO36" s="627"/>
      <c r="AP36" s="629">
        <v>19.000925518519384</v>
      </c>
      <c r="AR36" s="630">
        <v>0</v>
      </c>
    </row>
    <row r="37" spans="1:1476" x14ac:dyDescent="0.25">
      <c r="A37" s="608">
        <v>5458</v>
      </c>
      <c r="B37" s="609" t="s">
        <v>296</v>
      </c>
      <c r="C37" s="610">
        <v>1563109.5</v>
      </c>
      <c r="D37" s="610">
        <v>297452.43</v>
      </c>
      <c r="E37" s="610"/>
      <c r="F37" s="611"/>
      <c r="G37" s="610">
        <v>22083.3</v>
      </c>
      <c r="H37" s="610">
        <v>879.7</v>
      </c>
      <c r="I37" s="610"/>
      <c r="J37" s="610">
        <v>55674.5</v>
      </c>
      <c r="K37" s="610">
        <v>13000.75</v>
      </c>
      <c r="L37" s="610">
        <v>290191.40000000002</v>
      </c>
      <c r="M37" s="434">
        <f t="shared" si="0"/>
        <v>2242391.58</v>
      </c>
      <c r="N37" s="612">
        <v>3372.25</v>
      </c>
      <c r="O37" s="612">
        <v>1540.4</v>
      </c>
      <c r="P37" s="612">
        <v>96690</v>
      </c>
      <c r="Q37" s="612"/>
      <c r="R37" s="612">
        <v>62069.1</v>
      </c>
      <c r="S37" s="610">
        <v>2399.75</v>
      </c>
      <c r="T37" s="543">
        <f t="shared" si="1"/>
        <v>2408463.08</v>
      </c>
      <c r="U37" s="575">
        <v>-26814.48</v>
      </c>
      <c r="V37" s="612"/>
      <c r="W37" s="612">
        <v>-236.55</v>
      </c>
      <c r="X37" s="624">
        <v>65</v>
      </c>
      <c r="Y37" s="631">
        <v>1.5</v>
      </c>
      <c r="Z37" s="628">
        <f>VLOOKUP(A37,'[2]2022 toutes communes'!$B$9:$D$317,3,FALSE)</f>
        <v>903</v>
      </c>
      <c r="AA37" s="617"/>
      <c r="AB37" s="618">
        <v>17382</v>
      </c>
      <c r="AC37" s="547">
        <f>AB37/VPI!R37</f>
        <v>0.53268494197614524</v>
      </c>
      <c r="AD37" s="548">
        <f t="shared" si="2"/>
        <v>223923</v>
      </c>
      <c r="AE37" s="547">
        <f>AD37/VPI!R37</f>
        <v>6.8622949178532036</v>
      </c>
      <c r="AF37" s="618">
        <v>241305</v>
      </c>
      <c r="AG37" s="618">
        <v>82636</v>
      </c>
      <c r="AH37" s="618">
        <v>85479</v>
      </c>
      <c r="AI37" s="627"/>
      <c r="AJ37" s="628">
        <v>0</v>
      </c>
      <c r="AK37" s="547">
        <f>AJ37/VPI!R37</f>
        <v>0</v>
      </c>
      <c r="AL37" s="548">
        <f t="shared" si="3"/>
        <v>16403</v>
      </c>
      <c r="AM37" s="547">
        <f>AL37/VPI!R37</f>
        <v>0.50268272369317168</v>
      </c>
      <c r="AN37" s="628">
        <v>16403</v>
      </c>
      <c r="AO37" s="627"/>
      <c r="AP37" s="629">
        <v>24.248507982393967</v>
      </c>
      <c r="AR37" s="630">
        <v>0</v>
      </c>
    </row>
    <row r="38" spans="1:1476" x14ac:dyDescent="0.25">
      <c r="A38" s="608">
        <v>5464</v>
      </c>
      <c r="B38" s="609" t="s">
        <v>344</v>
      </c>
      <c r="C38" s="610">
        <v>5718811.5</v>
      </c>
      <c r="D38" s="610">
        <v>1149532.08</v>
      </c>
      <c r="E38" s="610"/>
      <c r="F38" s="611"/>
      <c r="G38" s="610">
        <v>81691.25</v>
      </c>
      <c r="H38" s="610">
        <v>6859</v>
      </c>
      <c r="I38" s="610">
        <v>66178.7</v>
      </c>
      <c r="J38" s="610">
        <v>156752.70000000001</v>
      </c>
      <c r="K38" s="610">
        <v>10687.4</v>
      </c>
      <c r="L38" s="610">
        <v>1119010.6499999999</v>
      </c>
      <c r="M38" s="434">
        <f t="shared" si="0"/>
        <v>8309523.2800000012</v>
      </c>
      <c r="N38" s="612">
        <v>4335.55</v>
      </c>
      <c r="O38" s="612">
        <v>22233.4</v>
      </c>
      <c r="P38" s="612">
        <v>530402.15</v>
      </c>
      <c r="Q38" s="612">
        <v>34715.74</v>
      </c>
      <c r="R38" s="612">
        <v>481524.45</v>
      </c>
      <c r="S38" s="610">
        <v>9253.9599999999991</v>
      </c>
      <c r="T38" s="543">
        <f t="shared" si="1"/>
        <v>9391988.5300000012</v>
      </c>
      <c r="U38" s="575">
        <v>-78050.41</v>
      </c>
      <c r="V38" s="612"/>
      <c r="W38" s="612">
        <v>-898.05</v>
      </c>
      <c r="X38" s="624">
        <v>67</v>
      </c>
      <c r="Y38" s="631">
        <v>1.5</v>
      </c>
      <c r="Z38" s="628">
        <f>VLOOKUP(A38,'[2]2022 toutes communes'!$B$9:$D$317,3,FALSE)</f>
        <v>3540</v>
      </c>
      <c r="AA38" s="617"/>
      <c r="AB38" s="618">
        <v>152622</v>
      </c>
      <c r="AC38" s="547">
        <f>AB38/VPI!R38</f>
        <v>1.2941366802784544</v>
      </c>
      <c r="AD38" s="548">
        <f t="shared" si="2"/>
        <v>786639</v>
      </c>
      <c r="AE38" s="547">
        <f>AD38/VPI!R38</f>
        <v>6.6701942317461649</v>
      </c>
      <c r="AF38" s="618">
        <v>939261</v>
      </c>
      <c r="AG38" s="618">
        <v>198383</v>
      </c>
      <c r="AH38" s="618">
        <v>326000</v>
      </c>
      <c r="AI38" s="627"/>
      <c r="AJ38" s="628">
        <v>0</v>
      </c>
      <c r="AK38" s="547">
        <f>AJ38/VPI!R38</f>
        <v>0</v>
      </c>
      <c r="AL38" s="548">
        <f t="shared" si="3"/>
        <v>36274</v>
      </c>
      <c r="AM38" s="547">
        <f>AL38/VPI!R38</f>
        <v>0.30758025671541889</v>
      </c>
      <c r="AN38" s="628">
        <v>36274</v>
      </c>
      <c r="AO38" s="627"/>
      <c r="AP38" s="629">
        <v>14.698518660763845</v>
      </c>
      <c r="AR38" s="630">
        <v>0</v>
      </c>
    </row>
    <row r="39" spans="1:1476" x14ac:dyDescent="0.25">
      <c r="A39" s="608">
        <v>5471</v>
      </c>
      <c r="B39" s="609" t="s">
        <v>297</v>
      </c>
      <c r="C39" s="610">
        <v>1257740.8999999999</v>
      </c>
      <c r="D39" s="610">
        <v>145639.14000000001</v>
      </c>
      <c r="E39" s="610"/>
      <c r="F39" s="611"/>
      <c r="G39" s="610">
        <v>18437.349999999999</v>
      </c>
      <c r="H39" s="610">
        <v>3698.4</v>
      </c>
      <c r="I39" s="610"/>
      <c r="J39" s="610">
        <v>23462.41</v>
      </c>
      <c r="K39" s="610">
        <v>4233.25</v>
      </c>
      <c r="L39" s="610">
        <v>123461.45</v>
      </c>
      <c r="M39" s="434">
        <f t="shared" si="0"/>
        <v>1576672.9</v>
      </c>
      <c r="N39" s="612">
        <v>13213</v>
      </c>
      <c r="O39" s="612"/>
      <c r="P39" s="612">
        <v>50509.1</v>
      </c>
      <c r="Q39" s="612">
        <v>1223.46</v>
      </c>
      <c r="R39" s="612">
        <v>18159.45</v>
      </c>
      <c r="S39" s="610">
        <v>2313.3000000000002</v>
      </c>
      <c r="T39" s="543">
        <f t="shared" si="1"/>
        <v>1662091.21</v>
      </c>
      <c r="U39" s="575">
        <v>-5274.52</v>
      </c>
      <c r="V39" s="612"/>
      <c r="W39" s="612">
        <v>-192.96</v>
      </c>
      <c r="X39" s="624">
        <v>70</v>
      </c>
      <c r="Y39" s="631">
        <v>0.9</v>
      </c>
      <c r="Z39" s="628">
        <f>VLOOKUP(A39,'[2]2022 toutes communes'!$B$9:$D$317,3,FALSE)</f>
        <v>650</v>
      </c>
      <c r="AA39" s="617"/>
      <c r="AB39" s="618"/>
      <c r="AC39" s="547">
        <f>AB39/VPI!R39</f>
        <v>0</v>
      </c>
      <c r="AD39" s="548">
        <f t="shared" si="2"/>
        <v>0</v>
      </c>
      <c r="AE39" s="547">
        <f>AD39/VPI!R39</f>
        <v>0</v>
      </c>
      <c r="AF39" s="618"/>
      <c r="AG39" s="618"/>
      <c r="AH39" s="618"/>
      <c r="AI39" s="627"/>
      <c r="AJ39" s="628"/>
      <c r="AK39" s="547">
        <f>AJ39/VPI!R39</f>
        <v>0</v>
      </c>
      <c r="AL39" s="548">
        <f t="shared" si="3"/>
        <v>0</v>
      </c>
      <c r="AM39" s="547">
        <f>AL39/VPI!R39</f>
        <v>0</v>
      </c>
      <c r="AN39" s="628"/>
      <c r="AO39" s="627"/>
      <c r="AP39" s="629">
        <v>21.115282187555799</v>
      </c>
      <c r="AR39" s="630">
        <v>0</v>
      </c>
    </row>
    <row r="40" spans="1:1476" x14ac:dyDescent="0.25">
      <c r="A40" s="608">
        <v>5472</v>
      </c>
      <c r="B40" s="609" t="s">
        <v>298</v>
      </c>
      <c r="C40" s="610">
        <v>1129838.18</v>
      </c>
      <c r="D40" s="610">
        <v>121155.13</v>
      </c>
      <c r="E40" s="610"/>
      <c r="F40" s="611"/>
      <c r="G40" s="610">
        <v>1007.7</v>
      </c>
      <c r="H40" s="610">
        <v>652.04999999999995</v>
      </c>
      <c r="I40" s="610"/>
      <c r="J40" s="610">
        <v>-2898.71</v>
      </c>
      <c r="K40" s="610">
        <v>516.5</v>
      </c>
      <c r="L40" s="610">
        <v>115912.35</v>
      </c>
      <c r="M40" s="434">
        <f t="shared" si="0"/>
        <v>1366183.2000000002</v>
      </c>
      <c r="N40" s="612">
        <v>0</v>
      </c>
      <c r="O40" s="612"/>
      <c r="P40" s="612">
        <v>74159.5</v>
      </c>
      <c r="Q40" s="612"/>
      <c r="R40" s="612">
        <v>68811.55</v>
      </c>
      <c r="S40" s="610">
        <v>173.45</v>
      </c>
      <c r="T40" s="543">
        <f t="shared" si="1"/>
        <v>1509327.7000000002</v>
      </c>
      <c r="U40" s="575">
        <v>-7354</v>
      </c>
      <c r="V40" s="612"/>
      <c r="W40" s="612">
        <v>-713.76</v>
      </c>
      <c r="X40" s="624">
        <v>68</v>
      </c>
      <c r="Y40" s="631">
        <v>1</v>
      </c>
      <c r="Z40" s="628">
        <f>VLOOKUP(A40,'[2]2022 toutes communes'!$B$9:$D$317,3,FALSE)</f>
        <v>514</v>
      </c>
      <c r="AA40" s="617"/>
      <c r="AB40" s="618">
        <v>48628</v>
      </c>
      <c r="AC40" s="547">
        <f>AB40/VPI!R40</f>
        <v>2.4344629661220303</v>
      </c>
      <c r="AD40" s="548">
        <f t="shared" si="2"/>
        <v>56304</v>
      </c>
      <c r="AE40" s="547">
        <f>AD40/VPI!R40</f>
        <v>2.8187464597461296</v>
      </c>
      <c r="AF40" s="618">
        <v>104932</v>
      </c>
      <c r="AG40" s="618">
        <v>29476</v>
      </c>
      <c r="AH40" s="618">
        <v>22609</v>
      </c>
      <c r="AI40" s="627"/>
      <c r="AJ40" s="628">
        <v>0</v>
      </c>
      <c r="AK40" s="547">
        <f>AJ40/VPI!R40</f>
        <v>0</v>
      </c>
      <c r="AL40" s="548">
        <f t="shared" si="3"/>
        <v>30215</v>
      </c>
      <c r="AM40" s="547">
        <f>AL40/VPI!R40</f>
        <v>1.5126531735086193</v>
      </c>
      <c r="AN40" s="628">
        <v>30215</v>
      </c>
      <c r="AO40" s="627"/>
      <c r="AP40" s="629">
        <v>25.801092099888585</v>
      </c>
      <c r="AR40" s="630">
        <v>0</v>
      </c>
    </row>
    <row r="41" spans="1:1476" s="632" customFormat="1" x14ac:dyDescent="0.25">
      <c r="A41" s="608">
        <v>5473</v>
      </c>
      <c r="B41" s="609" t="s">
        <v>188</v>
      </c>
      <c r="C41" s="610">
        <v>2126946.9</v>
      </c>
      <c r="D41" s="610">
        <v>258995.71</v>
      </c>
      <c r="E41" s="610"/>
      <c r="F41" s="611"/>
      <c r="G41" s="610">
        <v>34170.199999999997</v>
      </c>
      <c r="H41" s="610">
        <v>3257.95</v>
      </c>
      <c r="I41" s="610"/>
      <c r="J41" s="610">
        <v>19304.5</v>
      </c>
      <c r="K41" s="610">
        <v>6131.35</v>
      </c>
      <c r="L41" s="610">
        <v>196363</v>
      </c>
      <c r="M41" s="434">
        <f t="shared" si="0"/>
        <v>2645169.6100000003</v>
      </c>
      <c r="N41" s="612">
        <v>3562.05</v>
      </c>
      <c r="O41" s="612">
        <v>21026.799999999999</v>
      </c>
      <c r="P41" s="612">
        <v>102850</v>
      </c>
      <c r="Q41" s="612">
        <v>1344.55</v>
      </c>
      <c r="R41" s="612">
        <v>95465.600000000006</v>
      </c>
      <c r="S41" s="610">
        <v>3911.43</v>
      </c>
      <c r="T41" s="543">
        <f t="shared" si="1"/>
        <v>2873330.04</v>
      </c>
      <c r="U41" s="575">
        <v>-7258.88</v>
      </c>
      <c r="V41" s="612"/>
      <c r="W41" s="612">
        <v>-316.5</v>
      </c>
      <c r="X41" s="624">
        <v>66</v>
      </c>
      <c r="Y41" s="631">
        <v>1</v>
      </c>
      <c r="Z41" s="628">
        <f>VLOOKUP(A41,'[2]2022 toutes communes'!$B$9:$D$317,3,FALSE)</f>
        <v>1009</v>
      </c>
      <c r="AA41" s="617"/>
      <c r="AB41" s="618"/>
      <c r="AC41" s="547">
        <f>AB41/VPI!R41</f>
        <v>0</v>
      </c>
      <c r="AD41" s="548">
        <f t="shared" si="2"/>
        <v>0</v>
      </c>
      <c r="AE41" s="547">
        <f>AD41/VPI!R41</f>
        <v>0</v>
      </c>
      <c r="AF41" s="618"/>
      <c r="AG41" s="618"/>
      <c r="AH41" s="618"/>
      <c r="AI41" s="627"/>
      <c r="AJ41" s="628"/>
      <c r="AK41" s="547">
        <f>AJ41/VPI!R41</f>
        <v>0</v>
      </c>
      <c r="AL41" s="548">
        <f t="shared" si="3"/>
        <v>0</v>
      </c>
      <c r="AM41" s="547">
        <f>AL41/VPI!R41</f>
        <v>0</v>
      </c>
      <c r="AN41" s="628"/>
      <c r="AO41" s="627"/>
      <c r="AP41" s="629">
        <v>21.888253981031689</v>
      </c>
      <c r="AQ41" s="575"/>
      <c r="AR41" s="630">
        <v>0</v>
      </c>
      <c r="AS41" s="575"/>
      <c r="AT41" s="575"/>
      <c r="AU41" s="575"/>
      <c r="AV41" s="575"/>
      <c r="AW41" s="575"/>
      <c r="AX41" s="575"/>
      <c r="AY41" s="575"/>
      <c r="AZ41" s="575"/>
      <c r="BA41" s="575"/>
      <c r="BB41" s="575"/>
      <c r="BC41" s="575"/>
      <c r="BD41" s="575"/>
      <c r="BE41" s="575"/>
      <c r="BF41" s="575"/>
      <c r="BG41" s="575"/>
      <c r="BH41" s="575"/>
      <c r="BI41" s="575"/>
      <c r="BJ41" s="575"/>
      <c r="BK41" s="575"/>
      <c r="BL41" s="575"/>
      <c r="BM41" s="575"/>
      <c r="BN41" s="575"/>
      <c r="BO41" s="575"/>
      <c r="BP41" s="575"/>
      <c r="BQ41" s="575"/>
      <c r="BR41" s="575"/>
      <c r="BS41" s="575"/>
      <c r="BT41" s="575"/>
      <c r="BU41" s="575"/>
      <c r="BV41" s="575"/>
      <c r="BW41" s="575"/>
      <c r="BX41" s="575"/>
      <c r="BY41" s="575"/>
      <c r="BZ41" s="575"/>
      <c r="CA41" s="575"/>
      <c r="CB41" s="575"/>
      <c r="CC41" s="575"/>
      <c r="CD41" s="575"/>
      <c r="CE41" s="575"/>
      <c r="CF41" s="575"/>
      <c r="CG41" s="575"/>
      <c r="CH41" s="575"/>
      <c r="CI41" s="575"/>
      <c r="CJ41" s="575"/>
      <c r="CK41" s="575"/>
      <c r="CL41" s="575"/>
      <c r="CM41" s="575"/>
      <c r="CN41" s="575"/>
      <c r="CO41" s="575"/>
      <c r="CP41" s="575"/>
      <c r="CQ41" s="575"/>
      <c r="CR41" s="575"/>
      <c r="CS41" s="575"/>
      <c r="CT41" s="575"/>
      <c r="CU41" s="575"/>
      <c r="CV41" s="575"/>
      <c r="CW41" s="575"/>
      <c r="CX41" s="575"/>
      <c r="CY41" s="575"/>
      <c r="CZ41" s="575"/>
      <c r="DA41" s="575"/>
      <c r="DB41" s="575"/>
      <c r="DC41" s="575"/>
      <c r="DD41" s="575"/>
      <c r="DE41" s="575"/>
      <c r="DF41" s="575"/>
      <c r="DG41" s="575"/>
      <c r="DH41" s="575"/>
      <c r="DI41" s="575"/>
      <c r="DJ41" s="575"/>
      <c r="DK41" s="575"/>
      <c r="DL41" s="575"/>
      <c r="DM41" s="575"/>
      <c r="DN41" s="575"/>
      <c r="DO41" s="575"/>
      <c r="DP41" s="575"/>
      <c r="DQ41" s="575"/>
      <c r="DR41" s="575"/>
      <c r="DS41" s="575"/>
      <c r="DT41" s="575"/>
      <c r="DU41" s="575"/>
      <c r="DV41" s="575"/>
      <c r="DW41" s="575"/>
      <c r="DX41" s="575"/>
      <c r="DY41" s="575"/>
      <c r="DZ41" s="575"/>
      <c r="EA41" s="575"/>
      <c r="EB41" s="575"/>
      <c r="EC41" s="575"/>
      <c r="ED41" s="575"/>
      <c r="EE41" s="575"/>
      <c r="EF41" s="575"/>
      <c r="EG41" s="575"/>
      <c r="EH41" s="575"/>
      <c r="EI41" s="575"/>
      <c r="EJ41" s="575"/>
      <c r="EK41" s="575"/>
      <c r="EL41" s="575"/>
      <c r="EM41" s="575"/>
      <c r="EN41" s="575"/>
      <c r="EO41" s="575"/>
      <c r="EP41" s="575"/>
      <c r="EQ41" s="575"/>
      <c r="ER41" s="575"/>
      <c r="ES41" s="575"/>
      <c r="ET41" s="575"/>
      <c r="EU41" s="575"/>
      <c r="EV41" s="575"/>
      <c r="EW41" s="575"/>
      <c r="EX41" s="575"/>
      <c r="EY41" s="575"/>
      <c r="EZ41" s="575"/>
      <c r="FA41" s="575"/>
      <c r="FB41" s="575"/>
      <c r="FC41" s="575"/>
      <c r="FD41" s="575"/>
      <c r="FE41" s="575"/>
      <c r="FF41" s="575"/>
      <c r="FG41" s="575"/>
      <c r="FH41" s="575"/>
      <c r="FI41" s="575"/>
      <c r="FJ41" s="575"/>
      <c r="FK41" s="575"/>
      <c r="FL41" s="575"/>
      <c r="FM41" s="575"/>
      <c r="FN41" s="575"/>
      <c r="FO41" s="575"/>
      <c r="FP41" s="575"/>
      <c r="FQ41" s="575"/>
      <c r="FR41" s="575"/>
      <c r="FS41" s="575"/>
      <c r="FT41" s="575"/>
      <c r="FU41" s="575"/>
      <c r="FV41" s="575"/>
      <c r="FW41" s="575"/>
      <c r="FX41" s="575"/>
      <c r="FY41" s="575"/>
      <c r="FZ41" s="575"/>
      <c r="GA41" s="575"/>
      <c r="GB41" s="575"/>
      <c r="GC41" s="575"/>
      <c r="GD41" s="575"/>
      <c r="GE41" s="575"/>
      <c r="GF41" s="575"/>
      <c r="GG41" s="575"/>
      <c r="GH41" s="575"/>
      <c r="GI41" s="575"/>
      <c r="GJ41" s="575"/>
      <c r="GK41" s="575"/>
      <c r="GL41" s="575"/>
      <c r="GM41" s="575"/>
      <c r="GN41" s="575"/>
      <c r="GO41" s="575"/>
      <c r="GP41" s="575"/>
      <c r="GQ41" s="575"/>
      <c r="GR41" s="575"/>
      <c r="GS41" s="575"/>
      <c r="GT41" s="575"/>
      <c r="GU41" s="575"/>
      <c r="GV41" s="575"/>
      <c r="GW41" s="575"/>
      <c r="GX41" s="575"/>
      <c r="GY41" s="575"/>
      <c r="GZ41" s="575"/>
      <c r="HA41" s="575"/>
      <c r="HB41" s="575"/>
      <c r="HC41" s="575"/>
      <c r="HD41" s="575"/>
      <c r="HE41" s="575"/>
      <c r="HF41" s="575"/>
      <c r="HG41" s="575"/>
      <c r="HH41" s="575"/>
      <c r="HI41" s="575"/>
      <c r="HJ41" s="575"/>
      <c r="HK41" s="575"/>
      <c r="HL41" s="575"/>
      <c r="HM41" s="575"/>
      <c r="HN41" s="575"/>
      <c r="HO41" s="575"/>
      <c r="HP41" s="575"/>
      <c r="HQ41" s="575"/>
      <c r="HR41" s="575"/>
      <c r="HS41" s="575"/>
      <c r="HT41" s="575"/>
      <c r="HU41" s="575"/>
      <c r="HV41" s="575"/>
      <c r="HW41" s="575"/>
      <c r="HX41" s="575"/>
      <c r="HY41" s="575"/>
      <c r="HZ41" s="575"/>
      <c r="IA41" s="575"/>
      <c r="IB41" s="575"/>
      <c r="IC41" s="575"/>
      <c r="ID41" s="575"/>
      <c r="IE41" s="575"/>
      <c r="IF41" s="575"/>
      <c r="IG41" s="575"/>
      <c r="IH41" s="575"/>
      <c r="II41" s="575"/>
      <c r="IJ41" s="575"/>
      <c r="IK41" s="575"/>
      <c r="IL41" s="575"/>
      <c r="IM41" s="575"/>
      <c r="IN41" s="575"/>
      <c r="IO41" s="575"/>
      <c r="IP41" s="575"/>
      <c r="IQ41" s="575"/>
      <c r="IR41" s="575"/>
      <c r="IS41" s="575"/>
      <c r="IT41" s="575"/>
      <c r="IU41" s="575"/>
      <c r="IV41" s="575"/>
      <c r="IW41" s="575"/>
      <c r="IX41" s="575"/>
      <c r="IY41" s="575"/>
      <c r="IZ41" s="575"/>
      <c r="JA41" s="575"/>
      <c r="JB41" s="575"/>
      <c r="JC41" s="575"/>
      <c r="JD41" s="575"/>
      <c r="JE41" s="575"/>
      <c r="JF41" s="575"/>
      <c r="JG41" s="575"/>
      <c r="JH41" s="575"/>
      <c r="JI41" s="575"/>
      <c r="JJ41" s="575"/>
      <c r="JK41" s="575"/>
      <c r="JL41" s="575"/>
      <c r="JM41" s="575"/>
      <c r="JN41" s="575"/>
      <c r="JO41" s="575"/>
      <c r="JP41" s="575"/>
      <c r="JQ41" s="575"/>
      <c r="JR41" s="575"/>
      <c r="JS41" s="575"/>
      <c r="JT41" s="575"/>
      <c r="JU41" s="575"/>
      <c r="JV41" s="575"/>
      <c r="JW41" s="575"/>
      <c r="JX41" s="575"/>
      <c r="JY41" s="575"/>
      <c r="JZ41" s="575"/>
      <c r="KA41" s="575"/>
      <c r="KB41" s="575"/>
      <c r="KC41" s="575"/>
      <c r="KD41" s="575"/>
      <c r="KE41" s="575"/>
      <c r="KF41" s="575"/>
      <c r="KG41" s="575"/>
      <c r="KH41" s="575"/>
      <c r="KI41" s="575"/>
      <c r="KJ41" s="575"/>
      <c r="KK41" s="575"/>
      <c r="KL41" s="575"/>
      <c r="KM41" s="575"/>
      <c r="KN41" s="575"/>
      <c r="KO41" s="575"/>
      <c r="KP41" s="575"/>
      <c r="KQ41" s="575"/>
      <c r="KR41" s="575"/>
      <c r="KS41" s="575"/>
      <c r="KT41" s="575"/>
      <c r="KU41" s="575"/>
      <c r="KV41" s="575"/>
      <c r="KW41" s="575"/>
      <c r="KX41" s="575"/>
      <c r="KY41" s="575"/>
      <c r="KZ41" s="575"/>
      <c r="LA41" s="575"/>
      <c r="LB41" s="575"/>
      <c r="LC41" s="575"/>
      <c r="LD41" s="575"/>
      <c r="LE41" s="575"/>
      <c r="LF41" s="575"/>
      <c r="LG41" s="575"/>
      <c r="LH41" s="575"/>
      <c r="LI41" s="575"/>
      <c r="LJ41" s="575"/>
      <c r="LK41" s="575"/>
      <c r="LL41" s="575"/>
      <c r="LM41" s="575"/>
      <c r="LN41" s="575"/>
      <c r="LO41" s="575"/>
      <c r="LP41" s="575"/>
      <c r="LQ41" s="575"/>
      <c r="LR41" s="575"/>
      <c r="LS41" s="575"/>
      <c r="LT41" s="575"/>
      <c r="LU41" s="575"/>
      <c r="LV41" s="575"/>
      <c r="LW41" s="575"/>
      <c r="LX41" s="575"/>
      <c r="LY41" s="575"/>
      <c r="LZ41" s="575"/>
      <c r="MA41" s="575"/>
      <c r="MB41" s="575"/>
      <c r="MC41" s="575"/>
      <c r="MD41" s="575"/>
      <c r="ME41" s="575"/>
      <c r="MF41" s="575"/>
      <c r="MG41" s="575"/>
      <c r="MH41" s="575"/>
      <c r="MI41" s="575"/>
      <c r="MJ41" s="575"/>
      <c r="MK41" s="575"/>
      <c r="ML41" s="575"/>
      <c r="MM41" s="575"/>
      <c r="MN41" s="575"/>
      <c r="MO41" s="575"/>
      <c r="MP41" s="575"/>
      <c r="MQ41" s="575"/>
      <c r="MR41" s="575"/>
      <c r="MS41" s="575"/>
      <c r="MT41" s="575"/>
      <c r="MU41" s="575"/>
      <c r="MV41" s="575"/>
      <c r="MW41" s="575"/>
      <c r="MX41" s="575"/>
      <c r="MY41" s="575"/>
      <c r="MZ41" s="575"/>
      <c r="NA41" s="575"/>
      <c r="NB41" s="575"/>
      <c r="NC41" s="575"/>
      <c r="ND41" s="575"/>
      <c r="NE41" s="575"/>
      <c r="NF41" s="575"/>
      <c r="NG41" s="575"/>
      <c r="NH41" s="575"/>
      <c r="NI41" s="575"/>
      <c r="NJ41" s="575"/>
      <c r="NK41" s="575"/>
      <c r="NL41" s="575"/>
      <c r="NM41" s="575"/>
      <c r="NN41" s="575"/>
      <c r="NO41" s="575"/>
      <c r="NP41" s="575"/>
      <c r="NQ41" s="575"/>
      <c r="NR41" s="575"/>
      <c r="NS41" s="575"/>
      <c r="NT41" s="575"/>
      <c r="NU41" s="575"/>
      <c r="NV41" s="575"/>
      <c r="NW41" s="575"/>
      <c r="NX41" s="575"/>
      <c r="NY41" s="575"/>
      <c r="NZ41" s="575"/>
      <c r="OA41" s="575"/>
      <c r="OB41" s="575"/>
      <c r="OC41" s="575"/>
      <c r="OD41" s="575"/>
      <c r="OE41" s="575"/>
      <c r="OF41" s="575"/>
      <c r="OG41" s="575"/>
      <c r="OH41" s="575"/>
      <c r="OI41" s="575"/>
      <c r="OJ41" s="575"/>
      <c r="OK41" s="575"/>
      <c r="OL41" s="575"/>
      <c r="OM41" s="575"/>
      <c r="ON41" s="575"/>
      <c r="OO41" s="575"/>
      <c r="OP41" s="575"/>
      <c r="OQ41" s="575"/>
      <c r="OR41" s="575"/>
      <c r="OS41" s="575"/>
      <c r="OT41" s="575"/>
      <c r="OU41" s="575"/>
      <c r="OV41" s="575"/>
      <c r="OW41" s="575"/>
      <c r="OX41" s="575"/>
      <c r="OY41" s="575"/>
      <c r="OZ41" s="575"/>
      <c r="PA41" s="575"/>
      <c r="PB41" s="575"/>
      <c r="PC41" s="575"/>
      <c r="PD41" s="575"/>
      <c r="PE41" s="575"/>
      <c r="PF41" s="575"/>
      <c r="PG41" s="575"/>
      <c r="PH41" s="575"/>
      <c r="PI41" s="575"/>
      <c r="PJ41" s="575"/>
      <c r="PK41" s="575"/>
      <c r="PL41" s="575"/>
      <c r="PM41" s="575"/>
      <c r="PN41" s="575"/>
      <c r="PO41" s="575"/>
      <c r="PP41" s="575"/>
      <c r="PQ41" s="575"/>
      <c r="PR41" s="575"/>
      <c r="PS41" s="575"/>
      <c r="PT41" s="575"/>
      <c r="PU41" s="575"/>
      <c r="PV41" s="575"/>
      <c r="PW41" s="575"/>
      <c r="PX41" s="575"/>
      <c r="PY41" s="575"/>
      <c r="PZ41" s="575"/>
      <c r="QA41" s="575"/>
      <c r="QB41" s="575"/>
      <c r="QC41" s="575"/>
      <c r="QD41" s="575"/>
      <c r="QE41" s="575"/>
      <c r="QF41" s="575"/>
      <c r="QG41" s="575"/>
      <c r="QH41" s="575"/>
      <c r="QI41" s="575"/>
      <c r="QJ41" s="575"/>
      <c r="QK41" s="575"/>
      <c r="QL41" s="575"/>
      <c r="QM41" s="575"/>
      <c r="QN41" s="575"/>
      <c r="QO41" s="575"/>
      <c r="QP41" s="575"/>
      <c r="QQ41" s="575"/>
      <c r="QR41" s="575"/>
      <c r="QS41" s="575"/>
      <c r="QT41" s="575"/>
      <c r="QU41" s="575"/>
      <c r="QV41" s="575"/>
      <c r="QW41" s="575"/>
      <c r="QX41" s="575"/>
      <c r="QY41" s="575"/>
      <c r="QZ41" s="575"/>
      <c r="RA41" s="575"/>
      <c r="RB41" s="575"/>
      <c r="RC41" s="575"/>
      <c r="RD41" s="575"/>
      <c r="RE41" s="575"/>
      <c r="RF41" s="575"/>
      <c r="RG41" s="575"/>
      <c r="RH41" s="575"/>
      <c r="RI41" s="575"/>
      <c r="RJ41" s="575"/>
      <c r="RK41" s="575"/>
      <c r="RL41" s="575"/>
      <c r="RM41" s="575"/>
      <c r="RN41" s="575"/>
      <c r="RO41" s="575"/>
      <c r="RP41" s="575"/>
      <c r="RQ41" s="575"/>
      <c r="RR41" s="575"/>
      <c r="RS41" s="575"/>
      <c r="RT41" s="575"/>
      <c r="RU41" s="575"/>
      <c r="RV41" s="575"/>
      <c r="RW41" s="575"/>
      <c r="RX41" s="575"/>
      <c r="RY41" s="575"/>
      <c r="RZ41" s="575"/>
      <c r="SA41" s="575"/>
      <c r="SB41" s="575"/>
      <c r="SC41" s="575"/>
      <c r="SD41" s="575"/>
      <c r="SE41" s="575"/>
      <c r="SF41" s="575"/>
      <c r="SG41" s="575"/>
      <c r="SH41" s="575"/>
      <c r="SI41" s="575"/>
      <c r="SJ41" s="575"/>
      <c r="SK41" s="575"/>
      <c r="SL41" s="575"/>
      <c r="SM41" s="575"/>
      <c r="SN41" s="575"/>
      <c r="SO41" s="575"/>
      <c r="SP41" s="575"/>
      <c r="SQ41" s="575"/>
      <c r="SR41" s="575"/>
      <c r="SS41" s="575"/>
      <c r="ST41" s="575"/>
      <c r="SU41" s="575"/>
      <c r="SV41" s="575"/>
      <c r="SW41" s="575"/>
      <c r="SX41" s="575"/>
      <c r="SY41" s="575"/>
      <c r="SZ41" s="575"/>
      <c r="TA41" s="575"/>
      <c r="TB41" s="575"/>
      <c r="TC41" s="575"/>
      <c r="TD41" s="575"/>
      <c r="TE41" s="575"/>
      <c r="TF41" s="575"/>
      <c r="TG41" s="575"/>
      <c r="TH41" s="575"/>
      <c r="TI41" s="575"/>
      <c r="TJ41" s="575"/>
      <c r="TK41" s="575"/>
      <c r="TL41" s="575"/>
      <c r="TM41" s="575"/>
      <c r="TN41" s="575"/>
      <c r="TO41" s="575"/>
      <c r="TP41" s="575"/>
      <c r="TQ41" s="575"/>
      <c r="TR41" s="575"/>
      <c r="TS41" s="575"/>
      <c r="TT41" s="575"/>
      <c r="TU41" s="575"/>
      <c r="TV41" s="575"/>
      <c r="TW41" s="575"/>
      <c r="TX41" s="575"/>
      <c r="TY41" s="575"/>
      <c r="TZ41" s="575"/>
      <c r="UA41" s="575"/>
      <c r="UB41" s="575"/>
      <c r="UC41" s="575"/>
      <c r="UD41" s="575"/>
      <c r="UE41" s="575"/>
      <c r="UF41" s="575"/>
      <c r="UG41" s="575"/>
      <c r="UH41" s="575"/>
      <c r="UI41" s="575"/>
      <c r="UJ41" s="575"/>
      <c r="UK41" s="575"/>
      <c r="UL41" s="575"/>
      <c r="UM41" s="575"/>
      <c r="UN41" s="575"/>
      <c r="UO41" s="575"/>
      <c r="UP41" s="575"/>
      <c r="UQ41" s="575"/>
      <c r="UR41" s="575"/>
      <c r="US41" s="575"/>
      <c r="UT41" s="575"/>
      <c r="UU41" s="575"/>
      <c r="UV41" s="575"/>
      <c r="UW41" s="575"/>
      <c r="UX41" s="575"/>
      <c r="UY41" s="575"/>
      <c r="UZ41" s="575"/>
      <c r="VA41" s="575"/>
      <c r="VB41" s="575"/>
      <c r="VC41" s="575"/>
      <c r="VD41" s="575"/>
      <c r="VE41" s="575"/>
      <c r="VF41" s="575"/>
      <c r="VG41" s="575"/>
      <c r="VH41" s="575"/>
      <c r="VI41" s="575"/>
      <c r="VJ41" s="575"/>
      <c r="VK41" s="575"/>
      <c r="VL41" s="575"/>
      <c r="VM41" s="575"/>
      <c r="VN41" s="575"/>
      <c r="VO41" s="575"/>
      <c r="VP41" s="575"/>
      <c r="VQ41" s="575"/>
      <c r="VR41" s="575"/>
      <c r="VS41" s="575"/>
      <c r="VT41" s="575"/>
      <c r="VU41" s="575"/>
      <c r="VV41" s="575"/>
      <c r="VW41" s="575"/>
      <c r="VX41" s="575"/>
      <c r="VY41" s="575"/>
      <c r="VZ41" s="575"/>
      <c r="WA41" s="575"/>
      <c r="WB41" s="575"/>
      <c r="WC41" s="575"/>
      <c r="WD41" s="575"/>
      <c r="WE41" s="575"/>
      <c r="WF41" s="575"/>
      <c r="WG41" s="575"/>
      <c r="WH41" s="575"/>
      <c r="WI41" s="575"/>
      <c r="WJ41" s="575"/>
      <c r="WK41" s="575"/>
      <c r="WL41" s="575"/>
      <c r="WM41" s="575"/>
      <c r="WN41" s="575"/>
      <c r="WO41" s="575"/>
      <c r="WP41" s="575"/>
      <c r="WQ41" s="575"/>
      <c r="WR41" s="575"/>
      <c r="WS41" s="575"/>
      <c r="WT41" s="575"/>
      <c r="WU41" s="575"/>
      <c r="WV41" s="575"/>
      <c r="WW41" s="575"/>
      <c r="WX41" s="575"/>
      <c r="WY41" s="575"/>
      <c r="WZ41" s="575"/>
      <c r="XA41" s="575"/>
      <c r="XB41" s="575"/>
      <c r="XC41" s="575"/>
      <c r="XD41" s="575"/>
      <c r="XE41" s="575"/>
      <c r="XF41" s="575"/>
      <c r="XG41" s="575"/>
      <c r="XH41" s="575"/>
      <c r="XI41" s="575"/>
      <c r="XJ41" s="575"/>
      <c r="XK41" s="575"/>
      <c r="XL41" s="575"/>
      <c r="XM41" s="575"/>
      <c r="XN41" s="575"/>
      <c r="XO41" s="575"/>
      <c r="XP41" s="575"/>
      <c r="XQ41" s="575"/>
      <c r="XR41" s="575"/>
      <c r="XS41" s="575"/>
      <c r="XT41" s="575"/>
      <c r="XU41" s="575"/>
      <c r="XV41" s="575"/>
      <c r="XW41" s="575"/>
      <c r="XX41" s="575"/>
      <c r="XY41" s="575"/>
      <c r="XZ41" s="575"/>
      <c r="YA41" s="575"/>
      <c r="YB41" s="575"/>
      <c r="YC41" s="575"/>
      <c r="YD41" s="575"/>
      <c r="YE41" s="575"/>
      <c r="YF41" s="575"/>
      <c r="YG41" s="575"/>
      <c r="YH41" s="575"/>
      <c r="YI41" s="575"/>
      <c r="YJ41" s="575"/>
      <c r="YK41" s="575"/>
      <c r="YL41" s="575"/>
      <c r="YM41" s="575"/>
      <c r="YN41" s="575"/>
      <c r="YO41" s="575"/>
      <c r="YP41" s="575"/>
      <c r="YQ41" s="575"/>
      <c r="YR41" s="575"/>
      <c r="YS41" s="575"/>
      <c r="YT41" s="575"/>
      <c r="YU41" s="575"/>
      <c r="YV41" s="575"/>
      <c r="YW41" s="575"/>
      <c r="YX41" s="575"/>
      <c r="YY41" s="575"/>
      <c r="YZ41" s="575"/>
      <c r="ZA41" s="575"/>
      <c r="ZB41" s="575"/>
      <c r="ZC41" s="575"/>
      <c r="ZD41" s="575"/>
      <c r="ZE41" s="575"/>
      <c r="ZF41" s="575"/>
      <c r="ZG41" s="575"/>
      <c r="ZH41" s="575"/>
      <c r="ZI41" s="575"/>
      <c r="ZJ41" s="575"/>
      <c r="ZK41" s="575"/>
      <c r="ZL41" s="575"/>
      <c r="ZM41" s="575"/>
      <c r="ZN41" s="575"/>
      <c r="ZO41" s="575"/>
      <c r="ZP41" s="575"/>
      <c r="ZQ41" s="575"/>
      <c r="ZR41" s="575"/>
      <c r="ZS41" s="575"/>
      <c r="ZT41" s="575"/>
      <c r="ZU41" s="575"/>
      <c r="ZV41" s="575"/>
      <c r="ZW41" s="575"/>
      <c r="ZX41" s="575"/>
      <c r="ZY41" s="575"/>
      <c r="ZZ41" s="575"/>
      <c r="AAA41" s="575"/>
      <c r="AAB41" s="575"/>
      <c r="AAC41" s="575"/>
      <c r="AAD41" s="575"/>
      <c r="AAE41" s="575"/>
      <c r="AAF41" s="575"/>
      <c r="AAG41" s="575"/>
      <c r="AAH41" s="575"/>
      <c r="AAI41" s="575"/>
      <c r="AAJ41" s="575"/>
      <c r="AAK41" s="575"/>
      <c r="AAL41" s="575"/>
      <c r="AAM41" s="575"/>
      <c r="AAN41" s="575"/>
      <c r="AAO41" s="575"/>
      <c r="AAP41" s="575"/>
      <c r="AAQ41" s="575"/>
      <c r="AAR41" s="575"/>
      <c r="AAS41" s="575"/>
      <c r="AAT41" s="575"/>
      <c r="AAU41" s="575"/>
      <c r="AAV41" s="575"/>
      <c r="AAW41" s="575"/>
      <c r="AAX41" s="575"/>
      <c r="AAY41" s="575"/>
      <c r="AAZ41" s="575"/>
      <c r="ABA41" s="575"/>
      <c r="ABB41" s="575"/>
      <c r="ABC41" s="575"/>
      <c r="ABD41" s="575"/>
      <c r="ABE41" s="575"/>
      <c r="ABF41" s="575"/>
      <c r="ABG41" s="575"/>
      <c r="ABH41" s="575"/>
      <c r="ABI41" s="575"/>
      <c r="ABJ41" s="575"/>
      <c r="ABK41" s="575"/>
      <c r="ABL41" s="575"/>
      <c r="ABM41" s="575"/>
      <c r="ABN41" s="575"/>
      <c r="ABO41" s="575"/>
      <c r="ABP41" s="575"/>
      <c r="ABQ41" s="575"/>
      <c r="ABR41" s="575"/>
      <c r="ABS41" s="575"/>
      <c r="ABT41" s="575"/>
      <c r="ABU41" s="575"/>
      <c r="ABV41" s="575"/>
      <c r="ABW41" s="575"/>
      <c r="ABX41" s="575"/>
      <c r="ABY41" s="575"/>
      <c r="ABZ41" s="575"/>
      <c r="ACA41" s="575"/>
      <c r="ACB41" s="575"/>
      <c r="ACC41" s="575"/>
      <c r="ACD41" s="575"/>
      <c r="ACE41" s="575"/>
      <c r="ACF41" s="575"/>
      <c r="ACG41" s="575"/>
      <c r="ACH41" s="575"/>
      <c r="ACI41" s="575"/>
      <c r="ACJ41" s="575"/>
      <c r="ACK41" s="575"/>
      <c r="ACL41" s="575"/>
      <c r="ACM41" s="575"/>
      <c r="ACN41" s="575"/>
      <c r="ACO41" s="575"/>
      <c r="ACP41" s="575"/>
      <c r="ACQ41" s="575"/>
      <c r="ACR41" s="575"/>
      <c r="ACS41" s="575"/>
      <c r="ACT41" s="575"/>
      <c r="ACU41" s="575"/>
      <c r="ACV41" s="575"/>
      <c r="ACW41" s="575"/>
      <c r="ACX41" s="575"/>
      <c r="ACY41" s="575"/>
      <c r="ACZ41" s="575"/>
      <c r="ADA41" s="575"/>
      <c r="ADB41" s="575"/>
      <c r="ADC41" s="575"/>
      <c r="ADD41" s="575"/>
      <c r="ADE41" s="575"/>
      <c r="ADF41" s="575"/>
      <c r="ADG41" s="575"/>
      <c r="ADH41" s="575"/>
      <c r="ADI41" s="575"/>
      <c r="ADJ41" s="575"/>
      <c r="ADK41" s="575"/>
      <c r="ADL41" s="575"/>
      <c r="ADM41" s="575"/>
      <c r="ADN41" s="575"/>
      <c r="ADO41" s="575"/>
      <c r="ADP41" s="575"/>
      <c r="ADQ41" s="575"/>
      <c r="ADR41" s="575"/>
      <c r="ADS41" s="575"/>
      <c r="ADT41" s="575"/>
      <c r="ADU41" s="575"/>
      <c r="ADV41" s="575"/>
      <c r="ADW41" s="575"/>
      <c r="ADX41" s="575"/>
      <c r="ADY41" s="575"/>
      <c r="ADZ41" s="575"/>
      <c r="AEA41" s="575"/>
      <c r="AEB41" s="575"/>
      <c r="AEC41" s="575"/>
      <c r="AED41" s="575"/>
      <c r="AEE41" s="575"/>
      <c r="AEF41" s="575"/>
      <c r="AEG41" s="575"/>
      <c r="AEH41" s="575"/>
      <c r="AEI41" s="575"/>
      <c r="AEJ41" s="575"/>
      <c r="AEK41" s="575"/>
      <c r="AEL41" s="575"/>
      <c r="AEM41" s="575"/>
      <c r="AEN41" s="575"/>
      <c r="AEO41" s="575"/>
      <c r="AEP41" s="575"/>
      <c r="AEQ41" s="575"/>
      <c r="AER41" s="575"/>
      <c r="AES41" s="575"/>
      <c r="AET41" s="575"/>
      <c r="AEU41" s="575"/>
      <c r="AEV41" s="575"/>
      <c r="AEW41" s="575"/>
      <c r="AEX41" s="575"/>
      <c r="AEY41" s="575"/>
      <c r="AEZ41" s="575"/>
      <c r="AFA41" s="575"/>
      <c r="AFB41" s="575"/>
      <c r="AFC41" s="575"/>
      <c r="AFD41" s="575"/>
      <c r="AFE41" s="575"/>
      <c r="AFF41" s="575"/>
      <c r="AFG41" s="575"/>
      <c r="AFH41" s="575"/>
      <c r="AFI41" s="575"/>
      <c r="AFJ41" s="575"/>
      <c r="AFK41" s="575"/>
      <c r="AFL41" s="575"/>
      <c r="AFM41" s="575"/>
      <c r="AFN41" s="575"/>
      <c r="AFO41" s="575"/>
      <c r="AFP41" s="575"/>
      <c r="AFQ41" s="575"/>
      <c r="AFR41" s="575"/>
      <c r="AFS41" s="575"/>
      <c r="AFT41" s="575"/>
      <c r="AFU41" s="575"/>
      <c r="AFV41" s="575"/>
      <c r="AFW41" s="575"/>
      <c r="AFX41" s="575"/>
      <c r="AFY41" s="575"/>
      <c r="AFZ41" s="575"/>
      <c r="AGA41" s="575"/>
      <c r="AGB41" s="575"/>
      <c r="AGC41" s="575"/>
      <c r="AGD41" s="575"/>
      <c r="AGE41" s="575"/>
      <c r="AGF41" s="575"/>
      <c r="AGG41" s="575"/>
      <c r="AGH41" s="575"/>
      <c r="AGI41" s="575"/>
      <c r="AGJ41" s="575"/>
      <c r="AGK41" s="575"/>
      <c r="AGL41" s="575"/>
      <c r="AGM41" s="575"/>
      <c r="AGN41" s="575"/>
      <c r="AGO41" s="575"/>
      <c r="AGP41" s="575"/>
      <c r="AGQ41" s="575"/>
      <c r="AGR41" s="575"/>
      <c r="AGS41" s="575"/>
      <c r="AGT41" s="575"/>
      <c r="AGU41" s="575"/>
      <c r="AGV41" s="575"/>
      <c r="AGW41" s="575"/>
      <c r="AGX41" s="575"/>
      <c r="AGY41" s="575"/>
      <c r="AGZ41" s="575"/>
      <c r="AHA41" s="575"/>
      <c r="AHB41" s="575"/>
      <c r="AHC41" s="575"/>
      <c r="AHD41" s="575"/>
      <c r="AHE41" s="575"/>
      <c r="AHF41" s="575"/>
      <c r="AHG41" s="575"/>
      <c r="AHH41" s="575"/>
      <c r="AHI41" s="575"/>
      <c r="AHJ41" s="575"/>
      <c r="AHK41" s="575"/>
      <c r="AHL41" s="575"/>
      <c r="AHM41" s="575"/>
      <c r="AHN41" s="575"/>
      <c r="AHO41" s="575"/>
      <c r="AHP41" s="575"/>
      <c r="AHQ41" s="575"/>
      <c r="AHR41" s="575"/>
      <c r="AHS41" s="575"/>
      <c r="AHT41" s="575"/>
      <c r="AHU41" s="575"/>
      <c r="AHV41" s="575"/>
      <c r="AHW41" s="575"/>
      <c r="AHX41" s="575"/>
      <c r="AHY41" s="575"/>
      <c r="AHZ41" s="575"/>
      <c r="AIA41" s="575"/>
      <c r="AIB41" s="575"/>
      <c r="AIC41" s="575"/>
      <c r="AID41" s="575"/>
      <c r="AIE41" s="575"/>
      <c r="AIF41" s="575"/>
      <c r="AIG41" s="575"/>
      <c r="AIH41" s="575"/>
      <c r="AII41" s="575"/>
      <c r="AIJ41" s="575"/>
      <c r="AIK41" s="575"/>
      <c r="AIL41" s="575"/>
      <c r="AIM41" s="575"/>
      <c r="AIN41" s="575"/>
      <c r="AIO41" s="575"/>
      <c r="AIP41" s="575"/>
      <c r="AIQ41" s="575"/>
      <c r="AIR41" s="575"/>
      <c r="AIS41" s="575"/>
      <c r="AIT41" s="575"/>
      <c r="AIU41" s="575"/>
      <c r="AIV41" s="575"/>
      <c r="AIW41" s="575"/>
      <c r="AIX41" s="575"/>
      <c r="AIY41" s="575"/>
      <c r="AIZ41" s="575"/>
      <c r="AJA41" s="575"/>
      <c r="AJB41" s="575"/>
      <c r="AJC41" s="575"/>
      <c r="AJD41" s="575"/>
      <c r="AJE41" s="575"/>
      <c r="AJF41" s="575"/>
      <c r="AJG41" s="575"/>
      <c r="AJH41" s="575"/>
      <c r="AJI41" s="575"/>
      <c r="AJJ41" s="575"/>
      <c r="AJK41" s="575"/>
      <c r="AJL41" s="575"/>
      <c r="AJM41" s="575"/>
      <c r="AJN41" s="575"/>
      <c r="AJO41" s="575"/>
      <c r="AJP41" s="575"/>
      <c r="AJQ41" s="575"/>
      <c r="AJR41" s="575"/>
      <c r="AJS41" s="575"/>
      <c r="AJT41" s="575"/>
      <c r="AJU41" s="575"/>
      <c r="AJV41" s="575"/>
      <c r="AJW41" s="575"/>
      <c r="AJX41" s="575"/>
      <c r="AJY41" s="575"/>
      <c r="AJZ41" s="575"/>
      <c r="AKA41" s="575"/>
      <c r="AKB41" s="575"/>
      <c r="AKC41" s="575"/>
      <c r="AKD41" s="575"/>
      <c r="AKE41" s="575"/>
      <c r="AKF41" s="575"/>
      <c r="AKG41" s="575"/>
      <c r="AKH41" s="575"/>
      <c r="AKI41" s="575"/>
      <c r="AKJ41" s="575"/>
      <c r="AKK41" s="575"/>
      <c r="AKL41" s="575"/>
      <c r="AKM41" s="575"/>
      <c r="AKN41" s="575"/>
      <c r="AKO41" s="575"/>
      <c r="AKP41" s="575"/>
      <c r="AKQ41" s="575"/>
      <c r="AKR41" s="575"/>
      <c r="AKS41" s="575"/>
      <c r="AKT41" s="575"/>
      <c r="AKU41" s="575"/>
      <c r="AKV41" s="575"/>
      <c r="AKW41" s="575"/>
      <c r="AKX41" s="575"/>
      <c r="AKY41" s="575"/>
      <c r="AKZ41" s="575"/>
      <c r="ALA41" s="575"/>
      <c r="ALB41" s="575"/>
      <c r="ALC41" s="575"/>
      <c r="ALD41" s="575"/>
      <c r="ALE41" s="575"/>
      <c r="ALF41" s="575"/>
      <c r="ALG41" s="575"/>
      <c r="ALH41" s="575"/>
      <c r="ALI41" s="575"/>
      <c r="ALJ41" s="575"/>
      <c r="ALK41" s="575"/>
      <c r="ALL41" s="575"/>
      <c r="ALM41" s="575"/>
      <c r="ALN41" s="575"/>
      <c r="ALO41" s="575"/>
      <c r="ALP41" s="575"/>
      <c r="ALQ41" s="575"/>
      <c r="ALR41" s="575"/>
      <c r="ALS41" s="575"/>
      <c r="ALT41" s="575"/>
      <c r="ALU41" s="575"/>
      <c r="ALV41" s="575"/>
      <c r="ALW41" s="575"/>
      <c r="ALX41" s="575"/>
      <c r="ALY41" s="575"/>
      <c r="ALZ41" s="575"/>
      <c r="AMA41" s="575"/>
      <c r="AMB41" s="575"/>
      <c r="AMC41" s="575"/>
      <c r="AMD41" s="575"/>
      <c r="AME41" s="575"/>
      <c r="AMF41" s="575"/>
      <c r="AMG41" s="575"/>
      <c r="AMH41" s="575"/>
      <c r="AMI41" s="575"/>
      <c r="AMJ41" s="575"/>
      <c r="AMK41" s="575"/>
      <c r="AML41" s="575"/>
      <c r="AMM41" s="575"/>
      <c r="AMN41" s="575"/>
      <c r="AMO41" s="575"/>
      <c r="AMP41" s="575"/>
      <c r="AMQ41" s="575"/>
      <c r="AMR41" s="575"/>
      <c r="AMS41" s="575"/>
      <c r="AMT41" s="575"/>
      <c r="AMU41" s="575"/>
      <c r="AMV41" s="575"/>
      <c r="AMW41" s="575"/>
      <c r="AMX41" s="575"/>
      <c r="AMY41" s="575"/>
      <c r="AMZ41" s="575"/>
      <c r="ANA41" s="575"/>
      <c r="ANB41" s="575"/>
      <c r="ANC41" s="575"/>
      <c r="AND41" s="575"/>
      <c r="ANE41" s="575"/>
      <c r="ANF41" s="575"/>
      <c r="ANG41" s="575"/>
      <c r="ANH41" s="575"/>
      <c r="ANI41" s="575"/>
      <c r="ANJ41" s="575"/>
      <c r="ANK41" s="575"/>
      <c r="ANL41" s="575"/>
      <c r="ANM41" s="575"/>
      <c r="ANN41" s="575"/>
      <c r="ANO41" s="575"/>
      <c r="ANP41" s="575"/>
      <c r="ANQ41" s="575"/>
      <c r="ANR41" s="575"/>
      <c r="ANS41" s="575"/>
      <c r="ANT41" s="575"/>
      <c r="ANU41" s="575"/>
      <c r="ANV41" s="575"/>
      <c r="ANW41" s="575"/>
      <c r="ANX41" s="575"/>
      <c r="ANY41" s="575"/>
      <c r="ANZ41" s="575"/>
      <c r="AOA41" s="575"/>
      <c r="AOB41" s="575"/>
      <c r="AOC41" s="575"/>
      <c r="AOD41" s="575"/>
      <c r="AOE41" s="575"/>
      <c r="AOF41" s="575"/>
      <c r="AOG41" s="575"/>
      <c r="AOH41" s="575"/>
      <c r="AOI41" s="575"/>
      <c r="AOJ41" s="575"/>
      <c r="AOK41" s="575"/>
      <c r="AOL41" s="575"/>
      <c r="AOM41" s="575"/>
      <c r="AON41" s="575"/>
      <c r="AOO41" s="575"/>
      <c r="AOP41" s="575"/>
      <c r="AOQ41" s="575"/>
      <c r="AOR41" s="575"/>
      <c r="AOS41" s="575"/>
      <c r="AOT41" s="575"/>
      <c r="AOU41" s="575"/>
      <c r="AOV41" s="575"/>
      <c r="AOW41" s="575"/>
      <c r="AOX41" s="575"/>
      <c r="AOY41" s="575"/>
      <c r="AOZ41" s="575"/>
      <c r="APA41" s="575"/>
      <c r="APB41" s="575"/>
      <c r="APC41" s="575"/>
      <c r="APD41" s="575"/>
      <c r="APE41" s="575"/>
      <c r="APF41" s="575"/>
      <c r="APG41" s="575"/>
      <c r="APH41" s="575"/>
      <c r="API41" s="575"/>
      <c r="APJ41" s="575"/>
      <c r="APK41" s="575"/>
      <c r="APL41" s="575"/>
      <c r="APM41" s="575"/>
      <c r="APN41" s="575"/>
      <c r="APO41" s="575"/>
      <c r="APP41" s="575"/>
      <c r="APQ41" s="575"/>
      <c r="APR41" s="575"/>
      <c r="APS41" s="575"/>
      <c r="APT41" s="575"/>
      <c r="APU41" s="575"/>
      <c r="APV41" s="575"/>
      <c r="APW41" s="575"/>
      <c r="APX41" s="575"/>
      <c r="APY41" s="575"/>
      <c r="APZ41" s="575"/>
      <c r="AQA41" s="575"/>
      <c r="AQB41" s="575"/>
      <c r="AQC41" s="575"/>
      <c r="AQD41" s="575"/>
      <c r="AQE41" s="575"/>
      <c r="AQF41" s="575"/>
      <c r="AQG41" s="575"/>
      <c r="AQH41" s="575"/>
      <c r="AQI41" s="575"/>
      <c r="AQJ41" s="575"/>
      <c r="AQK41" s="575"/>
      <c r="AQL41" s="575"/>
      <c r="AQM41" s="575"/>
      <c r="AQN41" s="575"/>
      <c r="AQO41" s="575"/>
      <c r="AQP41" s="575"/>
      <c r="AQQ41" s="575"/>
      <c r="AQR41" s="575"/>
      <c r="AQS41" s="575"/>
      <c r="AQT41" s="575"/>
      <c r="AQU41" s="575"/>
      <c r="AQV41" s="575"/>
      <c r="AQW41" s="575"/>
      <c r="AQX41" s="575"/>
      <c r="AQY41" s="575"/>
      <c r="AQZ41" s="575"/>
      <c r="ARA41" s="575"/>
      <c r="ARB41" s="575"/>
      <c r="ARC41" s="575"/>
      <c r="ARD41" s="575"/>
      <c r="ARE41" s="575"/>
      <c r="ARF41" s="575"/>
      <c r="ARG41" s="575"/>
      <c r="ARH41" s="575"/>
      <c r="ARI41" s="575"/>
      <c r="ARJ41" s="575"/>
      <c r="ARK41" s="575"/>
      <c r="ARL41" s="575"/>
      <c r="ARM41" s="575"/>
      <c r="ARN41" s="575"/>
      <c r="ARO41" s="575"/>
      <c r="ARP41" s="575"/>
      <c r="ARQ41" s="575"/>
      <c r="ARR41" s="575"/>
      <c r="ARS41" s="575"/>
      <c r="ART41" s="575"/>
      <c r="ARU41" s="575"/>
      <c r="ARV41" s="575"/>
      <c r="ARW41" s="575"/>
      <c r="ARX41" s="575"/>
      <c r="ARY41" s="575"/>
      <c r="ARZ41" s="575"/>
      <c r="ASA41" s="575"/>
      <c r="ASB41" s="575"/>
      <c r="ASC41" s="575"/>
      <c r="ASD41" s="575"/>
      <c r="ASE41" s="575"/>
      <c r="ASF41" s="575"/>
      <c r="ASG41" s="575"/>
      <c r="ASH41" s="575"/>
      <c r="ASI41" s="575"/>
      <c r="ASJ41" s="575"/>
      <c r="ASK41" s="575"/>
      <c r="ASL41" s="575"/>
      <c r="ASM41" s="575"/>
      <c r="ASN41" s="575"/>
      <c r="ASO41" s="575"/>
      <c r="ASP41" s="575"/>
      <c r="ASQ41" s="575"/>
      <c r="ASR41" s="575"/>
      <c r="ASS41" s="575"/>
      <c r="AST41" s="575"/>
      <c r="ASU41" s="575"/>
      <c r="ASV41" s="575"/>
      <c r="ASW41" s="575"/>
      <c r="ASX41" s="575"/>
      <c r="ASY41" s="575"/>
      <c r="ASZ41" s="575"/>
      <c r="ATA41" s="575"/>
      <c r="ATB41" s="575"/>
      <c r="ATC41" s="575"/>
      <c r="ATD41" s="575"/>
      <c r="ATE41" s="575"/>
      <c r="ATF41" s="575"/>
      <c r="ATG41" s="575"/>
      <c r="ATH41" s="575"/>
      <c r="ATI41" s="575"/>
      <c r="ATJ41" s="575"/>
      <c r="ATK41" s="575"/>
      <c r="ATL41" s="575"/>
      <c r="ATM41" s="575"/>
      <c r="ATN41" s="575"/>
      <c r="ATO41" s="575"/>
      <c r="ATP41" s="575"/>
      <c r="ATQ41" s="575"/>
      <c r="ATR41" s="575"/>
      <c r="ATS41" s="575"/>
      <c r="ATT41" s="575"/>
      <c r="ATU41" s="575"/>
      <c r="ATV41" s="575"/>
      <c r="ATW41" s="575"/>
      <c r="ATX41" s="575"/>
      <c r="ATY41" s="575"/>
      <c r="ATZ41" s="575"/>
      <c r="AUA41" s="575"/>
      <c r="AUB41" s="575"/>
      <c r="AUC41" s="575"/>
      <c r="AUD41" s="575"/>
      <c r="AUE41" s="575"/>
      <c r="AUF41" s="575"/>
      <c r="AUG41" s="575"/>
      <c r="AUH41" s="575"/>
      <c r="AUI41" s="575"/>
      <c r="AUJ41" s="575"/>
      <c r="AUK41" s="575"/>
      <c r="AUL41" s="575"/>
      <c r="AUM41" s="575"/>
      <c r="AUN41" s="575"/>
      <c r="AUO41" s="575"/>
      <c r="AUP41" s="575"/>
      <c r="AUQ41" s="575"/>
      <c r="AUR41" s="575"/>
      <c r="AUS41" s="575"/>
      <c r="AUT41" s="575"/>
      <c r="AUU41" s="575"/>
      <c r="AUV41" s="575"/>
      <c r="AUW41" s="575"/>
      <c r="AUX41" s="575"/>
      <c r="AUY41" s="575"/>
      <c r="AUZ41" s="575"/>
      <c r="AVA41" s="575"/>
      <c r="AVB41" s="575"/>
      <c r="AVC41" s="575"/>
      <c r="AVD41" s="575"/>
      <c r="AVE41" s="575"/>
      <c r="AVF41" s="575"/>
      <c r="AVG41" s="575"/>
      <c r="AVH41" s="575"/>
      <c r="AVI41" s="575"/>
      <c r="AVJ41" s="575"/>
      <c r="AVK41" s="575"/>
      <c r="AVL41" s="575"/>
      <c r="AVM41" s="575"/>
      <c r="AVN41" s="575"/>
      <c r="AVO41" s="575"/>
      <c r="AVP41" s="575"/>
      <c r="AVQ41" s="575"/>
      <c r="AVR41" s="575"/>
      <c r="AVS41" s="575"/>
      <c r="AVT41" s="575"/>
      <c r="AVU41" s="575"/>
      <c r="AVV41" s="575"/>
      <c r="AVW41" s="575"/>
      <c r="AVX41" s="575"/>
      <c r="AVY41" s="575"/>
      <c r="AVZ41" s="575"/>
      <c r="AWA41" s="575"/>
      <c r="AWB41" s="575"/>
      <c r="AWC41" s="575"/>
      <c r="AWD41" s="575"/>
      <c r="AWE41" s="575"/>
      <c r="AWF41" s="575"/>
      <c r="AWG41" s="575"/>
      <c r="AWH41" s="575"/>
      <c r="AWI41" s="575"/>
      <c r="AWJ41" s="575"/>
      <c r="AWK41" s="575"/>
      <c r="AWL41" s="575"/>
      <c r="AWM41" s="575"/>
      <c r="AWN41" s="575"/>
      <c r="AWO41" s="575"/>
      <c r="AWP41" s="575"/>
      <c r="AWQ41" s="575"/>
      <c r="AWR41" s="575"/>
      <c r="AWS41" s="575"/>
      <c r="AWT41" s="575"/>
      <c r="AWU41" s="575"/>
      <c r="AWV41" s="575"/>
      <c r="AWW41" s="575"/>
      <c r="AWX41" s="575"/>
      <c r="AWY41" s="575"/>
      <c r="AWZ41" s="575"/>
      <c r="AXA41" s="575"/>
      <c r="AXB41" s="575"/>
      <c r="AXC41" s="575"/>
      <c r="AXD41" s="575"/>
      <c r="AXE41" s="575"/>
      <c r="AXF41" s="575"/>
      <c r="AXG41" s="575"/>
      <c r="AXH41" s="575"/>
      <c r="AXI41" s="575"/>
      <c r="AXJ41" s="575"/>
      <c r="AXK41" s="575"/>
      <c r="AXL41" s="575"/>
      <c r="AXM41" s="575"/>
      <c r="AXN41" s="575"/>
      <c r="AXO41" s="575"/>
      <c r="AXP41" s="575"/>
      <c r="AXQ41" s="575"/>
      <c r="AXR41" s="575"/>
      <c r="AXS41" s="575"/>
      <c r="AXT41" s="575"/>
      <c r="AXU41" s="575"/>
      <c r="AXV41" s="575"/>
      <c r="AXW41" s="575"/>
      <c r="AXX41" s="575"/>
      <c r="AXY41" s="575"/>
      <c r="AXZ41" s="575"/>
      <c r="AYA41" s="575"/>
      <c r="AYB41" s="575"/>
      <c r="AYC41" s="575"/>
      <c r="AYD41" s="575"/>
      <c r="AYE41" s="575"/>
      <c r="AYF41" s="575"/>
      <c r="AYG41" s="575"/>
      <c r="AYH41" s="575"/>
      <c r="AYI41" s="575"/>
      <c r="AYJ41" s="575"/>
      <c r="AYK41" s="575"/>
      <c r="AYL41" s="575"/>
      <c r="AYM41" s="575"/>
      <c r="AYN41" s="575"/>
      <c r="AYO41" s="575"/>
      <c r="AYP41" s="575"/>
      <c r="AYQ41" s="575"/>
      <c r="AYR41" s="575"/>
      <c r="AYS41" s="575"/>
      <c r="AYT41" s="575"/>
      <c r="AYU41" s="575"/>
      <c r="AYV41" s="575"/>
      <c r="AYW41" s="575"/>
      <c r="AYX41" s="575"/>
      <c r="AYY41" s="575"/>
      <c r="AYZ41" s="575"/>
      <c r="AZA41" s="575"/>
      <c r="AZB41" s="575"/>
      <c r="AZC41" s="575"/>
      <c r="AZD41" s="575"/>
      <c r="AZE41" s="575"/>
      <c r="AZF41" s="575"/>
      <c r="AZG41" s="575"/>
      <c r="AZH41" s="575"/>
      <c r="AZI41" s="575"/>
      <c r="AZJ41" s="575"/>
      <c r="AZK41" s="575"/>
      <c r="AZL41" s="575"/>
      <c r="AZM41" s="575"/>
      <c r="AZN41" s="575"/>
      <c r="AZO41" s="575"/>
      <c r="AZP41" s="575"/>
      <c r="AZQ41" s="575"/>
      <c r="AZR41" s="575"/>
      <c r="AZS41" s="575"/>
      <c r="AZT41" s="575"/>
      <c r="AZU41" s="575"/>
      <c r="AZV41" s="575"/>
      <c r="AZW41" s="575"/>
      <c r="AZX41" s="575"/>
      <c r="AZY41" s="575"/>
      <c r="AZZ41" s="575"/>
      <c r="BAA41" s="575"/>
      <c r="BAB41" s="575"/>
      <c r="BAC41" s="575"/>
      <c r="BAD41" s="575"/>
      <c r="BAE41" s="575"/>
      <c r="BAF41" s="575"/>
      <c r="BAG41" s="575"/>
      <c r="BAH41" s="575"/>
      <c r="BAI41" s="575"/>
      <c r="BAJ41" s="575"/>
      <c r="BAK41" s="575"/>
      <c r="BAL41" s="575"/>
      <c r="BAM41" s="575"/>
      <c r="BAN41" s="575"/>
      <c r="BAO41" s="575"/>
      <c r="BAP41" s="575"/>
      <c r="BAQ41" s="575"/>
      <c r="BAR41" s="575"/>
      <c r="BAS41" s="575"/>
      <c r="BAT41" s="575"/>
      <c r="BAU41" s="575"/>
      <c r="BAV41" s="575"/>
      <c r="BAW41" s="575"/>
      <c r="BAX41" s="575"/>
      <c r="BAY41" s="575"/>
      <c r="BAZ41" s="575"/>
      <c r="BBA41" s="575"/>
      <c r="BBB41" s="575"/>
      <c r="BBC41" s="575"/>
      <c r="BBD41" s="575"/>
      <c r="BBE41" s="575"/>
      <c r="BBF41" s="575"/>
      <c r="BBG41" s="575"/>
      <c r="BBH41" s="575"/>
      <c r="BBI41" s="575"/>
      <c r="BBJ41" s="575"/>
      <c r="BBK41" s="575"/>
      <c r="BBL41" s="575"/>
      <c r="BBM41" s="575"/>
      <c r="BBN41" s="575"/>
      <c r="BBO41" s="575"/>
      <c r="BBP41" s="575"/>
      <c r="BBQ41" s="575"/>
      <c r="BBR41" s="575"/>
      <c r="BBS41" s="575"/>
      <c r="BBT41" s="575"/>
      <c r="BBU41" s="575"/>
      <c r="BBV41" s="575"/>
      <c r="BBW41" s="575"/>
      <c r="BBX41" s="575"/>
      <c r="BBY41" s="575"/>
      <c r="BBZ41" s="575"/>
      <c r="BCA41" s="575"/>
      <c r="BCB41" s="575"/>
      <c r="BCC41" s="575"/>
      <c r="BCD41" s="575"/>
      <c r="BCE41" s="575"/>
      <c r="BCF41" s="575"/>
      <c r="BCG41" s="575"/>
      <c r="BCH41" s="575"/>
      <c r="BCI41" s="575"/>
      <c r="BCJ41" s="575"/>
      <c r="BCK41" s="575"/>
      <c r="BCL41" s="575"/>
      <c r="BCM41" s="575"/>
      <c r="BCN41" s="575"/>
      <c r="BCO41" s="575"/>
      <c r="BCP41" s="575"/>
      <c r="BCQ41" s="575"/>
      <c r="BCR41" s="575"/>
      <c r="BCS41" s="575"/>
      <c r="BCT41" s="575"/>
      <c r="BCU41" s="575"/>
      <c r="BCV41" s="575"/>
      <c r="BCW41" s="575"/>
      <c r="BCX41" s="575"/>
      <c r="BCY41" s="575"/>
      <c r="BCZ41" s="575"/>
      <c r="BDA41" s="575"/>
      <c r="BDB41" s="575"/>
      <c r="BDC41" s="575"/>
      <c r="BDD41" s="575"/>
      <c r="BDE41" s="575"/>
      <c r="BDF41" s="575"/>
      <c r="BDG41" s="575"/>
      <c r="BDH41" s="575"/>
      <c r="BDI41" s="575"/>
      <c r="BDJ41" s="575"/>
      <c r="BDK41" s="575"/>
      <c r="BDL41" s="575"/>
      <c r="BDM41" s="575"/>
      <c r="BDN41" s="575"/>
      <c r="BDO41" s="575"/>
      <c r="BDP41" s="575"/>
      <c r="BDQ41" s="575"/>
      <c r="BDR41" s="575"/>
      <c r="BDS41" s="575"/>
      <c r="BDT41" s="575"/>
    </row>
    <row r="42" spans="1:1476" x14ac:dyDescent="0.25">
      <c r="A42" s="608">
        <v>5474</v>
      </c>
      <c r="B42" s="609" t="s">
        <v>189</v>
      </c>
      <c r="C42" s="610">
        <v>885402.24</v>
      </c>
      <c r="D42" s="610">
        <v>113382.9</v>
      </c>
      <c r="E42" s="610"/>
      <c r="F42" s="611"/>
      <c r="G42" s="610">
        <v>6401.15</v>
      </c>
      <c r="H42" s="610">
        <v>6039.25</v>
      </c>
      <c r="I42" s="610">
        <v>-37654</v>
      </c>
      <c r="J42" s="610">
        <v>5133.25</v>
      </c>
      <c r="K42" s="610">
        <v>-725.5</v>
      </c>
      <c r="L42" s="610">
        <v>90392.35</v>
      </c>
      <c r="M42" s="434">
        <f t="shared" si="0"/>
        <v>1068371.6400000001</v>
      </c>
      <c r="N42" s="612">
        <v>3011.65</v>
      </c>
      <c r="O42" s="612">
        <v>1949.5</v>
      </c>
      <c r="P42" s="612">
        <v>46347.25</v>
      </c>
      <c r="Q42" s="612"/>
      <c r="R42" s="612">
        <v>40659.85</v>
      </c>
      <c r="S42" s="610">
        <v>1300.0899999999999</v>
      </c>
      <c r="T42" s="543">
        <f t="shared" si="1"/>
        <v>1161639.9800000002</v>
      </c>
      <c r="U42" s="575">
        <v>-750.54</v>
      </c>
      <c r="V42" s="612"/>
      <c r="W42" s="612">
        <v>-304.55</v>
      </c>
      <c r="X42" s="624">
        <v>76</v>
      </c>
      <c r="Y42" s="631">
        <v>1.2</v>
      </c>
      <c r="Z42" s="628">
        <f>VLOOKUP(A42,'[2]2022 toutes communes'!$B$9:$D$317,3,FALSE)</f>
        <v>412</v>
      </c>
      <c r="AA42" s="617"/>
      <c r="AB42" s="618">
        <v>102215</v>
      </c>
      <c r="AC42" s="547">
        <f>AB42/VPI!R42</f>
        <v>7.3734808935864624</v>
      </c>
      <c r="AD42" s="548">
        <f t="shared" si="2"/>
        <v>129762</v>
      </c>
      <c r="AE42" s="547">
        <f>AD42/VPI!R42</f>
        <v>9.3606381422840741</v>
      </c>
      <c r="AF42" s="618">
        <v>231977</v>
      </c>
      <c r="AG42" s="618">
        <v>15626</v>
      </c>
      <c r="AH42" s="618">
        <v>96154</v>
      </c>
      <c r="AI42" s="627"/>
      <c r="AJ42" s="628">
        <v>0</v>
      </c>
      <c r="AK42" s="547">
        <f>AJ42/VPI!R42</f>
        <v>0</v>
      </c>
      <c r="AL42" s="548">
        <f t="shared" si="3"/>
        <v>7743</v>
      </c>
      <c r="AM42" s="547">
        <f>AL42/VPI!R42</f>
        <v>0.55855659696756821</v>
      </c>
      <c r="AN42" s="628">
        <v>7743</v>
      </c>
      <c r="AO42" s="627"/>
      <c r="AP42" s="629">
        <v>15.645858169142969</v>
      </c>
      <c r="AR42" s="630">
        <v>0</v>
      </c>
    </row>
    <row r="43" spans="1:1476" x14ac:dyDescent="0.25">
      <c r="A43" s="608">
        <v>5475</v>
      </c>
      <c r="B43" s="609" t="s">
        <v>306</v>
      </c>
      <c r="C43" s="610">
        <v>235601.32</v>
      </c>
      <c r="D43" s="610">
        <v>46788.68</v>
      </c>
      <c r="E43" s="610"/>
      <c r="F43" s="611"/>
      <c r="G43" s="610">
        <v>4742.2</v>
      </c>
      <c r="H43" s="610">
        <v>12.65</v>
      </c>
      <c r="I43" s="610"/>
      <c r="J43" s="610">
        <v>8839.4500000000007</v>
      </c>
      <c r="K43" s="610"/>
      <c r="L43" s="610">
        <v>25625.3</v>
      </c>
      <c r="M43" s="434">
        <f t="shared" si="0"/>
        <v>321609.60000000003</v>
      </c>
      <c r="N43" s="612">
        <v>0</v>
      </c>
      <c r="O43" s="612"/>
      <c r="P43" s="612">
        <v>22220</v>
      </c>
      <c r="Q43" s="612">
        <v>-25.04</v>
      </c>
      <c r="R43" s="612"/>
      <c r="S43" s="610">
        <v>496.91</v>
      </c>
      <c r="T43" s="543">
        <f t="shared" si="1"/>
        <v>344301.47000000003</v>
      </c>
      <c r="U43" s="575">
        <v>208.89</v>
      </c>
      <c r="V43" s="612"/>
      <c r="W43" s="612">
        <v>0</v>
      </c>
      <c r="X43" s="624">
        <v>75</v>
      </c>
      <c r="Y43" s="631">
        <v>1</v>
      </c>
      <c r="Z43" s="628">
        <f>VLOOKUP(A43,'[2]2022 toutes communes'!$B$9:$D$317,3,FALSE)</f>
        <v>163</v>
      </c>
      <c r="AA43" s="617"/>
      <c r="AB43" s="618">
        <v>904</v>
      </c>
      <c r="AC43" s="547">
        <f>AB43/VPI!R43</f>
        <v>0.21036930797433714</v>
      </c>
      <c r="AD43" s="548">
        <f t="shared" si="2"/>
        <v>29121</v>
      </c>
      <c r="AE43" s="547">
        <f>AD43/VPI!R43</f>
        <v>6.7767307715936642</v>
      </c>
      <c r="AF43" s="618">
        <v>30025</v>
      </c>
      <c r="AG43" s="618">
        <v>6085</v>
      </c>
      <c r="AH43" s="618">
        <v>39736</v>
      </c>
      <c r="AI43" s="627"/>
      <c r="AJ43" s="628">
        <v>0</v>
      </c>
      <c r="AK43" s="547">
        <f>AJ43/VPI!R43</f>
        <v>0</v>
      </c>
      <c r="AL43" s="548">
        <f t="shared" si="3"/>
        <v>29301</v>
      </c>
      <c r="AM43" s="547">
        <f>AL43/VPI!R43</f>
        <v>6.8186184656593509</v>
      </c>
      <c r="AN43" s="628">
        <v>29301</v>
      </c>
      <c r="AO43" s="627"/>
      <c r="AP43" s="629">
        <v>9.4020456338882763</v>
      </c>
      <c r="AR43" s="630">
        <v>0</v>
      </c>
    </row>
    <row r="44" spans="1:1476" x14ac:dyDescent="0.25">
      <c r="A44" s="608">
        <v>5476</v>
      </c>
      <c r="B44" s="609" t="s">
        <v>307</v>
      </c>
      <c r="C44" s="610">
        <v>793889.55</v>
      </c>
      <c r="D44" s="610">
        <v>128195.48</v>
      </c>
      <c r="E44" s="610"/>
      <c r="F44" s="611"/>
      <c r="G44" s="610">
        <v>-3.75</v>
      </c>
      <c r="H44" s="610">
        <v>399.65</v>
      </c>
      <c r="I44" s="610"/>
      <c r="J44" s="610">
        <v>4675.37</v>
      </c>
      <c r="K44" s="610">
        <v>0</v>
      </c>
      <c r="L44" s="610">
        <v>62237.8</v>
      </c>
      <c r="M44" s="434">
        <f t="shared" si="0"/>
        <v>989394.10000000009</v>
      </c>
      <c r="N44" s="612">
        <v>0</v>
      </c>
      <c r="O44" s="612">
        <v>0</v>
      </c>
      <c r="P44" s="612">
        <v>38247.800000000003</v>
      </c>
      <c r="Q44" s="612">
        <v>0</v>
      </c>
      <c r="R44" s="612">
        <v>20128.7</v>
      </c>
      <c r="S44" s="610">
        <v>41.37</v>
      </c>
      <c r="T44" s="543">
        <f t="shared" si="1"/>
        <v>1047811.9700000001</v>
      </c>
      <c r="U44" s="575">
        <v>-6447.63</v>
      </c>
      <c r="V44" s="612"/>
      <c r="W44" s="612">
        <v>0</v>
      </c>
      <c r="X44" s="624">
        <v>72.5</v>
      </c>
      <c r="Y44" s="631">
        <v>1</v>
      </c>
      <c r="Z44" s="628">
        <f>VLOOKUP(A44,'[2]2022 toutes communes'!$B$9:$D$317,3,FALSE)</f>
        <v>331</v>
      </c>
      <c r="AA44" s="617"/>
      <c r="AB44" s="618">
        <v>0</v>
      </c>
      <c r="AC44" s="547">
        <f>AB44/VPI!R44</f>
        <v>0</v>
      </c>
      <c r="AD44" s="548">
        <f t="shared" si="2"/>
        <v>33303</v>
      </c>
      <c r="AE44" s="547">
        <f>AD44/VPI!R44</f>
        <v>2.4562536806152147</v>
      </c>
      <c r="AF44" s="618">
        <v>33303</v>
      </c>
      <c r="AG44" s="618">
        <v>12642</v>
      </c>
      <c r="AH44" s="618">
        <v>38234</v>
      </c>
      <c r="AI44" s="627"/>
      <c r="AJ44" s="628">
        <v>0</v>
      </c>
      <c r="AK44" s="547">
        <f>AJ44/VPI!R44</f>
        <v>0</v>
      </c>
      <c r="AL44" s="548">
        <f t="shared" si="3"/>
        <v>1912</v>
      </c>
      <c r="AM44" s="547">
        <f>AL44/VPI!R44</f>
        <v>0.14101903844507374</v>
      </c>
      <c r="AN44" s="628">
        <v>1912</v>
      </c>
      <c r="AO44" s="627"/>
      <c r="AP44" s="629">
        <v>21.429469990882666</v>
      </c>
      <c r="AR44" s="630">
        <v>0</v>
      </c>
    </row>
    <row r="45" spans="1:1476" x14ac:dyDescent="0.25">
      <c r="A45" s="608">
        <v>5477</v>
      </c>
      <c r="B45" s="609" t="s">
        <v>308</v>
      </c>
      <c r="C45" s="610">
        <v>7724815.7400000002</v>
      </c>
      <c r="D45" s="610">
        <v>1178168.01</v>
      </c>
      <c r="E45" s="610"/>
      <c r="F45" s="611"/>
      <c r="G45" s="610">
        <v>430747.7</v>
      </c>
      <c r="H45" s="610">
        <v>12246.8</v>
      </c>
      <c r="I45" s="610">
        <v>0</v>
      </c>
      <c r="J45" s="610">
        <v>177524.42</v>
      </c>
      <c r="K45" s="610">
        <v>48032.55</v>
      </c>
      <c r="L45" s="610">
        <v>755157.25</v>
      </c>
      <c r="M45" s="434">
        <f t="shared" si="0"/>
        <v>10326692.470000001</v>
      </c>
      <c r="N45" s="612">
        <v>98390.45</v>
      </c>
      <c r="O45" s="612">
        <v>614394.19999999995</v>
      </c>
      <c r="P45" s="612">
        <v>496044.45</v>
      </c>
      <c r="Q45" s="612">
        <v>7693.11</v>
      </c>
      <c r="R45" s="612">
        <v>364819.4</v>
      </c>
      <c r="S45" s="610">
        <v>46295.199999999997</v>
      </c>
      <c r="T45" s="543">
        <f t="shared" si="1"/>
        <v>11954329.279999997</v>
      </c>
      <c r="U45" s="575">
        <v>-78338.600000000006</v>
      </c>
      <c r="V45" s="612"/>
      <c r="W45" s="612">
        <v>-986.22</v>
      </c>
      <c r="X45" s="624">
        <v>68</v>
      </c>
      <c r="Y45" s="631">
        <v>1</v>
      </c>
      <c r="Z45" s="628">
        <f>VLOOKUP(A45,'[2]2022 toutes communes'!$B$9:$D$317,3,FALSE)</f>
        <v>4389</v>
      </c>
      <c r="AA45" s="617"/>
      <c r="AB45" s="618">
        <v>170077</v>
      </c>
      <c r="AC45" s="547">
        <f>AB45/VPI!R45</f>
        <v>1.1226906481930754</v>
      </c>
      <c r="AD45" s="548">
        <f t="shared" si="2"/>
        <v>938064</v>
      </c>
      <c r="AE45" s="547">
        <f>AD45/VPI!R45</f>
        <v>6.1922286976286571</v>
      </c>
      <c r="AF45" s="618">
        <v>1108141</v>
      </c>
      <c r="AG45" s="618">
        <v>424599</v>
      </c>
      <c r="AH45" s="618">
        <v>930463</v>
      </c>
      <c r="AI45" s="627"/>
      <c r="AJ45" s="628">
        <v>0</v>
      </c>
      <c r="AK45" s="547">
        <f>AJ45/VPI!R45</f>
        <v>0</v>
      </c>
      <c r="AL45" s="548">
        <f t="shared" si="3"/>
        <v>73393</v>
      </c>
      <c r="AM45" s="547">
        <f>AL45/VPI!R45</f>
        <v>0.48447253151710334</v>
      </c>
      <c r="AN45" s="628">
        <v>73393</v>
      </c>
      <c r="AO45" s="627"/>
      <c r="AP45" s="629">
        <v>11.409098154636498</v>
      </c>
      <c r="AR45" s="630">
        <v>0</v>
      </c>
    </row>
    <row r="46" spans="1:1476" x14ac:dyDescent="0.25">
      <c r="A46" s="608">
        <v>5479</v>
      </c>
      <c r="B46" s="609" t="s">
        <v>214</v>
      </c>
      <c r="C46" s="610">
        <v>873307.84</v>
      </c>
      <c r="D46" s="610">
        <v>115556.62</v>
      </c>
      <c r="E46" s="610"/>
      <c r="F46" s="611"/>
      <c r="G46" s="610">
        <v>26138.2</v>
      </c>
      <c r="H46" s="610">
        <v>663</v>
      </c>
      <c r="I46" s="610"/>
      <c r="J46" s="610">
        <v>20361.759999999998</v>
      </c>
      <c r="K46" s="610">
        <v>1640.55</v>
      </c>
      <c r="L46" s="610">
        <v>96364.95</v>
      </c>
      <c r="M46" s="434">
        <f t="shared" si="0"/>
        <v>1134032.92</v>
      </c>
      <c r="N46" s="612">
        <v>8152</v>
      </c>
      <c r="O46" s="612"/>
      <c r="P46" s="612">
        <v>47908.5</v>
      </c>
      <c r="Q46" s="612">
        <v>1193.68</v>
      </c>
      <c r="R46" s="612">
        <v>63203.9</v>
      </c>
      <c r="S46" s="610">
        <v>2800.86</v>
      </c>
      <c r="T46" s="543">
        <f t="shared" si="1"/>
        <v>1257291.8599999999</v>
      </c>
      <c r="U46" s="575">
        <v>-34030.400000000001</v>
      </c>
      <c r="V46" s="612"/>
      <c r="W46" s="612">
        <v>-484.05</v>
      </c>
      <c r="X46" s="624">
        <v>77</v>
      </c>
      <c r="Y46" s="631">
        <v>1</v>
      </c>
      <c r="Z46" s="628">
        <f>VLOOKUP(A46,'[2]2022 toutes communes'!$B$9:$D$317,3,FALSE)</f>
        <v>545</v>
      </c>
      <c r="AA46" s="617"/>
      <c r="AB46" s="618">
        <v>24090</v>
      </c>
      <c r="AC46" s="547">
        <f>AB46/VPI!R46</f>
        <v>1.6809317001165214</v>
      </c>
      <c r="AD46" s="548">
        <f t="shared" si="2"/>
        <v>228283</v>
      </c>
      <c r="AE46" s="547">
        <f>AD46/VPI!R46</f>
        <v>15.928938617588205</v>
      </c>
      <c r="AF46" s="618">
        <v>252373</v>
      </c>
      <c r="AG46" s="618">
        <v>20847</v>
      </c>
      <c r="AH46" s="618">
        <v>118455</v>
      </c>
      <c r="AI46" s="627"/>
      <c r="AJ46" s="628">
        <v>0</v>
      </c>
      <c r="AK46" s="547">
        <f>AJ46/VPI!R46</f>
        <v>0</v>
      </c>
      <c r="AL46" s="548">
        <f t="shared" si="3"/>
        <v>64229</v>
      </c>
      <c r="AM46" s="547">
        <f>AL46/VPI!R46</f>
        <v>4.4817169849225431</v>
      </c>
      <c r="AN46" s="628">
        <v>64229</v>
      </c>
      <c r="AO46" s="627"/>
      <c r="AP46" s="629">
        <v>17.017004379976395</v>
      </c>
      <c r="AR46" s="630">
        <v>0</v>
      </c>
    </row>
    <row r="47" spans="1:1476" x14ac:dyDescent="0.25">
      <c r="A47" s="608">
        <v>5480</v>
      </c>
      <c r="B47" s="609" t="s">
        <v>215</v>
      </c>
      <c r="C47" s="610">
        <v>2151349.85</v>
      </c>
      <c r="D47" s="610">
        <v>323734.49</v>
      </c>
      <c r="E47" s="610"/>
      <c r="F47" s="611"/>
      <c r="G47" s="610">
        <v>-32230.7</v>
      </c>
      <c r="H47" s="610">
        <v>19085.900000000001</v>
      </c>
      <c r="I47" s="610"/>
      <c r="J47" s="610">
        <v>42307.86</v>
      </c>
      <c r="K47" s="610">
        <v>13103.7</v>
      </c>
      <c r="L47" s="610">
        <v>397690.9</v>
      </c>
      <c r="M47" s="434">
        <f t="shared" si="0"/>
        <v>2915041.9999999995</v>
      </c>
      <c r="N47" s="612">
        <v>226810.45</v>
      </c>
      <c r="O47" s="612">
        <v>514650</v>
      </c>
      <c r="P47" s="612">
        <v>113415.5</v>
      </c>
      <c r="Q47" s="612">
        <v>10741.02</v>
      </c>
      <c r="R47" s="612">
        <v>116838.65</v>
      </c>
      <c r="S47" s="610">
        <v>-1373.7</v>
      </c>
      <c r="T47" s="543">
        <f t="shared" si="1"/>
        <v>3896123.9199999995</v>
      </c>
      <c r="U47" s="575">
        <v>-37786.35</v>
      </c>
      <c r="V47" s="612"/>
      <c r="W47" s="612">
        <v>-803.63</v>
      </c>
      <c r="X47" s="624">
        <v>66</v>
      </c>
      <c r="Y47" s="631">
        <v>1.2</v>
      </c>
      <c r="Z47" s="628">
        <f>VLOOKUP(A47,'[2]2022 toutes communes'!$B$9:$D$317,3,FALSE)</f>
        <v>1057</v>
      </c>
      <c r="AA47" s="617"/>
      <c r="AB47" s="618">
        <v>211325</v>
      </c>
      <c r="AC47" s="547">
        <f>AB47/VPI!R47</f>
        <v>4.946715510815741</v>
      </c>
      <c r="AD47" s="548">
        <f t="shared" si="2"/>
        <v>78841</v>
      </c>
      <c r="AE47" s="547">
        <f>AD47/VPI!R47</f>
        <v>1.8455175563147941</v>
      </c>
      <c r="AF47" s="618">
        <v>290166</v>
      </c>
      <c r="AG47" s="618">
        <v>41263</v>
      </c>
      <c r="AH47" s="618">
        <v>116723</v>
      </c>
      <c r="AI47" s="627"/>
      <c r="AJ47" s="628">
        <v>0</v>
      </c>
      <c r="AK47" s="547">
        <f>AJ47/VPI!R47</f>
        <v>0</v>
      </c>
      <c r="AL47" s="548">
        <f t="shared" si="3"/>
        <v>66527</v>
      </c>
      <c r="AM47" s="547">
        <f>AL47/VPI!R47</f>
        <v>1.5572702841028692</v>
      </c>
      <c r="AN47" s="628">
        <v>66527</v>
      </c>
      <c r="AO47" s="627"/>
      <c r="AP47" s="629">
        <v>23.364147660791311</v>
      </c>
      <c r="AR47" s="630">
        <v>0</v>
      </c>
    </row>
    <row r="48" spans="1:1476" x14ac:dyDescent="0.25">
      <c r="A48" s="608">
        <v>5481</v>
      </c>
      <c r="B48" s="609" t="s">
        <v>216</v>
      </c>
      <c r="C48" s="610">
        <v>441344.57</v>
      </c>
      <c r="D48" s="610">
        <v>85978.85</v>
      </c>
      <c r="E48" s="610"/>
      <c r="F48" s="611"/>
      <c r="G48" s="610">
        <v>61552.6</v>
      </c>
      <c r="H48" s="610">
        <v>197.85</v>
      </c>
      <c r="I48" s="610"/>
      <c r="J48" s="610">
        <v>3040.76</v>
      </c>
      <c r="K48" s="610"/>
      <c r="L48" s="610">
        <v>39166.15</v>
      </c>
      <c r="M48" s="434">
        <f t="shared" si="0"/>
        <v>631280.78</v>
      </c>
      <c r="N48" s="612">
        <v>0</v>
      </c>
      <c r="O48" s="612"/>
      <c r="P48" s="612">
        <v>21282.45</v>
      </c>
      <c r="Q48" s="612">
        <v>5315.58</v>
      </c>
      <c r="R48" s="612">
        <v>21690.799999999999</v>
      </c>
      <c r="S48" s="610">
        <v>6453.24</v>
      </c>
      <c r="T48" s="543">
        <f t="shared" si="1"/>
        <v>686022.85</v>
      </c>
      <c r="U48" s="575">
        <v>-1595.93</v>
      </c>
      <c r="V48" s="612"/>
      <c r="W48" s="612">
        <v>0</v>
      </c>
      <c r="X48" s="624">
        <v>75</v>
      </c>
      <c r="Y48" s="631">
        <v>1</v>
      </c>
      <c r="Z48" s="628">
        <f>VLOOKUP(A48,'[2]2022 toutes communes'!$B$9:$D$317,3,FALSE)</f>
        <v>232</v>
      </c>
      <c r="AA48" s="617"/>
      <c r="AB48" s="618">
        <v>0</v>
      </c>
      <c r="AC48" s="547">
        <f>AB48/VPI!R48</f>
        <v>0</v>
      </c>
      <c r="AD48" s="548">
        <f t="shared" si="2"/>
        <v>46144</v>
      </c>
      <c r="AE48" s="547">
        <f>AD48/VPI!R48</f>
        <v>5.3952454586470751</v>
      </c>
      <c r="AF48" s="618">
        <v>46144</v>
      </c>
      <c r="AG48" s="618">
        <v>8833</v>
      </c>
      <c r="AH48" s="618">
        <v>55882</v>
      </c>
      <c r="AI48" s="627"/>
      <c r="AJ48" s="628">
        <v>0</v>
      </c>
      <c r="AK48" s="547">
        <f>AJ48/VPI!R48</f>
        <v>0</v>
      </c>
      <c r="AL48" s="548">
        <f t="shared" si="3"/>
        <v>7367</v>
      </c>
      <c r="AM48" s="547">
        <f>AL48/VPI!R48</f>
        <v>0.86136384565388791</v>
      </c>
      <c r="AN48" s="628">
        <v>7367</v>
      </c>
      <c r="AO48" s="627"/>
      <c r="AP48" s="629">
        <v>19.741164695155366</v>
      </c>
      <c r="AR48" s="630">
        <v>0</v>
      </c>
    </row>
    <row r="49" spans="1:44" x14ac:dyDescent="0.25">
      <c r="A49" s="608">
        <v>5482</v>
      </c>
      <c r="B49" s="609" t="s">
        <v>217</v>
      </c>
      <c r="C49" s="610">
        <v>1360639.32</v>
      </c>
      <c r="D49" s="610">
        <v>169271.49</v>
      </c>
      <c r="E49" s="610"/>
      <c r="F49" s="611"/>
      <c r="G49" s="610">
        <v>131005.75</v>
      </c>
      <c r="H49" s="610">
        <v>24516.25</v>
      </c>
      <c r="I49" s="610"/>
      <c r="J49" s="610">
        <v>77595.570000000007</v>
      </c>
      <c r="K49" s="610">
        <v>20132.7</v>
      </c>
      <c r="L49" s="610">
        <v>442642.7</v>
      </c>
      <c r="M49" s="434">
        <f t="shared" si="0"/>
        <v>2225803.7800000003</v>
      </c>
      <c r="N49" s="612">
        <v>483265.35</v>
      </c>
      <c r="O49" s="612">
        <v>22632.5</v>
      </c>
      <c r="P49" s="612">
        <v>47345.75</v>
      </c>
      <c r="Q49" s="612">
        <v>5995.82</v>
      </c>
      <c r="R49" s="612">
        <v>80115.55</v>
      </c>
      <c r="S49" s="610">
        <v>16252.85</v>
      </c>
      <c r="T49" s="543">
        <f t="shared" si="1"/>
        <v>2881411.6</v>
      </c>
      <c r="U49" s="575">
        <v>-24600.62</v>
      </c>
      <c r="V49" s="612"/>
      <c r="W49" s="612">
        <v>-982.8</v>
      </c>
      <c r="X49" s="624">
        <v>46</v>
      </c>
      <c r="Y49" s="631">
        <v>1</v>
      </c>
      <c r="Z49" s="628">
        <f>VLOOKUP(A49,'[2]2022 toutes communes'!$B$9:$D$317,3,FALSE)</f>
        <v>1199</v>
      </c>
      <c r="AA49" s="617"/>
      <c r="AB49" s="618">
        <v>132748</v>
      </c>
      <c r="AC49" s="547">
        <f>AB49/VPI!R49</f>
        <v>2.7475784443214488</v>
      </c>
      <c r="AD49" s="548">
        <f t="shared" si="2"/>
        <v>143614</v>
      </c>
      <c r="AE49" s="547">
        <f>AD49/VPI!R49</f>
        <v>2.972479666004614</v>
      </c>
      <c r="AF49" s="618">
        <v>276362</v>
      </c>
      <c r="AG49" s="618">
        <v>117584</v>
      </c>
      <c r="AH49" s="618">
        <v>138497</v>
      </c>
      <c r="AI49" s="627"/>
      <c r="AJ49" s="628">
        <v>9180</v>
      </c>
      <c r="AK49" s="547">
        <f>AJ49/VPI!R49</f>
        <v>0.19000489739107856</v>
      </c>
      <c r="AL49" s="548">
        <f t="shared" si="3"/>
        <v>84959</v>
      </c>
      <c r="AM49" s="547">
        <f>AL49/VPI!R49</f>
        <v>1.7584559997220746</v>
      </c>
      <c r="AN49" s="628">
        <v>94139</v>
      </c>
      <c r="AO49" s="627"/>
      <c r="AP49" s="629">
        <v>26.684512482806088</v>
      </c>
      <c r="AR49" s="630">
        <v>0</v>
      </c>
    </row>
    <row r="50" spans="1:44" x14ac:dyDescent="0.25">
      <c r="A50" s="608">
        <v>5483</v>
      </c>
      <c r="B50" s="609" t="s">
        <v>125</v>
      </c>
      <c r="C50" s="610">
        <v>643859.4</v>
      </c>
      <c r="D50" s="610">
        <v>70751.89</v>
      </c>
      <c r="E50" s="610"/>
      <c r="F50" s="611"/>
      <c r="G50" s="610">
        <v>6935.2</v>
      </c>
      <c r="H50" s="610">
        <v>990.4</v>
      </c>
      <c r="I50" s="610"/>
      <c r="J50" s="610">
        <v>2104.39</v>
      </c>
      <c r="K50" s="610">
        <v>175.5</v>
      </c>
      <c r="L50" s="610">
        <v>60060.4</v>
      </c>
      <c r="M50" s="434">
        <f t="shared" si="0"/>
        <v>784877.18</v>
      </c>
      <c r="N50" s="612">
        <v>0</v>
      </c>
      <c r="O50" s="612"/>
      <c r="P50" s="612">
        <v>4070</v>
      </c>
      <c r="Q50" s="612"/>
      <c r="R50" s="612">
        <v>7380.3</v>
      </c>
      <c r="S50" s="610">
        <v>828.27</v>
      </c>
      <c r="T50" s="543">
        <f t="shared" si="1"/>
        <v>797155.75000000012</v>
      </c>
      <c r="U50" s="575">
        <v>-3086.18</v>
      </c>
      <c r="V50" s="612"/>
      <c r="W50" s="612">
        <v>-1013.74</v>
      </c>
      <c r="X50" s="624">
        <v>76</v>
      </c>
      <c r="Y50" s="631">
        <v>1</v>
      </c>
      <c r="Z50" s="628">
        <f>VLOOKUP(A50,'[2]2022 toutes communes'!$B$9:$D$317,3,FALSE)</f>
        <v>308</v>
      </c>
      <c r="AA50" s="617"/>
      <c r="AB50" s="618">
        <v>0</v>
      </c>
      <c r="AC50" s="547">
        <f>AB50/VPI!R50</f>
        <v>0</v>
      </c>
      <c r="AD50" s="548">
        <f t="shared" si="2"/>
        <v>34776</v>
      </c>
      <c r="AE50" s="547">
        <f>AD50/VPI!R50</f>
        <v>3.3814704458398599</v>
      </c>
      <c r="AF50" s="618">
        <v>34776</v>
      </c>
      <c r="AG50" s="618">
        <v>12524</v>
      </c>
      <c r="AH50" s="618">
        <v>35577</v>
      </c>
      <c r="AI50" s="627"/>
      <c r="AJ50" s="628">
        <v>0</v>
      </c>
      <c r="AK50" s="547">
        <f>AJ50/VPI!R50</f>
        <v>0</v>
      </c>
      <c r="AL50" s="548">
        <f t="shared" si="3"/>
        <v>3208</v>
      </c>
      <c r="AM50" s="547">
        <f>AL50/VPI!R50</f>
        <v>0.3119322863542176</v>
      </c>
      <c r="AN50" s="628">
        <v>3208</v>
      </c>
      <c r="AO50" s="627"/>
      <c r="AP50" s="629">
        <v>16.349271725099289</v>
      </c>
      <c r="AR50" s="630">
        <v>0</v>
      </c>
    </row>
    <row r="51" spans="1:44" x14ac:dyDescent="0.25">
      <c r="A51" s="608">
        <v>5484</v>
      </c>
      <c r="B51" s="609" t="s">
        <v>126</v>
      </c>
      <c r="C51" s="610">
        <v>1930383.18</v>
      </c>
      <c r="D51" s="610">
        <v>226514</v>
      </c>
      <c r="E51" s="610"/>
      <c r="F51" s="611"/>
      <c r="G51" s="610">
        <v>45709.3</v>
      </c>
      <c r="H51" s="610">
        <v>2770</v>
      </c>
      <c r="I51" s="610"/>
      <c r="J51" s="610">
        <v>19714.080000000002</v>
      </c>
      <c r="K51" s="610">
        <v>6304.65</v>
      </c>
      <c r="L51" s="610">
        <v>196784.3</v>
      </c>
      <c r="M51" s="434">
        <f t="shared" si="0"/>
        <v>2428179.5099999993</v>
      </c>
      <c r="N51" s="612">
        <v>32016.55</v>
      </c>
      <c r="O51" s="612">
        <v>7846.2</v>
      </c>
      <c r="P51" s="612">
        <v>131062.95</v>
      </c>
      <c r="Q51" s="612">
        <v>766.99</v>
      </c>
      <c r="R51" s="612">
        <v>63765.8</v>
      </c>
      <c r="S51" s="610">
        <v>5066.34</v>
      </c>
      <c r="T51" s="543">
        <f t="shared" si="1"/>
        <v>2668704.3399999994</v>
      </c>
      <c r="U51" s="575">
        <v>-21376.39</v>
      </c>
      <c r="V51" s="612"/>
      <c r="W51" s="612">
        <v>-112.8</v>
      </c>
      <c r="X51" s="624">
        <v>74</v>
      </c>
      <c r="Y51" s="631">
        <v>1</v>
      </c>
      <c r="Z51" s="628">
        <f>VLOOKUP(A51,'[2]2022 toutes communes'!$B$9:$D$317,3,FALSE)</f>
        <v>1033</v>
      </c>
      <c r="AA51" s="617"/>
      <c r="AB51" s="618">
        <v>71241</v>
      </c>
      <c r="AC51" s="547">
        <f>AB51/VPI!R51</f>
        <v>2.1851947441012651</v>
      </c>
      <c r="AD51" s="548">
        <f t="shared" si="2"/>
        <v>268604</v>
      </c>
      <c r="AE51" s="547">
        <f>AD51/VPI!R51</f>
        <v>8.2389642066306799</v>
      </c>
      <c r="AF51" s="618">
        <v>339845</v>
      </c>
      <c r="AG51" s="618">
        <v>39967</v>
      </c>
      <c r="AH51" s="618">
        <v>210751</v>
      </c>
      <c r="AI51" s="627"/>
      <c r="AJ51" s="628">
        <v>0</v>
      </c>
      <c r="AK51" s="547">
        <f>AJ51/VPI!R51</f>
        <v>0</v>
      </c>
      <c r="AL51" s="548">
        <f t="shared" si="3"/>
        <v>75011</v>
      </c>
      <c r="AM51" s="547">
        <f>AL51/VPI!R51</f>
        <v>2.3008329887253125</v>
      </c>
      <c r="AN51" s="628">
        <v>75011</v>
      </c>
      <c r="AO51" s="627"/>
      <c r="AP51" s="629">
        <v>19.109505194959223</v>
      </c>
      <c r="AR51" s="630">
        <v>0</v>
      </c>
    </row>
    <row r="52" spans="1:44" x14ac:dyDescent="0.25">
      <c r="A52" s="608">
        <v>5485</v>
      </c>
      <c r="B52" s="609" t="s">
        <v>127</v>
      </c>
      <c r="C52" s="610">
        <v>1032776.12</v>
      </c>
      <c r="D52" s="610">
        <v>169867.35</v>
      </c>
      <c r="E52" s="610"/>
      <c r="F52" s="611"/>
      <c r="G52" s="610">
        <v>20659.150000000001</v>
      </c>
      <c r="H52" s="610">
        <v>6204.6</v>
      </c>
      <c r="I52" s="610"/>
      <c r="J52" s="610">
        <v>7958.97</v>
      </c>
      <c r="K52" s="610">
        <v>74.8</v>
      </c>
      <c r="L52" s="610">
        <v>91269.1</v>
      </c>
      <c r="M52" s="434">
        <f t="shared" si="0"/>
        <v>1328810.0900000001</v>
      </c>
      <c r="N52" s="612">
        <v>5968.6</v>
      </c>
      <c r="O52" s="612">
        <v>4988.6000000000004</v>
      </c>
      <c r="P52" s="612">
        <v>61818.35</v>
      </c>
      <c r="Q52" s="612">
        <v>150.24</v>
      </c>
      <c r="R52" s="612">
        <v>11571.35</v>
      </c>
      <c r="S52" s="610">
        <v>2807.4</v>
      </c>
      <c r="T52" s="543">
        <f t="shared" si="1"/>
        <v>1416114.6300000004</v>
      </c>
      <c r="U52" s="575">
        <v>-4270.97</v>
      </c>
      <c r="V52" s="612"/>
      <c r="W52" s="612">
        <v>-200.13</v>
      </c>
      <c r="X52" s="624">
        <v>70</v>
      </c>
      <c r="Y52" s="631">
        <v>1</v>
      </c>
      <c r="Z52" s="628">
        <f>VLOOKUP(A52,'[2]2022 toutes communes'!$B$9:$D$317,3,FALSE)</f>
        <v>489</v>
      </c>
      <c r="AA52" s="617"/>
      <c r="AB52" s="618">
        <v>0</v>
      </c>
      <c r="AC52" s="547">
        <f>AB52/VPI!R52</f>
        <v>0</v>
      </c>
      <c r="AD52" s="548">
        <f t="shared" si="2"/>
        <v>57962</v>
      </c>
      <c r="AE52" s="547">
        <f>AD52/VPI!R52</f>
        <v>3.0568449495724255</v>
      </c>
      <c r="AF52" s="618">
        <v>57962</v>
      </c>
      <c r="AG52" s="618">
        <v>17471</v>
      </c>
      <c r="AH52" s="618">
        <v>114230</v>
      </c>
      <c r="AI52" s="627"/>
      <c r="AJ52" s="628">
        <v>0</v>
      </c>
      <c r="AK52" s="547">
        <f>AJ52/VPI!R52</f>
        <v>0</v>
      </c>
      <c r="AL52" s="548">
        <f t="shared" si="3"/>
        <v>79838</v>
      </c>
      <c r="AM52" s="547">
        <f>AL52/VPI!R52</f>
        <v>4.2105584190325267</v>
      </c>
      <c r="AN52" s="628">
        <v>79838</v>
      </c>
      <c r="AO52" s="627"/>
      <c r="AP52" s="629">
        <v>30.273728402939177</v>
      </c>
      <c r="AR52" s="630">
        <v>0</v>
      </c>
    </row>
    <row r="53" spans="1:44" x14ac:dyDescent="0.25">
      <c r="A53" s="608">
        <v>5486</v>
      </c>
      <c r="B53" s="609" t="s">
        <v>0</v>
      </c>
      <c r="C53" s="610">
        <v>1871161.04</v>
      </c>
      <c r="D53" s="610">
        <v>433203.85</v>
      </c>
      <c r="E53" s="610"/>
      <c r="F53" s="611"/>
      <c r="G53" s="610">
        <v>62270.6</v>
      </c>
      <c r="H53" s="610">
        <v>1711.6</v>
      </c>
      <c r="I53" s="610"/>
      <c r="J53" s="610">
        <v>33904.49</v>
      </c>
      <c r="K53" s="610">
        <v>11661.2</v>
      </c>
      <c r="L53" s="610">
        <v>203693.1</v>
      </c>
      <c r="M53" s="434">
        <f t="shared" si="0"/>
        <v>2617605.8800000008</v>
      </c>
      <c r="N53" s="612">
        <v>89687.85</v>
      </c>
      <c r="O53" s="612">
        <v>12584.3</v>
      </c>
      <c r="P53" s="612">
        <v>195518.9</v>
      </c>
      <c r="Q53" s="612">
        <v>424.79</v>
      </c>
      <c r="R53" s="612">
        <v>100886.1</v>
      </c>
      <c r="S53" s="610">
        <v>6686.47</v>
      </c>
      <c r="T53" s="543">
        <f t="shared" si="1"/>
        <v>3023394.290000001</v>
      </c>
      <c r="U53" s="575">
        <v>-18000.98</v>
      </c>
      <c r="V53" s="612"/>
      <c r="W53" s="612">
        <v>0</v>
      </c>
      <c r="X53" s="624">
        <v>75</v>
      </c>
      <c r="Y53" s="631">
        <v>1</v>
      </c>
      <c r="Z53" s="628">
        <f>VLOOKUP(A53,'[2]2022 toutes communes'!$B$9:$D$317,3,FALSE)</f>
        <v>1095</v>
      </c>
      <c r="AA53" s="617"/>
      <c r="AB53" s="618">
        <v>175464</v>
      </c>
      <c r="AC53" s="547">
        <f>AB53/VPI!R53</f>
        <v>5.0484207686041263</v>
      </c>
      <c r="AD53" s="548">
        <f t="shared" si="2"/>
        <v>138368</v>
      </c>
      <c r="AE53" s="547">
        <f>AD53/VPI!R53</f>
        <v>3.9811008805807218</v>
      </c>
      <c r="AF53" s="618">
        <v>313832</v>
      </c>
      <c r="AG53" s="618">
        <v>84724</v>
      </c>
      <c r="AH53" s="618">
        <v>226585</v>
      </c>
      <c r="AI53" s="627"/>
      <c r="AJ53" s="628">
        <v>0</v>
      </c>
      <c r="AK53" s="547">
        <f>AJ53/VPI!R53</f>
        <v>0</v>
      </c>
      <c r="AL53" s="548">
        <f t="shared" si="3"/>
        <v>162179</v>
      </c>
      <c r="AM53" s="547">
        <f>AL53/VPI!R53</f>
        <v>4.6661869775649052</v>
      </c>
      <c r="AN53" s="628">
        <v>162179</v>
      </c>
      <c r="AO53" s="627"/>
      <c r="AP53" s="629">
        <v>7.9764575355719494</v>
      </c>
      <c r="AR53" s="630">
        <v>0</v>
      </c>
    </row>
    <row r="54" spans="1:44" x14ac:dyDescent="0.25">
      <c r="A54" s="608">
        <v>5487</v>
      </c>
      <c r="B54" s="609" t="s">
        <v>1</v>
      </c>
      <c r="C54" s="610">
        <v>738968.87</v>
      </c>
      <c r="D54" s="610">
        <v>74988.84</v>
      </c>
      <c r="E54" s="610"/>
      <c r="F54" s="611"/>
      <c r="G54" s="610">
        <v>3473.8</v>
      </c>
      <c r="H54" s="610">
        <v>71.8</v>
      </c>
      <c r="I54" s="610"/>
      <c r="J54" s="610">
        <v>3474.05</v>
      </c>
      <c r="K54" s="610">
        <v>993.25</v>
      </c>
      <c r="L54" s="610">
        <v>82655.350000000006</v>
      </c>
      <c r="M54" s="434">
        <f t="shared" si="0"/>
        <v>904625.96000000008</v>
      </c>
      <c r="N54" s="612">
        <v>0</v>
      </c>
      <c r="O54" s="612">
        <v>661.9</v>
      </c>
      <c r="P54" s="612">
        <v>36901.9</v>
      </c>
      <c r="Q54" s="612">
        <v>13814.44</v>
      </c>
      <c r="R54" s="612">
        <v>46740.1</v>
      </c>
      <c r="S54" s="610">
        <v>370.53</v>
      </c>
      <c r="T54" s="543">
        <f t="shared" si="1"/>
        <v>1003114.8300000001</v>
      </c>
      <c r="U54" s="575">
        <v>-15614.44</v>
      </c>
      <c r="V54" s="612"/>
      <c r="W54" s="612">
        <v>0</v>
      </c>
      <c r="X54" s="624">
        <v>75</v>
      </c>
      <c r="Y54" s="631">
        <v>1</v>
      </c>
      <c r="Z54" s="628">
        <f>VLOOKUP(A54,'[2]2022 toutes communes'!$B$9:$D$317,3,FALSE)</f>
        <v>482</v>
      </c>
      <c r="AA54" s="617"/>
      <c r="AB54" s="618">
        <v>5100</v>
      </c>
      <c r="AC54" s="547">
        <f>AB54/VPI!R54</f>
        <v>0.42349588847494307</v>
      </c>
      <c r="AD54" s="548">
        <f t="shared" si="2"/>
        <v>38572</v>
      </c>
      <c r="AE54" s="547">
        <f>AD54/VPI!R54</f>
        <v>3.2029575314226477</v>
      </c>
      <c r="AF54" s="618">
        <v>43672</v>
      </c>
      <c r="AG54" s="618">
        <v>18649</v>
      </c>
      <c r="AH54" s="618">
        <v>40140</v>
      </c>
      <c r="AI54" s="627"/>
      <c r="AJ54" s="628">
        <v>0</v>
      </c>
      <c r="AK54" s="547">
        <f>AJ54/VPI!R54</f>
        <v>0</v>
      </c>
      <c r="AL54" s="548">
        <f t="shared" si="3"/>
        <v>11376</v>
      </c>
      <c r="AM54" s="547">
        <f>AL54/VPI!R54</f>
        <v>0.94464494652763764</v>
      </c>
      <c r="AN54" s="628">
        <v>11376</v>
      </c>
      <c r="AO54" s="627"/>
      <c r="AP54" s="629">
        <v>18.68747302601092</v>
      </c>
      <c r="AR54" s="630">
        <v>0</v>
      </c>
    </row>
    <row r="55" spans="1:44" x14ac:dyDescent="0.25">
      <c r="A55" s="608">
        <v>5488</v>
      </c>
      <c r="B55" s="609" t="s">
        <v>2</v>
      </c>
      <c r="C55" s="610">
        <v>142423.89000000001</v>
      </c>
      <c r="D55" s="610">
        <v>14587.1</v>
      </c>
      <c r="E55" s="610"/>
      <c r="F55" s="611"/>
      <c r="G55" s="610">
        <v>-135.6</v>
      </c>
      <c r="H55" s="610">
        <v>234.75</v>
      </c>
      <c r="I55" s="610"/>
      <c r="J55" s="610">
        <v>458</v>
      </c>
      <c r="K55" s="610"/>
      <c r="L55" s="610">
        <v>8987</v>
      </c>
      <c r="M55" s="434">
        <f t="shared" si="0"/>
        <v>166555.14000000001</v>
      </c>
      <c r="N55" s="612">
        <v>0</v>
      </c>
      <c r="O55" s="612"/>
      <c r="P55" s="612"/>
      <c r="Q55" s="612"/>
      <c r="R55" s="612">
        <v>38854.550000000003</v>
      </c>
      <c r="S55" s="610">
        <v>10.36</v>
      </c>
      <c r="T55" s="543">
        <f t="shared" si="1"/>
        <v>205420.05</v>
      </c>
      <c r="U55" s="575">
        <v>-2431.8200000000002</v>
      </c>
      <c r="V55" s="612"/>
      <c r="W55" s="612">
        <v>0</v>
      </c>
      <c r="X55" s="624">
        <v>77</v>
      </c>
      <c r="Y55" s="631">
        <v>1</v>
      </c>
      <c r="Z55" s="628">
        <f>VLOOKUP(A55,'[2]2022 toutes communes'!$B$9:$D$317,3,FALSE)</f>
        <v>65</v>
      </c>
      <c r="AA55" s="617"/>
      <c r="AB55" s="618">
        <v>0</v>
      </c>
      <c r="AC55" s="547">
        <f>AB55/VPI!R55</f>
        <v>0</v>
      </c>
      <c r="AD55" s="548">
        <f t="shared" si="2"/>
        <v>1633</v>
      </c>
      <c r="AE55" s="547">
        <f>AD55/VPI!R55</f>
        <v>0.76608895870731697</v>
      </c>
      <c r="AF55" s="618">
        <v>1633</v>
      </c>
      <c r="AG55" s="618">
        <v>0</v>
      </c>
      <c r="AH55" s="618">
        <v>2267</v>
      </c>
      <c r="AI55" s="627"/>
      <c r="AJ55" s="628">
        <v>0</v>
      </c>
      <c r="AK55" s="547">
        <f>AJ55/VPI!R55</f>
        <v>0</v>
      </c>
      <c r="AL55" s="548">
        <f t="shared" si="3"/>
        <v>0</v>
      </c>
      <c r="AM55" s="547">
        <f>AL55/VPI!R55</f>
        <v>0</v>
      </c>
      <c r="AN55" s="628">
        <v>0</v>
      </c>
      <c r="AO55" s="627"/>
      <c r="AP55" s="629">
        <v>10.443437487039191</v>
      </c>
      <c r="AR55" s="630">
        <v>0</v>
      </c>
    </row>
    <row r="56" spans="1:44" x14ac:dyDescent="0.25">
      <c r="A56" s="608">
        <v>5489</v>
      </c>
      <c r="B56" s="609" t="s">
        <v>3</v>
      </c>
      <c r="C56" s="610">
        <v>2257272.61</v>
      </c>
      <c r="D56" s="610">
        <v>458949.52</v>
      </c>
      <c r="E56" s="610"/>
      <c r="F56" s="611"/>
      <c r="G56" s="610">
        <v>394869.1</v>
      </c>
      <c r="H56" s="610">
        <v>102076.15</v>
      </c>
      <c r="I56" s="610"/>
      <c r="J56" s="610">
        <v>55715.49</v>
      </c>
      <c r="K56" s="610">
        <v>6151.5</v>
      </c>
      <c r="L56" s="610">
        <v>304202.90000000002</v>
      </c>
      <c r="M56" s="434">
        <f t="shared" si="0"/>
        <v>3579237.27</v>
      </c>
      <c r="N56" s="612">
        <v>190350.55</v>
      </c>
      <c r="O56" s="612"/>
      <c r="P56" s="612">
        <v>37858.449999999997</v>
      </c>
      <c r="Q56" s="612">
        <v>1794.24</v>
      </c>
      <c r="R56" s="612">
        <v>296503.05</v>
      </c>
      <c r="S56" s="610">
        <v>51933.33</v>
      </c>
      <c r="T56" s="543">
        <f t="shared" si="1"/>
        <v>4157676.89</v>
      </c>
      <c r="U56" s="575">
        <v>-15246.03</v>
      </c>
      <c r="V56" s="612"/>
      <c r="W56" s="612">
        <v>-3666.91</v>
      </c>
      <c r="X56" s="624">
        <v>59.5</v>
      </c>
      <c r="Y56" s="631">
        <v>1</v>
      </c>
      <c r="Z56" s="628">
        <f>VLOOKUP(A56,'[2]2022 toutes communes'!$B$9:$D$317,3,FALSE)</f>
        <v>817</v>
      </c>
      <c r="AA56" s="617"/>
      <c r="AB56" s="618">
        <v>54890</v>
      </c>
      <c r="AC56" s="547">
        <f>AB56/VPI!R56</f>
        <v>0.90368237379214167</v>
      </c>
      <c r="AD56" s="548">
        <f t="shared" si="2"/>
        <v>146657</v>
      </c>
      <c r="AE56" s="547">
        <f>AD56/VPI!R56</f>
        <v>2.4144898140505395</v>
      </c>
      <c r="AF56" s="618">
        <v>201547</v>
      </c>
      <c r="AG56" s="618">
        <v>30813</v>
      </c>
      <c r="AH56" s="618">
        <v>68833</v>
      </c>
      <c r="AI56" s="627"/>
      <c r="AJ56" s="628">
        <v>0</v>
      </c>
      <c r="AK56" s="547">
        <f>AJ56/VPI!R56</f>
        <v>0</v>
      </c>
      <c r="AL56" s="548">
        <f t="shared" si="3"/>
        <v>26284</v>
      </c>
      <c r="AM56" s="547">
        <f>AL56/VPI!R56</f>
        <v>0.43272704523142014</v>
      </c>
      <c r="AN56" s="628">
        <v>26284</v>
      </c>
      <c r="AO56" s="627"/>
      <c r="AP56" s="629">
        <v>32.356047299372158</v>
      </c>
      <c r="AR56" s="630">
        <v>0</v>
      </c>
    </row>
    <row r="57" spans="1:44" x14ac:dyDescent="0.25">
      <c r="A57" s="608">
        <v>5490</v>
      </c>
      <c r="B57" s="609" t="s">
        <v>4</v>
      </c>
      <c r="C57" s="610">
        <v>535366.05000000005</v>
      </c>
      <c r="D57" s="610">
        <v>74676.56</v>
      </c>
      <c r="E57" s="610"/>
      <c r="F57" s="611"/>
      <c r="G57" s="610">
        <v>288.3</v>
      </c>
      <c r="H57" s="610">
        <v>761.1</v>
      </c>
      <c r="I57" s="610"/>
      <c r="J57" s="610">
        <v>1091.75</v>
      </c>
      <c r="K57" s="610"/>
      <c r="L57" s="610">
        <v>47956</v>
      </c>
      <c r="M57" s="434">
        <f t="shared" si="0"/>
        <v>660139.76000000013</v>
      </c>
      <c r="N57" s="612">
        <v>0</v>
      </c>
      <c r="O57" s="612">
        <v>0</v>
      </c>
      <c r="P57" s="612">
        <v>8012.1</v>
      </c>
      <c r="Q57" s="612">
        <v>0</v>
      </c>
      <c r="R57" s="612">
        <v>11852.6</v>
      </c>
      <c r="S57" s="610">
        <v>109.67</v>
      </c>
      <c r="T57" s="543">
        <f t="shared" si="1"/>
        <v>680114.13000000012</v>
      </c>
      <c r="U57" s="575">
        <v>-8440.4</v>
      </c>
      <c r="V57" s="612"/>
      <c r="W57" s="612">
        <v>-315.7</v>
      </c>
      <c r="X57" s="624">
        <v>77</v>
      </c>
      <c r="Y57" s="631">
        <v>1</v>
      </c>
      <c r="Z57" s="628">
        <f>VLOOKUP(A57,'[2]2022 toutes communes'!$B$9:$D$317,3,FALSE)</f>
        <v>296</v>
      </c>
      <c r="AA57" s="617"/>
      <c r="AB57" s="618">
        <v>11805</v>
      </c>
      <c r="AC57" s="547">
        <f>AB57/VPI!R57</f>
        <v>1.3952330102903738</v>
      </c>
      <c r="AD57" s="548">
        <f t="shared" si="2"/>
        <v>59811</v>
      </c>
      <c r="AE57" s="547">
        <f>AD57/VPI!R57</f>
        <v>7.06906239546612</v>
      </c>
      <c r="AF57" s="618">
        <v>71616</v>
      </c>
      <c r="AG57" s="618">
        <v>11817</v>
      </c>
      <c r="AH57" s="618">
        <v>34191</v>
      </c>
      <c r="AI57" s="627"/>
      <c r="AJ57" s="628">
        <v>0</v>
      </c>
      <c r="AK57" s="547">
        <f>AJ57/VPI!R57</f>
        <v>0</v>
      </c>
      <c r="AL57" s="548">
        <f t="shared" si="3"/>
        <v>-3999</v>
      </c>
      <c r="AM57" s="547">
        <f>AL57/VPI!R57</f>
        <v>-0.47264183042365143</v>
      </c>
      <c r="AN57" s="628">
        <v>-3999</v>
      </c>
      <c r="AO57" s="627"/>
      <c r="AP57" s="629">
        <v>12.11606299775203</v>
      </c>
      <c r="AR57" s="630">
        <v>0</v>
      </c>
    </row>
    <row r="58" spans="1:44" x14ac:dyDescent="0.25">
      <c r="A58" s="608">
        <v>5491</v>
      </c>
      <c r="B58" s="609" t="s">
        <v>147</v>
      </c>
      <c r="C58" s="610">
        <v>833483.45</v>
      </c>
      <c r="D58" s="610">
        <v>104080.29</v>
      </c>
      <c r="E58" s="610"/>
      <c r="F58" s="611">
        <v>2780</v>
      </c>
      <c r="G58" s="610">
        <v>28214</v>
      </c>
      <c r="H58" s="610">
        <v>1786.2</v>
      </c>
      <c r="I58" s="610"/>
      <c r="J58" s="610">
        <v>5828.18</v>
      </c>
      <c r="K58" s="610">
        <v>425</v>
      </c>
      <c r="L58" s="610">
        <v>92939.05</v>
      </c>
      <c r="M58" s="434">
        <f t="shared" si="0"/>
        <v>1069536.17</v>
      </c>
      <c r="N58" s="612">
        <v>3208.25</v>
      </c>
      <c r="O58" s="612">
        <v>2230.6999999999998</v>
      </c>
      <c r="P58" s="612">
        <v>79032.100000000006</v>
      </c>
      <c r="Q58" s="612">
        <v>13.91</v>
      </c>
      <c r="R58" s="612">
        <v>54703.3</v>
      </c>
      <c r="S58" s="610">
        <v>3135.17</v>
      </c>
      <c r="T58" s="543">
        <f t="shared" si="1"/>
        <v>1211859.5999999999</v>
      </c>
      <c r="U58" s="575">
        <v>-20652.240000000002</v>
      </c>
      <c r="V58" s="612"/>
      <c r="W58" s="612">
        <v>-24.5</v>
      </c>
      <c r="X58" s="624">
        <v>76</v>
      </c>
      <c r="Y58" s="631">
        <v>1</v>
      </c>
      <c r="Z58" s="628">
        <f>VLOOKUP(A58,'[2]2022 toutes communes'!$B$9:$D$317,3,FALSE)</f>
        <v>502</v>
      </c>
      <c r="AA58" s="617"/>
      <c r="AB58" s="618">
        <v>65709</v>
      </c>
      <c r="AC58" s="547">
        <f>AB58/VPI!R58</f>
        <v>4.7469996226551441</v>
      </c>
      <c r="AD58" s="548">
        <f t="shared" si="2"/>
        <v>832312</v>
      </c>
      <c r="AE58" s="547">
        <f>AD58/VPI!R58</f>
        <v>60.128517401441933</v>
      </c>
      <c r="AF58" s="618">
        <v>898021</v>
      </c>
      <c r="AG58" s="618">
        <v>19944</v>
      </c>
      <c r="AH58" s="618">
        <v>109089</v>
      </c>
      <c r="AI58" s="627"/>
      <c r="AJ58" s="628">
        <v>1058</v>
      </c>
      <c r="AK58" s="547">
        <f>AJ58/VPI!R58</f>
        <v>7.6432841783760849E-2</v>
      </c>
      <c r="AL58" s="548">
        <f t="shared" si="3"/>
        <v>-82635</v>
      </c>
      <c r="AM58" s="547">
        <f>AL58/VPI!R58</f>
        <v>-5.9697806056720966</v>
      </c>
      <c r="AN58" s="628">
        <v>-81577</v>
      </c>
      <c r="AO58" s="627"/>
      <c r="AP58" s="629">
        <v>7.7301947702853653</v>
      </c>
      <c r="AR58" s="630">
        <v>0</v>
      </c>
    </row>
    <row r="59" spans="1:44" x14ac:dyDescent="0.25">
      <c r="A59" s="608">
        <v>5492</v>
      </c>
      <c r="B59" s="609" t="s">
        <v>148</v>
      </c>
      <c r="C59" s="610">
        <v>5609980.8399999999</v>
      </c>
      <c r="D59" s="610">
        <v>3659159.38</v>
      </c>
      <c r="E59" s="610"/>
      <c r="F59" s="611"/>
      <c r="G59" s="610">
        <v>74019.5</v>
      </c>
      <c r="H59" s="610">
        <v>2188.9499999999998</v>
      </c>
      <c r="I59" s="610"/>
      <c r="J59" s="610">
        <v>-7366.98</v>
      </c>
      <c r="K59" s="610">
        <v>4857.45</v>
      </c>
      <c r="L59" s="610">
        <v>74882.55</v>
      </c>
      <c r="M59" s="434">
        <f t="shared" si="0"/>
        <v>9417721.6899999976</v>
      </c>
      <c r="N59" s="612">
        <v>10971.2</v>
      </c>
      <c r="O59" s="612">
        <v>87907.3</v>
      </c>
      <c r="P59" s="612">
        <v>68547.600000000006</v>
      </c>
      <c r="Q59" s="612">
        <v>18028.43</v>
      </c>
      <c r="R59" s="612">
        <v>74178.25</v>
      </c>
      <c r="S59" s="610">
        <v>7964.17</v>
      </c>
      <c r="T59" s="543">
        <f t="shared" si="1"/>
        <v>9685318.6399999969</v>
      </c>
      <c r="U59" s="575">
        <v>-20814.23</v>
      </c>
      <c r="V59" s="612"/>
      <c r="W59" s="612">
        <v>-3540.85</v>
      </c>
      <c r="X59" s="624">
        <v>64</v>
      </c>
      <c r="Y59" s="631">
        <v>0.3</v>
      </c>
      <c r="Z59" s="628">
        <f>VLOOKUP(A59,'[2]2022 toutes communes'!$B$9:$D$317,3,FALSE)</f>
        <v>978</v>
      </c>
      <c r="AA59" s="617"/>
      <c r="AB59" s="618">
        <v>0</v>
      </c>
      <c r="AC59" s="547">
        <f>AB59/VPI!R59</f>
        <v>0</v>
      </c>
      <c r="AD59" s="548">
        <f t="shared" si="2"/>
        <v>189637</v>
      </c>
      <c r="AE59" s="547">
        <f>AD59/VPI!R59</f>
        <v>1.265026086134929</v>
      </c>
      <c r="AF59" s="618">
        <v>189637</v>
      </c>
      <c r="AG59" s="618">
        <v>91236</v>
      </c>
      <c r="AH59" s="618">
        <v>124052</v>
      </c>
      <c r="AI59" s="627"/>
      <c r="AJ59" s="628">
        <v>0</v>
      </c>
      <c r="AK59" s="547">
        <f>AJ59/VPI!R59</f>
        <v>0</v>
      </c>
      <c r="AL59" s="548">
        <f t="shared" si="3"/>
        <v>205119</v>
      </c>
      <c r="AM59" s="547">
        <f>AL59/VPI!R59</f>
        <v>1.3683030514188186</v>
      </c>
      <c r="AN59" s="628">
        <v>205119</v>
      </c>
      <c r="AO59" s="627"/>
      <c r="AP59" s="629">
        <v>51.739099731051937</v>
      </c>
      <c r="AR59" s="630">
        <v>0</v>
      </c>
    </row>
    <row r="60" spans="1:44" x14ac:dyDescent="0.25">
      <c r="A60" s="608">
        <v>5493</v>
      </c>
      <c r="B60" s="609" t="s">
        <v>149</v>
      </c>
      <c r="C60" s="610">
        <v>882424.04</v>
      </c>
      <c r="D60" s="610">
        <v>83244.75</v>
      </c>
      <c r="E60" s="610"/>
      <c r="F60" s="611"/>
      <c r="G60" s="610">
        <v>8769.1</v>
      </c>
      <c r="H60" s="610">
        <v>873.6</v>
      </c>
      <c r="I60" s="610"/>
      <c r="J60" s="610">
        <v>17420.61</v>
      </c>
      <c r="K60" s="610">
        <v>3534.35</v>
      </c>
      <c r="L60" s="610">
        <v>51985.5</v>
      </c>
      <c r="M60" s="434">
        <f t="shared" si="0"/>
        <v>1048251.95</v>
      </c>
      <c r="N60" s="612">
        <v>62678</v>
      </c>
      <c r="O60" s="612">
        <v>-6358.4</v>
      </c>
      <c r="P60" s="612">
        <v>51900</v>
      </c>
      <c r="Q60" s="612"/>
      <c r="R60" s="612">
        <v>27369.3</v>
      </c>
      <c r="S60" s="610">
        <v>1007.71</v>
      </c>
      <c r="T60" s="543">
        <f t="shared" si="1"/>
        <v>1184848.56</v>
      </c>
      <c r="U60" s="575">
        <v>-8679.82</v>
      </c>
      <c r="V60" s="612"/>
      <c r="W60" s="612">
        <v>-156.4</v>
      </c>
      <c r="X60" s="624">
        <v>73</v>
      </c>
      <c r="Y60" s="631">
        <v>0.65</v>
      </c>
      <c r="Z60" s="628">
        <f>VLOOKUP(A60,'[2]2022 toutes communes'!$B$9:$D$317,3,FALSE)</f>
        <v>484</v>
      </c>
      <c r="AA60" s="617"/>
      <c r="AB60" s="618">
        <v>0</v>
      </c>
      <c r="AC60" s="547">
        <f>AB60/VPI!R60</f>
        <v>0</v>
      </c>
      <c r="AD60" s="548">
        <f t="shared" si="2"/>
        <v>138125</v>
      </c>
      <c r="AE60" s="547">
        <f>AD60/VPI!R60</f>
        <v>9.4374555136574099</v>
      </c>
      <c r="AF60" s="618">
        <v>138125</v>
      </c>
      <c r="AG60" s="618">
        <v>18845</v>
      </c>
      <c r="AH60" s="618">
        <v>55907</v>
      </c>
      <c r="AI60" s="627">
        <v>0</v>
      </c>
      <c r="AJ60" s="628"/>
      <c r="AK60" s="547">
        <f>AJ60/VPI!R60</f>
        <v>0</v>
      </c>
      <c r="AL60" s="548">
        <f t="shared" si="3"/>
        <v>-4794</v>
      </c>
      <c r="AM60" s="547">
        <f>AL60/VPI!R60</f>
        <v>-0.32755230213555564</v>
      </c>
      <c r="AN60" s="628">
        <v>-4794</v>
      </c>
      <c r="AO60" s="627"/>
      <c r="AP60" s="629">
        <v>11.050271780385817</v>
      </c>
      <c r="AR60" s="630">
        <v>0</v>
      </c>
    </row>
    <row r="61" spans="1:44" x14ac:dyDescent="0.25">
      <c r="A61" s="608">
        <v>5495</v>
      </c>
      <c r="B61" s="609" t="s">
        <v>150</v>
      </c>
      <c r="C61" s="610">
        <v>5812084.25</v>
      </c>
      <c r="D61" s="610">
        <v>807933.72</v>
      </c>
      <c r="E61" s="610"/>
      <c r="F61" s="611"/>
      <c r="G61" s="610">
        <v>245151.45</v>
      </c>
      <c r="H61" s="610">
        <v>3454.45</v>
      </c>
      <c r="I61" s="610">
        <v>76799.7</v>
      </c>
      <c r="J61" s="610">
        <v>211972.27</v>
      </c>
      <c r="K61" s="610">
        <v>77785.600000000006</v>
      </c>
      <c r="L61" s="610">
        <v>513365.45</v>
      </c>
      <c r="M61" s="434">
        <f t="shared" si="0"/>
        <v>7748546.8899999997</v>
      </c>
      <c r="N61" s="612">
        <v>301863.25</v>
      </c>
      <c r="O61" s="612">
        <v>1567388.6</v>
      </c>
      <c r="P61" s="612">
        <v>255756.65</v>
      </c>
      <c r="Q61" s="612">
        <v>23393.9</v>
      </c>
      <c r="R61" s="612">
        <v>203967.45</v>
      </c>
      <c r="S61" s="610">
        <v>25980.59</v>
      </c>
      <c r="T61" s="543">
        <f t="shared" si="1"/>
        <v>10126897.33</v>
      </c>
      <c r="U61" s="575">
        <v>-171049.56</v>
      </c>
      <c r="V61" s="612"/>
      <c r="W61" s="612">
        <v>-685.49</v>
      </c>
      <c r="X61" s="624">
        <v>74</v>
      </c>
      <c r="Y61" s="631">
        <v>1</v>
      </c>
      <c r="Z61" s="628">
        <f>VLOOKUP(A61,'[2]2022 toutes communes'!$B$9:$D$317,3,FALSE)</f>
        <v>3214</v>
      </c>
      <c r="AA61" s="617"/>
      <c r="AB61" s="618">
        <v>314625</v>
      </c>
      <c r="AC61" s="547">
        <f>AB61/VPI!R61</f>
        <v>3.0529348474494986</v>
      </c>
      <c r="AD61" s="548">
        <f t="shared" si="2"/>
        <v>674174</v>
      </c>
      <c r="AE61" s="547">
        <f>AD61/VPI!R61</f>
        <v>6.5417856109476942</v>
      </c>
      <c r="AF61" s="618">
        <v>988799</v>
      </c>
      <c r="AG61" s="618">
        <v>315063</v>
      </c>
      <c r="AH61" s="618">
        <v>324103</v>
      </c>
      <c r="AI61" s="627"/>
      <c r="AJ61" s="628">
        <v>0</v>
      </c>
      <c r="AK61" s="547">
        <f>AJ61/VPI!R61</f>
        <v>0</v>
      </c>
      <c r="AL61" s="548">
        <f t="shared" si="3"/>
        <v>70918</v>
      </c>
      <c r="AM61" s="547">
        <f>AL61/VPI!R61</f>
        <v>0.68814631231282808</v>
      </c>
      <c r="AN61" s="628">
        <v>70918</v>
      </c>
      <c r="AO61" s="627"/>
      <c r="AP61" s="629">
        <v>7.3428808466938227</v>
      </c>
      <c r="AR61" s="630">
        <v>0</v>
      </c>
    </row>
    <row r="62" spans="1:44" x14ac:dyDescent="0.25">
      <c r="A62" s="608">
        <v>5496</v>
      </c>
      <c r="B62" s="609" t="s">
        <v>151</v>
      </c>
      <c r="C62" s="610">
        <v>3342354.25</v>
      </c>
      <c r="D62" s="610">
        <v>355513.1</v>
      </c>
      <c r="E62" s="610"/>
      <c r="F62" s="611"/>
      <c r="G62" s="610">
        <v>148593.25</v>
      </c>
      <c r="H62" s="610">
        <v>8115.25</v>
      </c>
      <c r="I62" s="610"/>
      <c r="J62" s="610">
        <v>89283.92</v>
      </c>
      <c r="K62" s="610">
        <v>25492.5</v>
      </c>
      <c r="L62" s="610">
        <v>368757.3</v>
      </c>
      <c r="M62" s="434">
        <f t="shared" si="0"/>
        <v>4338109.57</v>
      </c>
      <c r="N62" s="612">
        <v>85804.3</v>
      </c>
      <c r="O62" s="612">
        <v>203.4</v>
      </c>
      <c r="P62" s="612">
        <v>183626</v>
      </c>
      <c r="Q62" s="612">
        <v>10397.52</v>
      </c>
      <c r="R62" s="612">
        <v>80539.850000000006</v>
      </c>
      <c r="S62" s="610">
        <v>16376.84</v>
      </c>
      <c r="T62" s="543">
        <f t="shared" si="1"/>
        <v>4715057.4799999995</v>
      </c>
      <c r="U62" s="575">
        <v>-79946.880000000005</v>
      </c>
      <c r="V62" s="612"/>
      <c r="W62" s="612">
        <v>-156.5</v>
      </c>
      <c r="X62" s="624">
        <v>69.5</v>
      </c>
      <c r="Y62" s="631">
        <v>1</v>
      </c>
      <c r="Z62" s="628">
        <f>VLOOKUP(A62,'[2]2022 toutes communes'!$B$9:$D$317,3,FALSE)</f>
        <v>1923</v>
      </c>
      <c r="AA62" s="617"/>
      <c r="AB62" s="618">
        <v>240482</v>
      </c>
      <c r="AC62" s="547">
        <f>AB62/VPI!R62</f>
        <v>3.900666277996431</v>
      </c>
      <c r="AD62" s="548">
        <f t="shared" si="2"/>
        <v>147624</v>
      </c>
      <c r="AE62" s="547">
        <f>AD62/VPI!R62</f>
        <v>2.3944908917213978</v>
      </c>
      <c r="AF62" s="618">
        <v>388106</v>
      </c>
      <c r="AG62" s="618">
        <v>111303</v>
      </c>
      <c r="AH62" s="618">
        <v>208111</v>
      </c>
      <c r="AI62" s="627"/>
      <c r="AJ62" s="628">
        <v>0</v>
      </c>
      <c r="AK62" s="547">
        <f>AJ62/VPI!R62</f>
        <v>0</v>
      </c>
      <c r="AL62" s="548">
        <f t="shared" si="3"/>
        <v>15456</v>
      </c>
      <c r="AM62" s="547">
        <f>AL62/VPI!R62</f>
        <v>0.25069942030053327</v>
      </c>
      <c r="AN62" s="628">
        <v>15456</v>
      </c>
      <c r="AO62" s="627"/>
      <c r="AP62" s="629">
        <v>11.045111683902057</v>
      </c>
      <c r="AR62" s="630">
        <v>0</v>
      </c>
    </row>
    <row r="63" spans="1:44" x14ac:dyDescent="0.25">
      <c r="A63" s="608">
        <v>5497</v>
      </c>
      <c r="B63" s="609" t="s">
        <v>152</v>
      </c>
      <c r="C63" s="610">
        <v>1187821.28</v>
      </c>
      <c r="D63" s="610">
        <v>111126.98</v>
      </c>
      <c r="E63" s="610"/>
      <c r="F63" s="611"/>
      <c r="G63" s="610">
        <v>21989.75</v>
      </c>
      <c r="H63" s="610">
        <v>-1368.55</v>
      </c>
      <c r="I63" s="610"/>
      <c r="J63" s="610">
        <v>69090.25</v>
      </c>
      <c r="K63" s="610">
        <v>4013.6</v>
      </c>
      <c r="L63" s="610">
        <v>139086.20000000001</v>
      </c>
      <c r="M63" s="434">
        <f t="shared" si="0"/>
        <v>1531759.51</v>
      </c>
      <c r="N63" s="612">
        <v>202629.9</v>
      </c>
      <c r="O63" s="612">
        <v>27216.3</v>
      </c>
      <c r="P63" s="612">
        <v>26400</v>
      </c>
      <c r="Q63" s="612">
        <v>8434.52</v>
      </c>
      <c r="R63" s="612">
        <v>35411.699999999997</v>
      </c>
      <c r="S63" s="610">
        <v>2155.02</v>
      </c>
      <c r="T63" s="543">
        <f t="shared" si="1"/>
        <v>1834006.95</v>
      </c>
      <c r="U63" s="575">
        <v>-27509.43</v>
      </c>
      <c r="V63" s="612"/>
      <c r="W63" s="612">
        <v>-150.80000000000001</v>
      </c>
      <c r="X63" s="624">
        <v>66</v>
      </c>
      <c r="Y63" s="631">
        <v>1</v>
      </c>
      <c r="Z63" s="628">
        <f>VLOOKUP(A63,'[2]2022 toutes communes'!$B$9:$D$317,3,FALSE)</f>
        <v>860</v>
      </c>
      <c r="AA63" s="617"/>
      <c r="AB63" s="618">
        <v>75712</v>
      </c>
      <c r="AC63" s="547">
        <f>AB63/VPI!R63</f>
        <v>3.299022171431885</v>
      </c>
      <c r="AD63" s="548">
        <f t="shared" si="2"/>
        <v>150273</v>
      </c>
      <c r="AE63" s="547">
        <f>AD63/VPI!R63</f>
        <v>6.5478914672387951</v>
      </c>
      <c r="AF63" s="618">
        <v>225985</v>
      </c>
      <c r="AG63" s="618">
        <v>33332</v>
      </c>
      <c r="AH63" s="618">
        <v>99339</v>
      </c>
      <c r="AI63" s="627"/>
      <c r="AJ63" s="628">
        <v>0</v>
      </c>
      <c r="AK63" s="547">
        <f>AJ63/VPI!R63</f>
        <v>0</v>
      </c>
      <c r="AL63" s="548">
        <f t="shared" si="3"/>
        <v>10604</v>
      </c>
      <c r="AM63" s="547">
        <f>AL63/VPI!R63</f>
        <v>0.46205134068395642</v>
      </c>
      <c r="AN63" s="628">
        <v>10604</v>
      </c>
      <c r="AO63" s="627"/>
      <c r="AP63" s="629">
        <v>11.371656297109617</v>
      </c>
      <c r="AR63" s="630">
        <v>0</v>
      </c>
    </row>
    <row r="64" spans="1:44" x14ac:dyDescent="0.25">
      <c r="A64" s="608">
        <v>5498</v>
      </c>
      <c r="B64" s="609" t="s">
        <v>153</v>
      </c>
      <c r="C64" s="610">
        <v>3854804.91</v>
      </c>
      <c r="D64" s="610">
        <v>434992.12</v>
      </c>
      <c r="E64" s="610"/>
      <c r="F64" s="611"/>
      <c r="G64" s="610">
        <v>102222.85</v>
      </c>
      <c r="H64" s="610">
        <v>4182.8999999999996</v>
      </c>
      <c r="I64" s="610"/>
      <c r="J64" s="610">
        <v>109228.63</v>
      </c>
      <c r="K64" s="610">
        <v>25711.1</v>
      </c>
      <c r="L64" s="610">
        <v>417885.7</v>
      </c>
      <c r="M64" s="434">
        <f t="shared" si="0"/>
        <v>4949028.21</v>
      </c>
      <c r="N64" s="612">
        <v>122746.25</v>
      </c>
      <c r="O64" s="612">
        <v>30562.400000000001</v>
      </c>
      <c r="P64" s="612">
        <v>108416.35</v>
      </c>
      <c r="Q64" s="612">
        <v>17261.95</v>
      </c>
      <c r="R64" s="612">
        <v>94890.7</v>
      </c>
      <c r="S64" s="610">
        <v>11119.95</v>
      </c>
      <c r="T64" s="543">
        <f t="shared" si="1"/>
        <v>5334025.8100000005</v>
      </c>
      <c r="U64" s="575">
        <v>-110216.03</v>
      </c>
      <c r="V64" s="612"/>
      <c r="W64" s="612">
        <v>-112.81</v>
      </c>
      <c r="X64" s="624">
        <v>66</v>
      </c>
      <c r="Y64" s="631">
        <v>1</v>
      </c>
      <c r="Z64" s="628">
        <f>VLOOKUP(A64,'[2]2022 toutes communes'!$B$9:$D$317,3,FALSE)</f>
        <v>2608</v>
      </c>
      <c r="AA64" s="617"/>
      <c r="AB64" s="618">
        <v>280909</v>
      </c>
      <c r="AC64" s="547">
        <f>AB64/VPI!R64</f>
        <v>3.8092632876869961</v>
      </c>
      <c r="AD64" s="548">
        <f t="shared" si="2"/>
        <v>407271</v>
      </c>
      <c r="AE64" s="547">
        <f>AD64/VPI!R64</f>
        <v>5.5227937461582597</v>
      </c>
      <c r="AF64" s="618">
        <v>688180</v>
      </c>
      <c r="AG64" s="618">
        <v>257154</v>
      </c>
      <c r="AH64" s="618">
        <v>303882</v>
      </c>
      <c r="AI64" s="627"/>
      <c r="AJ64" s="628">
        <v>0</v>
      </c>
      <c r="AK64" s="547">
        <f>AJ64/VPI!R64</f>
        <v>0</v>
      </c>
      <c r="AL64" s="548">
        <f t="shared" si="3"/>
        <v>33543</v>
      </c>
      <c r="AM64" s="547">
        <f>AL64/VPI!R64</f>
        <v>0.45485946857838266</v>
      </c>
      <c r="AN64" s="628">
        <v>33543</v>
      </c>
      <c r="AO64" s="627"/>
      <c r="AP64" s="629">
        <v>9.467557673542867</v>
      </c>
      <c r="AR64" s="630">
        <v>0</v>
      </c>
    </row>
    <row r="65" spans="1:1476" x14ac:dyDescent="0.25">
      <c r="A65" s="608">
        <v>5499</v>
      </c>
      <c r="B65" s="609" t="s">
        <v>154</v>
      </c>
      <c r="C65" s="610">
        <v>1091249.42</v>
      </c>
      <c r="D65" s="610">
        <v>174825.31</v>
      </c>
      <c r="E65" s="610"/>
      <c r="F65" s="611"/>
      <c r="G65" s="610">
        <v>15786.05</v>
      </c>
      <c r="H65" s="610">
        <v>1648.85</v>
      </c>
      <c r="I65" s="610"/>
      <c r="J65" s="610">
        <v>29664.6</v>
      </c>
      <c r="K65" s="610"/>
      <c r="L65" s="610">
        <v>103386.45</v>
      </c>
      <c r="M65" s="434">
        <f t="shared" si="0"/>
        <v>1416560.6800000002</v>
      </c>
      <c r="N65" s="612">
        <v>26883.5</v>
      </c>
      <c r="O65" s="612">
        <v>7920</v>
      </c>
      <c r="P65" s="612">
        <v>47657.5</v>
      </c>
      <c r="Q65" s="612">
        <v>49.13</v>
      </c>
      <c r="R65" s="612">
        <v>26083.200000000001</v>
      </c>
      <c r="S65" s="610">
        <v>1822.04</v>
      </c>
      <c r="T65" s="543">
        <f t="shared" si="1"/>
        <v>1526976.05</v>
      </c>
      <c r="U65" s="575">
        <v>-14108.24</v>
      </c>
      <c r="V65" s="612"/>
      <c r="W65" s="612">
        <v>-683.05</v>
      </c>
      <c r="X65" s="624">
        <v>68.5</v>
      </c>
      <c r="Y65" s="631">
        <v>1</v>
      </c>
      <c r="Z65" s="628">
        <f>VLOOKUP(A65,'[2]2022 toutes communes'!$B$9:$D$317,3,FALSE)</f>
        <v>496</v>
      </c>
      <c r="AA65" s="617"/>
      <c r="AB65" s="618">
        <v>0</v>
      </c>
      <c r="AC65" s="547">
        <f>AB65/VPI!R65</f>
        <v>0</v>
      </c>
      <c r="AD65" s="548">
        <f t="shared" si="2"/>
        <v>73691</v>
      </c>
      <c r="AE65" s="547">
        <f>AD65/VPI!R65</f>
        <v>3.5962436850642168</v>
      </c>
      <c r="AF65" s="618">
        <v>73691</v>
      </c>
      <c r="AG65" s="618">
        <v>19277</v>
      </c>
      <c r="AH65" s="618">
        <v>114803</v>
      </c>
      <c r="AI65" s="627"/>
      <c r="AJ65" s="628">
        <v>0</v>
      </c>
      <c r="AK65" s="547">
        <f>AJ65/VPI!R65</f>
        <v>0</v>
      </c>
      <c r="AL65" s="548">
        <f t="shared" si="3"/>
        <v>16874</v>
      </c>
      <c r="AM65" s="547">
        <f>AL65/VPI!R65</f>
        <v>0.82347933861358369</v>
      </c>
      <c r="AN65" s="628">
        <v>16874</v>
      </c>
      <c r="AO65" s="627"/>
      <c r="AP65" s="629">
        <v>21.82090660459458</v>
      </c>
      <c r="AR65" s="630">
        <v>0</v>
      </c>
    </row>
    <row r="66" spans="1:1476" x14ac:dyDescent="0.25">
      <c r="A66" s="608">
        <v>5501</v>
      </c>
      <c r="B66" s="609" t="s">
        <v>155</v>
      </c>
      <c r="C66" s="610">
        <v>2662757.61</v>
      </c>
      <c r="D66" s="610">
        <v>396976.48</v>
      </c>
      <c r="E66" s="610"/>
      <c r="F66" s="611"/>
      <c r="G66" s="610">
        <v>120327.7</v>
      </c>
      <c r="H66" s="610">
        <v>949.7</v>
      </c>
      <c r="I66" s="610"/>
      <c r="J66" s="610">
        <v>30549.64</v>
      </c>
      <c r="K66" s="610"/>
      <c r="L66" s="610">
        <v>252522.4</v>
      </c>
      <c r="M66" s="434">
        <f t="shared" si="0"/>
        <v>3464083.5300000003</v>
      </c>
      <c r="N66" s="612">
        <v>17893.7</v>
      </c>
      <c r="O66" s="612">
        <v>146391.29999999999</v>
      </c>
      <c r="P66" s="612">
        <v>215669</v>
      </c>
      <c r="Q66" s="612">
        <v>722.98</v>
      </c>
      <c r="R66" s="612">
        <v>193449.1</v>
      </c>
      <c r="S66" s="610">
        <v>12674.11</v>
      </c>
      <c r="T66" s="543">
        <f t="shared" si="1"/>
        <v>4050883.72</v>
      </c>
      <c r="U66" s="575">
        <v>-30117.39</v>
      </c>
      <c r="V66" s="612"/>
      <c r="W66" s="612">
        <v>-1560.15</v>
      </c>
      <c r="X66" s="624">
        <v>64</v>
      </c>
      <c r="Y66" s="631">
        <v>1</v>
      </c>
      <c r="Z66" s="628">
        <f>VLOOKUP(A66,'[2]2022 toutes communes'!$B$9:$D$317,3,FALSE)</f>
        <v>1169</v>
      </c>
      <c r="AA66" s="617"/>
      <c r="AB66" s="618">
        <v>91643</v>
      </c>
      <c r="AC66" s="547">
        <f>AB66/VPI!R66</f>
        <v>1.702114678009981</v>
      </c>
      <c r="AD66" s="548">
        <f t="shared" si="2"/>
        <v>148813</v>
      </c>
      <c r="AE66" s="547">
        <f>AD66/VPI!R66</f>
        <v>2.763951328292388</v>
      </c>
      <c r="AF66" s="618">
        <v>240456</v>
      </c>
      <c r="AG66" s="618">
        <v>66451</v>
      </c>
      <c r="AH66" s="618">
        <v>50038</v>
      </c>
      <c r="AI66" s="627"/>
      <c r="AJ66" s="628">
        <v>0</v>
      </c>
      <c r="AK66" s="547">
        <f>AJ66/VPI!R66</f>
        <v>0</v>
      </c>
      <c r="AL66" s="548">
        <f t="shared" si="3"/>
        <v>51529</v>
      </c>
      <c r="AM66" s="547">
        <f>AL66/VPI!R66</f>
        <v>0.95706455750222397</v>
      </c>
      <c r="AN66" s="628">
        <v>51529</v>
      </c>
      <c r="AO66" s="627"/>
      <c r="AP66" s="629">
        <v>21.551495127824737</v>
      </c>
      <c r="AR66" s="630">
        <v>0</v>
      </c>
    </row>
    <row r="67" spans="1:1476" x14ac:dyDescent="0.25">
      <c r="A67" s="608">
        <v>5503</v>
      </c>
      <c r="B67" s="609" t="s">
        <v>156</v>
      </c>
      <c r="C67" s="610">
        <v>3300398.24</v>
      </c>
      <c r="D67" s="610">
        <v>622749.88</v>
      </c>
      <c r="E67" s="610"/>
      <c r="F67" s="611"/>
      <c r="G67" s="610">
        <v>413974.95</v>
      </c>
      <c r="H67" s="610">
        <v>70607.100000000006</v>
      </c>
      <c r="I67" s="610">
        <v>0</v>
      </c>
      <c r="J67" s="610">
        <v>66955.03</v>
      </c>
      <c r="K67" s="610">
        <v>60646.85</v>
      </c>
      <c r="L67" s="610">
        <v>586965.80000000005</v>
      </c>
      <c r="M67" s="434">
        <f t="shared" si="0"/>
        <v>5122297.8499999996</v>
      </c>
      <c r="N67" s="612">
        <v>217052.05</v>
      </c>
      <c r="O67" s="612">
        <v>56935.8</v>
      </c>
      <c r="P67" s="612">
        <v>88363</v>
      </c>
      <c r="Q67" s="612">
        <v>1904.54</v>
      </c>
      <c r="R67" s="612">
        <v>7570</v>
      </c>
      <c r="S67" s="610">
        <v>50641.31</v>
      </c>
      <c r="T67" s="543">
        <f t="shared" si="1"/>
        <v>5544764.5499999989</v>
      </c>
      <c r="U67" s="575">
        <v>-36616.33</v>
      </c>
      <c r="V67" s="612"/>
      <c r="W67" s="612">
        <v>-481.25</v>
      </c>
      <c r="X67" s="624">
        <v>67</v>
      </c>
      <c r="Y67" s="631">
        <v>1.2</v>
      </c>
      <c r="Z67" s="628">
        <f>VLOOKUP(A67,'[2]2022 toutes communes'!$B$9:$D$317,3,FALSE)</f>
        <v>1334</v>
      </c>
      <c r="AA67" s="617"/>
      <c r="AB67" s="618">
        <v>76094</v>
      </c>
      <c r="AC67" s="547">
        <f>AB67/VPI!R67</f>
        <v>1.011583424114453</v>
      </c>
      <c r="AD67" s="548">
        <f t="shared" si="2"/>
        <v>124775</v>
      </c>
      <c r="AE67" s="547">
        <f>AD67/VPI!R67</f>
        <v>1.6587421050789928</v>
      </c>
      <c r="AF67" s="618">
        <v>200869</v>
      </c>
      <c r="AG67" s="618">
        <v>132111</v>
      </c>
      <c r="AH67" s="618">
        <v>125003</v>
      </c>
      <c r="AI67" s="627"/>
      <c r="AJ67" s="628">
        <v>0</v>
      </c>
      <c r="AK67" s="547">
        <f>AJ67/VPI!R67</f>
        <v>0</v>
      </c>
      <c r="AL67" s="548">
        <f t="shared" si="3"/>
        <v>45663</v>
      </c>
      <c r="AM67" s="547">
        <f>AL67/VPI!R67</f>
        <v>0.60703779398294566</v>
      </c>
      <c r="AN67" s="628">
        <v>45663</v>
      </c>
      <c r="AO67" s="627"/>
      <c r="AP67" s="629">
        <v>30.173736892894137</v>
      </c>
      <c r="AR67" s="630">
        <v>0</v>
      </c>
    </row>
    <row r="68" spans="1:1476" x14ac:dyDescent="0.25">
      <c r="A68" s="608">
        <v>5511</v>
      </c>
      <c r="B68" s="609" t="s">
        <v>157</v>
      </c>
      <c r="C68" s="610">
        <v>3618903.25</v>
      </c>
      <c r="D68" s="610">
        <v>458455.19</v>
      </c>
      <c r="E68" s="610"/>
      <c r="F68" s="610"/>
      <c r="G68" s="610">
        <v>468031.65</v>
      </c>
      <c r="H68" s="610">
        <v>61959.3</v>
      </c>
      <c r="I68" s="610"/>
      <c r="J68" s="610">
        <v>41847</v>
      </c>
      <c r="K68" s="610">
        <v>22019.8</v>
      </c>
      <c r="L68" s="610">
        <v>390663.45</v>
      </c>
      <c r="M68" s="434">
        <f t="shared" si="0"/>
        <v>5061879.6399999997</v>
      </c>
      <c r="N68" s="610">
        <v>228206.35</v>
      </c>
      <c r="O68" s="610"/>
      <c r="P68" s="610">
        <v>87054</v>
      </c>
      <c r="Q68" s="610">
        <v>13607.29</v>
      </c>
      <c r="R68" s="610">
        <v>94715.9</v>
      </c>
      <c r="S68" s="610">
        <v>55386.78</v>
      </c>
      <c r="T68" s="543">
        <f t="shared" si="1"/>
        <v>5540849.96</v>
      </c>
      <c r="U68" s="610">
        <v>-31403.13</v>
      </c>
      <c r="V68" s="610"/>
      <c r="W68" s="610">
        <v>-966.06</v>
      </c>
      <c r="X68" s="610">
        <v>70</v>
      </c>
      <c r="Y68" s="633">
        <v>1</v>
      </c>
      <c r="Z68" s="628">
        <f>VLOOKUP(A68,'[2]2022 toutes communes'!$B$9:$D$317,3,FALSE)</f>
        <v>1669</v>
      </c>
      <c r="AA68" s="634"/>
      <c r="AB68" s="635">
        <v>74667</v>
      </c>
      <c r="AC68" s="547">
        <f>AB68/VPI!R68</f>
        <v>1.0251417802018541</v>
      </c>
      <c r="AD68" s="548">
        <f t="shared" si="2"/>
        <v>533374</v>
      </c>
      <c r="AE68" s="547">
        <f>AD68/VPI!R68</f>
        <v>7.3229669314875876</v>
      </c>
      <c r="AF68" s="635">
        <v>608041</v>
      </c>
      <c r="AG68" s="635">
        <v>161718</v>
      </c>
      <c r="AH68" s="635">
        <v>146972</v>
      </c>
      <c r="AI68" s="634"/>
      <c r="AJ68" s="610">
        <v>0</v>
      </c>
      <c r="AK68" s="547">
        <f>AJ68/VPI!R68</f>
        <v>0</v>
      </c>
      <c r="AL68" s="548">
        <f t="shared" si="3"/>
        <v>-24545</v>
      </c>
      <c r="AM68" s="547">
        <f>AL68/VPI!R68</f>
        <v>-0.3369909731883497</v>
      </c>
      <c r="AN68" s="636">
        <v>-24545</v>
      </c>
      <c r="AO68" s="634"/>
      <c r="AP68" s="629">
        <v>24.45</v>
      </c>
      <c r="AQ68" s="610"/>
      <c r="AR68" s="630">
        <v>0</v>
      </c>
    </row>
    <row r="69" spans="1:1476" s="632" customFormat="1" x14ac:dyDescent="0.25">
      <c r="A69" s="608">
        <v>5512</v>
      </c>
      <c r="B69" s="609" t="s">
        <v>158</v>
      </c>
      <c r="C69" s="610">
        <v>2401550.2799999998</v>
      </c>
      <c r="D69" s="610">
        <v>439504.76</v>
      </c>
      <c r="E69" s="610"/>
      <c r="F69" s="611"/>
      <c r="G69" s="610">
        <v>68311.95</v>
      </c>
      <c r="H69" s="610">
        <v>247.4</v>
      </c>
      <c r="I69" s="610"/>
      <c r="J69" s="610">
        <v>63273.13</v>
      </c>
      <c r="K69" s="610">
        <v>7327.9</v>
      </c>
      <c r="L69" s="610">
        <v>273092</v>
      </c>
      <c r="M69" s="434">
        <f t="shared" si="0"/>
        <v>3253307.42</v>
      </c>
      <c r="N69" s="612">
        <v>89160.45</v>
      </c>
      <c r="O69" s="612">
        <v>522.70000000000005</v>
      </c>
      <c r="P69" s="612">
        <v>81762.55</v>
      </c>
      <c r="Q69" s="612">
        <v>20830.82</v>
      </c>
      <c r="R69" s="612">
        <v>99686.6</v>
      </c>
      <c r="S69" s="610">
        <v>7164.8</v>
      </c>
      <c r="T69" s="543">
        <f t="shared" si="1"/>
        <v>3552435.34</v>
      </c>
      <c r="U69" s="575">
        <v>-26263.360000000001</v>
      </c>
      <c r="V69" s="612"/>
      <c r="W69" s="612">
        <v>-340.15</v>
      </c>
      <c r="X69" s="624">
        <v>79</v>
      </c>
      <c r="Y69" s="631">
        <v>1</v>
      </c>
      <c r="Z69" s="628">
        <f>VLOOKUP(A69,'[2]2022 toutes communes'!$B$9:$D$317,3,FALSE)</f>
        <v>1359</v>
      </c>
      <c r="AA69" s="617"/>
      <c r="AB69" s="618">
        <v>237887</v>
      </c>
      <c r="AC69" s="547">
        <f>AB69/VPI!R69</f>
        <v>5.7741345481436808</v>
      </c>
      <c r="AD69" s="548">
        <f t="shared" si="2"/>
        <v>172236</v>
      </c>
      <c r="AE69" s="547">
        <f>AD69/VPI!R69</f>
        <v>4.1806144851718461</v>
      </c>
      <c r="AF69" s="618">
        <v>410123</v>
      </c>
      <c r="AG69" s="618">
        <v>127901</v>
      </c>
      <c r="AH69" s="618">
        <v>116345</v>
      </c>
      <c r="AI69" s="627"/>
      <c r="AJ69" s="628"/>
      <c r="AK69" s="547">
        <f>AJ69/VPI!R69</f>
        <v>0</v>
      </c>
      <c r="AL69" s="548">
        <f t="shared" si="3"/>
        <v>16074</v>
      </c>
      <c r="AM69" s="547">
        <f>AL69/VPI!R69</f>
        <v>0.39015767455498418</v>
      </c>
      <c r="AN69" s="628">
        <v>16074</v>
      </c>
      <c r="AO69" s="627"/>
      <c r="AP69" s="629">
        <v>10.918310842543416</v>
      </c>
      <c r="AQ69" s="575"/>
      <c r="AR69" s="630">
        <v>0</v>
      </c>
      <c r="AS69" s="575"/>
      <c r="AT69" s="575"/>
      <c r="AU69" s="575"/>
      <c r="AV69" s="575"/>
      <c r="AW69" s="575"/>
      <c r="AX69" s="575"/>
      <c r="AY69" s="575"/>
      <c r="AZ69" s="575"/>
      <c r="BA69" s="575"/>
      <c r="BB69" s="575"/>
      <c r="BC69" s="575"/>
      <c r="BD69" s="575"/>
      <c r="BE69" s="575"/>
      <c r="BF69" s="575"/>
      <c r="BG69" s="575"/>
      <c r="BH69" s="575"/>
      <c r="BI69" s="575"/>
      <c r="BJ69" s="575"/>
      <c r="BK69" s="575"/>
      <c r="BL69" s="575"/>
      <c r="BM69" s="575"/>
      <c r="BN69" s="575"/>
      <c r="BO69" s="575"/>
      <c r="BP69" s="575"/>
      <c r="BQ69" s="575"/>
      <c r="BR69" s="575"/>
      <c r="BS69" s="575"/>
      <c r="BT69" s="575"/>
      <c r="BU69" s="575"/>
      <c r="BV69" s="575"/>
      <c r="BW69" s="575"/>
      <c r="BX69" s="575"/>
      <c r="BY69" s="575"/>
      <c r="BZ69" s="575"/>
      <c r="CA69" s="575"/>
      <c r="CB69" s="575"/>
      <c r="CC69" s="575"/>
      <c r="CD69" s="575"/>
      <c r="CE69" s="575"/>
      <c r="CF69" s="575"/>
      <c r="CG69" s="575"/>
      <c r="CH69" s="575"/>
      <c r="CI69" s="575"/>
      <c r="CJ69" s="575"/>
      <c r="CK69" s="575"/>
      <c r="CL69" s="575"/>
      <c r="CM69" s="575"/>
      <c r="CN69" s="575"/>
      <c r="CO69" s="575"/>
      <c r="CP69" s="575"/>
      <c r="CQ69" s="575"/>
      <c r="CR69" s="575"/>
      <c r="CS69" s="575"/>
      <c r="CT69" s="575"/>
      <c r="CU69" s="575"/>
      <c r="CV69" s="575"/>
      <c r="CW69" s="575"/>
      <c r="CX69" s="575"/>
      <c r="CY69" s="575"/>
      <c r="CZ69" s="575"/>
      <c r="DA69" s="575"/>
      <c r="DB69" s="575"/>
      <c r="DC69" s="575"/>
      <c r="DD69" s="575"/>
      <c r="DE69" s="575"/>
      <c r="DF69" s="575"/>
      <c r="DG69" s="575"/>
      <c r="DH69" s="575"/>
      <c r="DI69" s="575"/>
      <c r="DJ69" s="575"/>
      <c r="DK69" s="575"/>
      <c r="DL69" s="575"/>
      <c r="DM69" s="575"/>
      <c r="DN69" s="575"/>
      <c r="DO69" s="575"/>
      <c r="DP69" s="575"/>
      <c r="DQ69" s="575"/>
      <c r="DR69" s="575"/>
      <c r="DS69" s="575"/>
      <c r="DT69" s="575"/>
      <c r="DU69" s="575"/>
      <c r="DV69" s="575"/>
      <c r="DW69" s="575"/>
      <c r="DX69" s="575"/>
      <c r="DY69" s="575"/>
      <c r="DZ69" s="575"/>
      <c r="EA69" s="575"/>
      <c r="EB69" s="575"/>
      <c r="EC69" s="575"/>
      <c r="ED69" s="575"/>
      <c r="EE69" s="575"/>
      <c r="EF69" s="575"/>
      <c r="EG69" s="575"/>
      <c r="EH69" s="575"/>
      <c r="EI69" s="575"/>
      <c r="EJ69" s="575"/>
      <c r="EK69" s="575"/>
      <c r="EL69" s="575"/>
      <c r="EM69" s="575"/>
      <c r="EN69" s="575"/>
      <c r="EO69" s="575"/>
      <c r="EP69" s="575"/>
      <c r="EQ69" s="575"/>
      <c r="ER69" s="575"/>
      <c r="ES69" s="575"/>
      <c r="ET69" s="575"/>
      <c r="EU69" s="575"/>
      <c r="EV69" s="575"/>
      <c r="EW69" s="575"/>
      <c r="EX69" s="575"/>
      <c r="EY69" s="575"/>
      <c r="EZ69" s="575"/>
      <c r="FA69" s="575"/>
      <c r="FB69" s="575"/>
      <c r="FC69" s="575"/>
      <c r="FD69" s="575"/>
      <c r="FE69" s="575"/>
      <c r="FF69" s="575"/>
      <c r="FG69" s="575"/>
      <c r="FH69" s="575"/>
      <c r="FI69" s="575"/>
      <c r="FJ69" s="575"/>
      <c r="FK69" s="575"/>
      <c r="FL69" s="575"/>
      <c r="FM69" s="575"/>
      <c r="FN69" s="575"/>
      <c r="FO69" s="575"/>
      <c r="FP69" s="575"/>
      <c r="FQ69" s="575"/>
      <c r="FR69" s="575"/>
      <c r="FS69" s="575"/>
      <c r="FT69" s="575"/>
      <c r="FU69" s="575"/>
      <c r="FV69" s="575"/>
      <c r="FW69" s="575"/>
      <c r="FX69" s="575"/>
      <c r="FY69" s="575"/>
      <c r="FZ69" s="575"/>
      <c r="GA69" s="575"/>
      <c r="GB69" s="575"/>
      <c r="GC69" s="575"/>
      <c r="GD69" s="575"/>
      <c r="GE69" s="575"/>
      <c r="GF69" s="575"/>
      <c r="GG69" s="575"/>
      <c r="GH69" s="575"/>
      <c r="GI69" s="575"/>
      <c r="GJ69" s="575"/>
      <c r="GK69" s="575"/>
      <c r="GL69" s="575"/>
      <c r="GM69" s="575"/>
      <c r="GN69" s="575"/>
      <c r="GO69" s="575"/>
      <c r="GP69" s="575"/>
      <c r="GQ69" s="575"/>
      <c r="GR69" s="575"/>
      <c r="GS69" s="575"/>
      <c r="GT69" s="575"/>
      <c r="GU69" s="575"/>
      <c r="GV69" s="575"/>
      <c r="GW69" s="575"/>
      <c r="GX69" s="575"/>
      <c r="GY69" s="575"/>
      <c r="GZ69" s="575"/>
      <c r="HA69" s="575"/>
      <c r="HB69" s="575"/>
      <c r="HC69" s="575"/>
      <c r="HD69" s="575"/>
      <c r="HE69" s="575"/>
      <c r="HF69" s="575"/>
      <c r="HG69" s="575"/>
      <c r="HH69" s="575"/>
      <c r="HI69" s="575"/>
      <c r="HJ69" s="575"/>
      <c r="HK69" s="575"/>
      <c r="HL69" s="575"/>
      <c r="HM69" s="575"/>
      <c r="HN69" s="575"/>
      <c r="HO69" s="575"/>
      <c r="HP69" s="575"/>
      <c r="HQ69" s="575"/>
      <c r="HR69" s="575"/>
      <c r="HS69" s="575"/>
      <c r="HT69" s="575"/>
      <c r="HU69" s="575"/>
      <c r="HV69" s="575"/>
      <c r="HW69" s="575"/>
      <c r="HX69" s="575"/>
      <c r="HY69" s="575"/>
      <c r="HZ69" s="575"/>
      <c r="IA69" s="575"/>
      <c r="IB69" s="575"/>
      <c r="IC69" s="575"/>
      <c r="ID69" s="575"/>
      <c r="IE69" s="575"/>
      <c r="IF69" s="575"/>
      <c r="IG69" s="575"/>
      <c r="IH69" s="575"/>
      <c r="II69" s="575"/>
      <c r="IJ69" s="575"/>
      <c r="IK69" s="575"/>
      <c r="IL69" s="575"/>
      <c r="IM69" s="575"/>
      <c r="IN69" s="575"/>
      <c r="IO69" s="575"/>
      <c r="IP69" s="575"/>
      <c r="IQ69" s="575"/>
      <c r="IR69" s="575"/>
      <c r="IS69" s="575"/>
      <c r="IT69" s="575"/>
      <c r="IU69" s="575"/>
      <c r="IV69" s="575"/>
      <c r="IW69" s="575"/>
      <c r="IX69" s="575"/>
      <c r="IY69" s="575"/>
      <c r="IZ69" s="575"/>
      <c r="JA69" s="575"/>
      <c r="JB69" s="575"/>
      <c r="JC69" s="575"/>
      <c r="JD69" s="575"/>
      <c r="JE69" s="575"/>
      <c r="JF69" s="575"/>
      <c r="JG69" s="575"/>
      <c r="JH69" s="575"/>
      <c r="JI69" s="575"/>
      <c r="JJ69" s="575"/>
      <c r="JK69" s="575"/>
      <c r="JL69" s="575"/>
      <c r="JM69" s="575"/>
      <c r="JN69" s="575"/>
      <c r="JO69" s="575"/>
      <c r="JP69" s="575"/>
      <c r="JQ69" s="575"/>
      <c r="JR69" s="575"/>
      <c r="JS69" s="575"/>
      <c r="JT69" s="575"/>
      <c r="JU69" s="575"/>
      <c r="JV69" s="575"/>
      <c r="JW69" s="575"/>
      <c r="JX69" s="575"/>
      <c r="JY69" s="575"/>
      <c r="JZ69" s="575"/>
      <c r="KA69" s="575"/>
      <c r="KB69" s="575"/>
      <c r="KC69" s="575"/>
      <c r="KD69" s="575"/>
      <c r="KE69" s="575"/>
      <c r="KF69" s="575"/>
      <c r="KG69" s="575"/>
      <c r="KH69" s="575"/>
      <c r="KI69" s="575"/>
      <c r="KJ69" s="575"/>
      <c r="KK69" s="575"/>
      <c r="KL69" s="575"/>
      <c r="KM69" s="575"/>
      <c r="KN69" s="575"/>
      <c r="KO69" s="575"/>
      <c r="KP69" s="575"/>
      <c r="KQ69" s="575"/>
      <c r="KR69" s="575"/>
      <c r="KS69" s="575"/>
      <c r="KT69" s="575"/>
      <c r="KU69" s="575"/>
      <c r="KV69" s="575"/>
      <c r="KW69" s="575"/>
      <c r="KX69" s="575"/>
      <c r="KY69" s="575"/>
      <c r="KZ69" s="575"/>
      <c r="LA69" s="575"/>
      <c r="LB69" s="575"/>
      <c r="LC69" s="575"/>
      <c r="LD69" s="575"/>
      <c r="LE69" s="575"/>
      <c r="LF69" s="575"/>
      <c r="LG69" s="575"/>
      <c r="LH69" s="575"/>
      <c r="LI69" s="575"/>
      <c r="LJ69" s="575"/>
      <c r="LK69" s="575"/>
      <c r="LL69" s="575"/>
      <c r="LM69" s="575"/>
      <c r="LN69" s="575"/>
      <c r="LO69" s="575"/>
      <c r="LP69" s="575"/>
      <c r="LQ69" s="575"/>
      <c r="LR69" s="575"/>
      <c r="LS69" s="575"/>
      <c r="LT69" s="575"/>
      <c r="LU69" s="575"/>
      <c r="LV69" s="575"/>
      <c r="LW69" s="575"/>
      <c r="LX69" s="575"/>
      <c r="LY69" s="575"/>
      <c r="LZ69" s="575"/>
      <c r="MA69" s="575"/>
      <c r="MB69" s="575"/>
      <c r="MC69" s="575"/>
      <c r="MD69" s="575"/>
      <c r="ME69" s="575"/>
      <c r="MF69" s="575"/>
      <c r="MG69" s="575"/>
      <c r="MH69" s="575"/>
      <c r="MI69" s="575"/>
      <c r="MJ69" s="575"/>
      <c r="MK69" s="575"/>
      <c r="ML69" s="575"/>
      <c r="MM69" s="575"/>
      <c r="MN69" s="575"/>
      <c r="MO69" s="575"/>
      <c r="MP69" s="575"/>
      <c r="MQ69" s="575"/>
      <c r="MR69" s="575"/>
      <c r="MS69" s="575"/>
      <c r="MT69" s="575"/>
      <c r="MU69" s="575"/>
      <c r="MV69" s="575"/>
      <c r="MW69" s="575"/>
      <c r="MX69" s="575"/>
      <c r="MY69" s="575"/>
      <c r="MZ69" s="575"/>
      <c r="NA69" s="575"/>
      <c r="NB69" s="575"/>
      <c r="NC69" s="575"/>
      <c r="ND69" s="575"/>
      <c r="NE69" s="575"/>
      <c r="NF69" s="575"/>
      <c r="NG69" s="575"/>
      <c r="NH69" s="575"/>
      <c r="NI69" s="575"/>
      <c r="NJ69" s="575"/>
      <c r="NK69" s="575"/>
      <c r="NL69" s="575"/>
      <c r="NM69" s="575"/>
      <c r="NN69" s="575"/>
      <c r="NO69" s="575"/>
      <c r="NP69" s="575"/>
      <c r="NQ69" s="575"/>
      <c r="NR69" s="575"/>
      <c r="NS69" s="575"/>
      <c r="NT69" s="575"/>
      <c r="NU69" s="575"/>
      <c r="NV69" s="575"/>
      <c r="NW69" s="575"/>
      <c r="NX69" s="575"/>
      <c r="NY69" s="575"/>
      <c r="NZ69" s="575"/>
      <c r="OA69" s="575"/>
      <c r="OB69" s="575"/>
      <c r="OC69" s="575"/>
      <c r="OD69" s="575"/>
      <c r="OE69" s="575"/>
      <c r="OF69" s="575"/>
      <c r="OG69" s="575"/>
      <c r="OH69" s="575"/>
      <c r="OI69" s="575"/>
      <c r="OJ69" s="575"/>
      <c r="OK69" s="575"/>
      <c r="OL69" s="575"/>
      <c r="OM69" s="575"/>
      <c r="ON69" s="575"/>
      <c r="OO69" s="575"/>
      <c r="OP69" s="575"/>
      <c r="OQ69" s="575"/>
      <c r="OR69" s="575"/>
      <c r="OS69" s="575"/>
      <c r="OT69" s="575"/>
      <c r="OU69" s="575"/>
      <c r="OV69" s="575"/>
      <c r="OW69" s="575"/>
      <c r="OX69" s="575"/>
      <c r="OY69" s="575"/>
      <c r="OZ69" s="575"/>
      <c r="PA69" s="575"/>
      <c r="PB69" s="575"/>
      <c r="PC69" s="575"/>
      <c r="PD69" s="575"/>
      <c r="PE69" s="575"/>
      <c r="PF69" s="575"/>
      <c r="PG69" s="575"/>
      <c r="PH69" s="575"/>
      <c r="PI69" s="575"/>
      <c r="PJ69" s="575"/>
      <c r="PK69" s="575"/>
      <c r="PL69" s="575"/>
      <c r="PM69" s="575"/>
      <c r="PN69" s="575"/>
      <c r="PO69" s="575"/>
      <c r="PP69" s="575"/>
      <c r="PQ69" s="575"/>
      <c r="PR69" s="575"/>
      <c r="PS69" s="575"/>
      <c r="PT69" s="575"/>
      <c r="PU69" s="575"/>
      <c r="PV69" s="575"/>
      <c r="PW69" s="575"/>
      <c r="PX69" s="575"/>
      <c r="PY69" s="575"/>
      <c r="PZ69" s="575"/>
      <c r="QA69" s="575"/>
      <c r="QB69" s="575"/>
      <c r="QC69" s="575"/>
      <c r="QD69" s="575"/>
      <c r="QE69" s="575"/>
      <c r="QF69" s="575"/>
      <c r="QG69" s="575"/>
      <c r="QH69" s="575"/>
      <c r="QI69" s="575"/>
      <c r="QJ69" s="575"/>
      <c r="QK69" s="575"/>
      <c r="QL69" s="575"/>
      <c r="QM69" s="575"/>
      <c r="QN69" s="575"/>
      <c r="QO69" s="575"/>
      <c r="QP69" s="575"/>
      <c r="QQ69" s="575"/>
      <c r="QR69" s="575"/>
      <c r="QS69" s="575"/>
      <c r="QT69" s="575"/>
      <c r="QU69" s="575"/>
      <c r="QV69" s="575"/>
      <c r="QW69" s="575"/>
      <c r="QX69" s="575"/>
      <c r="QY69" s="575"/>
      <c r="QZ69" s="575"/>
      <c r="RA69" s="575"/>
      <c r="RB69" s="575"/>
      <c r="RC69" s="575"/>
      <c r="RD69" s="575"/>
      <c r="RE69" s="575"/>
      <c r="RF69" s="575"/>
      <c r="RG69" s="575"/>
      <c r="RH69" s="575"/>
      <c r="RI69" s="575"/>
      <c r="RJ69" s="575"/>
      <c r="RK69" s="575"/>
      <c r="RL69" s="575"/>
      <c r="RM69" s="575"/>
      <c r="RN69" s="575"/>
      <c r="RO69" s="575"/>
      <c r="RP69" s="575"/>
      <c r="RQ69" s="575"/>
      <c r="RR69" s="575"/>
      <c r="RS69" s="575"/>
      <c r="RT69" s="575"/>
      <c r="RU69" s="575"/>
      <c r="RV69" s="575"/>
      <c r="RW69" s="575"/>
      <c r="RX69" s="575"/>
      <c r="RY69" s="575"/>
      <c r="RZ69" s="575"/>
      <c r="SA69" s="575"/>
      <c r="SB69" s="575"/>
      <c r="SC69" s="575"/>
      <c r="SD69" s="575"/>
      <c r="SE69" s="575"/>
      <c r="SF69" s="575"/>
      <c r="SG69" s="575"/>
      <c r="SH69" s="575"/>
      <c r="SI69" s="575"/>
      <c r="SJ69" s="575"/>
      <c r="SK69" s="575"/>
      <c r="SL69" s="575"/>
      <c r="SM69" s="575"/>
      <c r="SN69" s="575"/>
      <c r="SO69" s="575"/>
      <c r="SP69" s="575"/>
      <c r="SQ69" s="575"/>
      <c r="SR69" s="575"/>
      <c r="SS69" s="575"/>
      <c r="ST69" s="575"/>
      <c r="SU69" s="575"/>
      <c r="SV69" s="575"/>
      <c r="SW69" s="575"/>
      <c r="SX69" s="575"/>
      <c r="SY69" s="575"/>
      <c r="SZ69" s="575"/>
      <c r="TA69" s="575"/>
      <c r="TB69" s="575"/>
      <c r="TC69" s="575"/>
      <c r="TD69" s="575"/>
      <c r="TE69" s="575"/>
      <c r="TF69" s="575"/>
      <c r="TG69" s="575"/>
      <c r="TH69" s="575"/>
      <c r="TI69" s="575"/>
      <c r="TJ69" s="575"/>
      <c r="TK69" s="575"/>
      <c r="TL69" s="575"/>
      <c r="TM69" s="575"/>
      <c r="TN69" s="575"/>
      <c r="TO69" s="575"/>
      <c r="TP69" s="575"/>
      <c r="TQ69" s="575"/>
      <c r="TR69" s="575"/>
      <c r="TS69" s="575"/>
      <c r="TT69" s="575"/>
      <c r="TU69" s="575"/>
      <c r="TV69" s="575"/>
      <c r="TW69" s="575"/>
      <c r="TX69" s="575"/>
      <c r="TY69" s="575"/>
      <c r="TZ69" s="575"/>
      <c r="UA69" s="575"/>
      <c r="UB69" s="575"/>
      <c r="UC69" s="575"/>
      <c r="UD69" s="575"/>
      <c r="UE69" s="575"/>
      <c r="UF69" s="575"/>
      <c r="UG69" s="575"/>
      <c r="UH69" s="575"/>
      <c r="UI69" s="575"/>
      <c r="UJ69" s="575"/>
      <c r="UK69" s="575"/>
      <c r="UL69" s="575"/>
      <c r="UM69" s="575"/>
      <c r="UN69" s="575"/>
      <c r="UO69" s="575"/>
      <c r="UP69" s="575"/>
      <c r="UQ69" s="575"/>
      <c r="UR69" s="575"/>
      <c r="US69" s="575"/>
      <c r="UT69" s="575"/>
      <c r="UU69" s="575"/>
      <c r="UV69" s="575"/>
      <c r="UW69" s="575"/>
      <c r="UX69" s="575"/>
      <c r="UY69" s="575"/>
      <c r="UZ69" s="575"/>
      <c r="VA69" s="575"/>
      <c r="VB69" s="575"/>
      <c r="VC69" s="575"/>
      <c r="VD69" s="575"/>
      <c r="VE69" s="575"/>
      <c r="VF69" s="575"/>
      <c r="VG69" s="575"/>
      <c r="VH69" s="575"/>
      <c r="VI69" s="575"/>
      <c r="VJ69" s="575"/>
      <c r="VK69" s="575"/>
      <c r="VL69" s="575"/>
      <c r="VM69" s="575"/>
      <c r="VN69" s="575"/>
      <c r="VO69" s="575"/>
      <c r="VP69" s="575"/>
      <c r="VQ69" s="575"/>
      <c r="VR69" s="575"/>
      <c r="VS69" s="575"/>
      <c r="VT69" s="575"/>
      <c r="VU69" s="575"/>
      <c r="VV69" s="575"/>
      <c r="VW69" s="575"/>
      <c r="VX69" s="575"/>
      <c r="VY69" s="575"/>
      <c r="VZ69" s="575"/>
      <c r="WA69" s="575"/>
      <c r="WB69" s="575"/>
      <c r="WC69" s="575"/>
      <c r="WD69" s="575"/>
      <c r="WE69" s="575"/>
      <c r="WF69" s="575"/>
      <c r="WG69" s="575"/>
      <c r="WH69" s="575"/>
      <c r="WI69" s="575"/>
      <c r="WJ69" s="575"/>
      <c r="WK69" s="575"/>
      <c r="WL69" s="575"/>
      <c r="WM69" s="575"/>
      <c r="WN69" s="575"/>
      <c r="WO69" s="575"/>
      <c r="WP69" s="575"/>
      <c r="WQ69" s="575"/>
      <c r="WR69" s="575"/>
      <c r="WS69" s="575"/>
      <c r="WT69" s="575"/>
      <c r="WU69" s="575"/>
      <c r="WV69" s="575"/>
      <c r="WW69" s="575"/>
      <c r="WX69" s="575"/>
      <c r="WY69" s="575"/>
      <c r="WZ69" s="575"/>
      <c r="XA69" s="575"/>
      <c r="XB69" s="575"/>
      <c r="XC69" s="575"/>
      <c r="XD69" s="575"/>
      <c r="XE69" s="575"/>
      <c r="XF69" s="575"/>
      <c r="XG69" s="575"/>
      <c r="XH69" s="575"/>
      <c r="XI69" s="575"/>
      <c r="XJ69" s="575"/>
      <c r="XK69" s="575"/>
      <c r="XL69" s="575"/>
      <c r="XM69" s="575"/>
      <c r="XN69" s="575"/>
      <c r="XO69" s="575"/>
      <c r="XP69" s="575"/>
      <c r="XQ69" s="575"/>
      <c r="XR69" s="575"/>
      <c r="XS69" s="575"/>
      <c r="XT69" s="575"/>
      <c r="XU69" s="575"/>
      <c r="XV69" s="575"/>
      <c r="XW69" s="575"/>
      <c r="XX69" s="575"/>
      <c r="XY69" s="575"/>
      <c r="XZ69" s="575"/>
      <c r="YA69" s="575"/>
      <c r="YB69" s="575"/>
      <c r="YC69" s="575"/>
      <c r="YD69" s="575"/>
      <c r="YE69" s="575"/>
      <c r="YF69" s="575"/>
      <c r="YG69" s="575"/>
      <c r="YH69" s="575"/>
      <c r="YI69" s="575"/>
      <c r="YJ69" s="575"/>
      <c r="YK69" s="575"/>
      <c r="YL69" s="575"/>
      <c r="YM69" s="575"/>
      <c r="YN69" s="575"/>
      <c r="YO69" s="575"/>
      <c r="YP69" s="575"/>
      <c r="YQ69" s="575"/>
      <c r="YR69" s="575"/>
      <c r="YS69" s="575"/>
      <c r="YT69" s="575"/>
      <c r="YU69" s="575"/>
      <c r="YV69" s="575"/>
      <c r="YW69" s="575"/>
      <c r="YX69" s="575"/>
      <c r="YY69" s="575"/>
      <c r="YZ69" s="575"/>
      <c r="ZA69" s="575"/>
      <c r="ZB69" s="575"/>
      <c r="ZC69" s="575"/>
      <c r="ZD69" s="575"/>
      <c r="ZE69" s="575"/>
      <c r="ZF69" s="575"/>
      <c r="ZG69" s="575"/>
      <c r="ZH69" s="575"/>
      <c r="ZI69" s="575"/>
      <c r="ZJ69" s="575"/>
      <c r="ZK69" s="575"/>
      <c r="ZL69" s="575"/>
      <c r="ZM69" s="575"/>
      <c r="ZN69" s="575"/>
      <c r="ZO69" s="575"/>
      <c r="ZP69" s="575"/>
      <c r="ZQ69" s="575"/>
      <c r="ZR69" s="575"/>
      <c r="ZS69" s="575"/>
      <c r="ZT69" s="575"/>
      <c r="ZU69" s="575"/>
      <c r="ZV69" s="575"/>
      <c r="ZW69" s="575"/>
      <c r="ZX69" s="575"/>
      <c r="ZY69" s="575"/>
      <c r="ZZ69" s="575"/>
      <c r="AAA69" s="575"/>
      <c r="AAB69" s="575"/>
      <c r="AAC69" s="575"/>
      <c r="AAD69" s="575"/>
      <c r="AAE69" s="575"/>
      <c r="AAF69" s="575"/>
      <c r="AAG69" s="575"/>
      <c r="AAH69" s="575"/>
      <c r="AAI69" s="575"/>
      <c r="AAJ69" s="575"/>
      <c r="AAK69" s="575"/>
      <c r="AAL69" s="575"/>
      <c r="AAM69" s="575"/>
      <c r="AAN69" s="575"/>
      <c r="AAO69" s="575"/>
      <c r="AAP69" s="575"/>
      <c r="AAQ69" s="575"/>
      <c r="AAR69" s="575"/>
      <c r="AAS69" s="575"/>
      <c r="AAT69" s="575"/>
      <c r="AAU69" s="575"/>
      <c r="AAV69" s="575"/>
      <c r="AAW69" s="575"/>
      <c r="AAX69" s="575"/>
      <c r="AAY69" s="575"/>
      <c r="AAZ69" s="575"/>
      <c r="ABA69" s="575"/>
      <c r="ABB69" s="575"/>
      <c r="ABC69" s="575"/>
      <c r="ABD69" s="575"/>
      <c r="ABE69" s="575"/>
      <c r="ABF69" s="575"/>
      <c r="ABG69" s="575"/>
      <c r="ABH69" s="575"/>
      <c r="ABI69" s="575"/>
      <c r="ABJ69" s="575"/>
      <c r="ABK69" s="575"/>
      <c r="ABL69" s="575"/>
      <c r="ABM69" s="575"/>
      <c r="ABN69" s="575"/>
      <c r="ABO69" s="575"/>
      <c r="ABP69" s="575"/>
      <c r="ABQ69" s="575"/>
      <c r="ABR69" s="575"/>
      <c r="ABS69" s="575"/>
      <c r="ABT69" s="575"/>
      <c r="ABU69" s="575"/>
      <c r="ABV69" s="575"/>
      <c r="ABW69" s="575"/>
      <c r="ABX69" s="575"/>
      <c r="ABY69" s="575"/>
      <c r="ABZ69" s="575"/>
      <c r="ACA69" s="575"/>
      <c r="ACB69" s="575"/>
      <c r="ACC69" s="575"/>
      <c r="ACD69" s="575"/>
      <c r="ACE69" s="575"/>
      <c r="ACF69" s="575"/>
      <c r="ACG69" s="575"/>
      <c r="ACH69" s="575"/>
      <c r="ACI69" s="575"/>
      <c r="ACJ69" s="575"/>
      <c r="ACK69" s="575"/>
      <c r="ACL69" s="575"/>
      <c r="ACM69" s="575"/>
      <c r="ACN69" s="575"/>
      <c r="ACO69" s="575"/>
      <c r="ACP69" s="575"/>
      <c r="ACQ69" s="575"/>
      <c r="ACR69" s="575"/>
      <c r="ACS69" s="575"/>
      <c r="ACT69" s="575"/>
      <c r="ACU69" s="575"/>
      <c r="ACV69" s="575"/>
      <c r="ACW69" s="575"/>
      <c r="ACX69" s="575"/>
      <c r="ACY69" s="575"/>
      <c r="ACZ69" s="575"/>
      <c r="ADA69" s="575"/>
      <c r="ADB69" s="575"/>
      <c r="ADC69" s="575"/>
      <c r="ADD69" s="575"/>
      <c r="ADE69" s="575"/>
      <c r="ADF69" s="575"/>
      <c r="ADG69" s="575"/>
      <c r="ADH69" s="575"/>
      <c r="ADI69" s="575"/>
      <c r="ADJ69" s="575"/>
      <c r="ADK69" s="575"/>
      <c r="ADL69" s="575"/>
      <c r="ADM69" s="575"/>
      <c r="ADN69" s="575"/>
      <c r="ADO69" s="575"/>
      <c r="ADP69" s="575"/>
      <c r="ADQ69" s="575"/>
      <c r="ADR69" s="575"/>
      <c r="ADS69" s="575"/>
      <c r="ADT69" s="575"/>
      <c r="ADU69" s="575"/>
      <c r="ADV69" s="575"/>
      <c r="ADW69" s="575"/>
      <c r="ADX69" s="575"/>
      <c r="ADY69" s="575"/>
      <c r="ADZ69" s="575"/>
      <c r="AEA69" s="575"/>
      <c r="AEB69" s="575"/>
      <c r="AEC69" s="575"/>
      <c r="AED69" s="575"/>
      <c r="AEE69" s="575"/>
      <c r="AEF69" s="575"/>
      <c r="AEG69" s="575"/>
      <c r="AEH69" s="575"/>
      <c r="AEI69" s="575"/>
      <c r="AEJ69" s="575"/>
      <c r="AEK69" s="575"/>
      <c r="AEL69" s="575"/>
      <c r="AEM69" s="575"/>
      <c r="AEN69" s="575"/>
      <c r="AEO69" s="575"/>
      <c r="AEP69" s="575"/>
      <c r="AEQ69" s="575"/>
      <c r="AER69" s="575"/>
      <c r="AES69" s="575"/>
      <c r="AET69" s="575"/>
      <c r="AEU69" s="575"/>
      <c r="AEV69" s="575"/>
      <c r="AEW69" s="575"/>
      <c r="AEX69" s="575"/>
      <c r="AEY69" s="575"/>
      <c r="AEZ69" s="575"/>
      <c r="AFA69" s="575"/>
      <c r="AFB69" s="575"/>
      <c r="AFC69" s="575"/>
      <c r="AFD69" s="575"/>
      <c r="AFE69" s="575"/>
      <c r="AFF69" s="575"/>
      <c r="AFG69" s="575"/>
      <c r="AFH69" s="575"/>
      <c r="AFI69" s="575"/>
      <c r="AFJ69" s="575"/>
      <c r="AFK69" s="575"/>
      <c r="AFL69" s="575"/>
      <c r="AFM69" s="575"/>
      <c r="AFN69" s="575"/>
      <c r="AFO69" s="575"/>
      <c r="AFP69" s="575"/>
      <c r="AFQ69" s="575"/>
      <c r="AFR69" s="575"/>
      <c r="AFS69" s="575"/>
      <c r="AFT69" s="575"/>
      <c r="AFU69" s="575"/>
      <c r="AFV69" s="575"/>
      <c r="AFW69" s="575"/>
      <c r="AFX69" s="575"/>
      <c r="AFY69" s="575"/>
      <c r="AFZ69" s="575"/>
      <c r="AGA69" s="575"/>
      <c r="AGB69" s="575"/>
      <c r="AGC69" s="575"/>
      <c r="AGD69" s="575"/>
      <c r="AGE69" s="575"/>
      <c r="AGF69" s="575"/>
      <c r="AGG69" s="575"/>
      <c r="AGH69" s="575"/>
      <c r="AGI69" s="575"/>
      <c r="AGJ69" s="575"/>
      <c r="AGK69" s="575"/>
      <c r="AGL69" s="575"/>
      <c r="AGM69" s="575"/>
      <c r="AGN69" s="575"/>
      <c r="AGO69" s="575"/>
      <c r="AGP69" s="575"/>
      <c r="AGQ69" s="575"/>
      <c r="AGR69" s="575"/>
      <c r="AGS69" s="575"/>
      <c r="AGT69" s="575"/>
      <c r="AGU69" s="575"/>
      <c r="AGV69" s="575"/>
      <c r="AGW69" s="575"/>
      <c r="AGX69" s="575"/>
      <c r="AGY69" s="575"/>
      <c r="AGZ69" s="575"/>
      <c r="AHA69" s="575"/>
      <c r="AHB69" s="575"/>
      <c r="AHC69" s="575"/>
      <c r="AHD69" s="575"/>
      <c r="AHE69" s="575"/>
      <c r="AHF69" s="575"/>
      <c r="AHG69" s="575"/>
      <c r="AHH69" s="575"/>
      <c r="AHI69" s="575"/>
      <c r="AHJ69" s="575"/>
      <c r="AHK69" s="575"/>
      <c r="AHL69" s="575"/>
      <c r="AHM69" s="575"/>
      <c r="AHN69" s="575"/>
      <c r="AHO69" s="575"/>
      <c r="AHP69" s="575"/>
      <c r="AHQ69" s="575"/>
      <c r="AHR69" s="575"/>
      <c r="AHS69" s="575"/>
      <c r="AHT69" s="575"/>
      <c r="AHU69" s="575"/>
      <c r="AHV69" s="575"/>
      <c r="AHW69" s="575"/>
      <c r="AHX69" s="575"/>
      <c r="AHY69" s="575"/>
      <c r="AHZ69" s="575"/>
      <c r="AIA69" s="575"/>
      <c r="AIB69" s="575"/>
      <c r="AIC69" s="575"/>
      <c r="AID69" s="575"/>
      <c r="AIE69" s="575"/>
      <c r="AIF69" s="575"/>
      <c r="AIG69" s="575"/>
      <c r="AIH69" s="575"/>
      <c r="AII69" s="575"/>
      <c r="AIJ69" s="575"/>
      <c r="AIK69" s="575"/>
      <c r="AIL69" s="575"/>
      <c r="AIM69" s="575"/>
      <c r="AIN69" s="575"/>
      <c r="AIO69" s="575"/>
      <c r="AIP69" s="575"/>
      <c r="AIQ69" s="575"/>
      <c r="AIR69" s="575"/>
      <c r="AIS69" s="575"/>
      <c r="AIT69" s="575"/>
      <c r="AIU69" s="575"/>
      <c r="AIV69" s="575"/>
      <c r="AIW69" s="575"/>
      <c r="AIX69" s="575"/>
      <c r="AIY69" s="575"/>
      <c r="AIZ69" s="575"/>
      <c r="AJA69" s="575"/>
      <c r="AJB69" s="575"/>
      <c r="AJC69" s="575"/>
      <c r="AJD69" s="575"/>
      <c r="AJE69" s="575"/>
      <c r="AJF69" s="575"/>
      <c r="AJG69" s="575"/>
      <c r="AJH69" s="575"/>
      <c r="AJI69" s="575"/>
      <c r="AJJ69" s="575"/>
      <c r="AJK69" s="575"/>
      <c r="AJL69" s="575"/>
      <c r="AJM69" s="575"/>
      <c r="AJN69" s="575"/>
      <c r="AJO69" s="575"/>
      <c r="AJP69" s="575"/>
      <c r="AJQ69" s="575"/>
      <c r="AJR69" s="575"/>
      <c r="AJS69" s="575"/>
      <c r="AJT69" s="575"/>
      <c r="AJU69" s="575"/>
      <c r="AJV69" s="575"/>
      <c r="AJW69" s="575"/>
      <c r="AJX69" s="575"/>
      <c r="AJY69" s="575"/>
      <c r="AJZ69" s="575"/>
      <c r="AKA69" s="575"/>
      <c r="AKB69" s="575"/>
      <c r="AKC69" s="575"/>
      <c r="AKD69" s="575"/>
      <c r="AKE69" s="575"/>
      <c r="AKF69" s="575"/>
      <c r="AKG69" s="575"/>
      <c r="AKH69" s="575"/>
      <c r="AKI69" s="575"/>
      <c r="AKJ69" s="575"/>
      <c r="AKK69" s="575"/>
      <c r="AKL69" s="575"/>
      <c r="AKM69" s="575"/>
      <c r="AKN69" s="575"/>
      <c r="AKO69" s="575"/>
      <c r="AKP69" s="575"/>
      <c r="AKQ69" s="575"/>
      <c r="AKR69" s="575"/>
      <c r="AKS69" s="575"/>
      <c r="AKT69" s="575"/>
      <c r="AKU69" s="575"/>
      <c r="AKV69" s="575"/>
      <c r="AKW69" s="575"/>
      <c r="AKX69" s="575"/>
      <c r="AKY69" s="575"/>
      <c r="AKZ69" s="575"/>
      <c r="ALA69" s="575"/>
      <c r="ALB69" s="575"/>
      <c r="ALC69" s="575"/>
      <c r="ALD69" s="575"/>
      <c r="ALE69" s="575"/>
      <c r="ALF69" s="575"/>
      <c r="ALG69" s="575"/>
      <c r="ALH69" s="575"/>
      <c r="ALI69" s="575"/>
      <c r="ALJ69" s="575"/>
      <c r="ALK69" s="575"/>
      <c r="ALL69" s="575"/>
      <c r="ALM69" s="575"/>
      <c r="ALN69" s="575"/>
      <c r="ALO69" s="575"/>
      <c r="ALP69" s="575"/>
      <c r="ALQ69" s="575"/>
      <c r="ALR69" s="575"/>
      <c r="ALS69" s="575"/>
      <c r="ALT69" s="575"/>
      <c r="ALU69" s="575"/>
      <c r="ALV69" s="575"/>
      <c r="ALW69" s="575"/>
      <c r="ALX69" s="575"/>
      <c r="ALY69" s="575"/>
      <c r="ALZ69" s="575"/>
      <c r="AMA69" s="575"/>
      <c r="AMB69" s="575"/>
      <c r="AMC69" s="575"/>
      <c r="AMD69" s="575"/>
      <c r="AME69" s="575"/>
      <c r="AMF69" s="575"/>
      <c r="AMG69" s="575"/>
      <c r="AMH69" s="575"/>
      <c r="AMI69" s="575"/>
      <c r="AMJ69" s="575"/>
      <c r="AMK69" s="575"/>
      <c r="AML69" s="575"/>
      <c r="AMM69" s="575"/>
      <c r="AMN69" s="575"/>
      <c r="AMO69" s="575"/>
      <c r="AMP69" s="575"/>
      <c r="AMQ69" s="575"/>
      <c r="AMR69" s="575"/>
      <c r="AMS69" s="575"/>
      <c r="AMT69" s="575"/>
      <c r="AMU69" s="575"/>
      <c r="AMV69" s="575"/>
      <c r="AMW69" s="575"/>
      <c r="AMX69" s="575"/>
      <c r="AMY69" s="575"/>
      <c r="AMZ69" s="575"/>
      <c r="ANA69" s="575"/>
      <c r="ANB69" s="575"/>
      <c r="ANC69" s="575"/>
      <c r="AND69" s="575"/>
      <c r="ANE69" s="575"/>
      <c r="ANF69" s="575"/>
      <c r="ANG69" s="575"/>
      <c r="ANH69" s="575"/>
      <c r="ANI69" s="575"/>
      <c r="ANJ69" s="575"/>
      <c r="ANK69" s="575"/>
      <c r="ANL69" s="575"/>
      <c r="ANM69" s="575"/>
      <c r="ANN69" s="575"/>
      <c r="ANO69" s="575"/>
      <c r="ANP69" s="575"/>
      <c r="ANQ69" s="575"/>
      <c r="ANR69" s="575"/>
      <c r="ANS69" s="575"/>
      <c r="ANT69" s="575"/>
      <c r="ANU69" s="575"/>
      <c r="ANV69" s="575"/>
      <c r="ANW69" s="575"/>
      <c r="ANX69" s="575"/>
      <c r="ANY69" s="575"/>
      <c r="ANZ69" s="575"/>
      <c r="AOA69" s="575"/>
      <c r="AOB69" s="575"/>
      <c r="AOC69" s="575"/>
      <c r="AOD69" s="575"/>
      <c r="AOE69" s="575"/>
      <c r="AOF69" s="575"/>
      <c r="AOG69" s="575"/>
      <c r="AOH69" s="575"/>
      <c r="AOI69" s="575"/>
      <c r="AOJ69" s="575"/>
      <c r="AOK69" s="575"/>
      <c r="AOL69" s="575"/>
      <c r="AOM69" s="575"/>
      <c r="AON69" s="575"/>
      <c r="AOO69" s="575"/>
      <c r="AOP69" s="575"/>
      <c r="AOQ69" s="575"/>
      <c r="AOR69" s="575"/>
      <c r="AOS69" s="575"/>
      <c r="AOT69" s="575"/>
      <c r="AOU69" s="575"/>
      <c r="AOV69" s="575"/>
      <c r="AOW69" s="575"/>
      <c r="AOX69" s="575"/>
      <c r="AOY69" s="575"/>
      <c r="AOZ69" s="575"/>
      <c r="APA69" s="575"/>
      <c r="APB69" s="575"/>
      <c r="APC69" s="575"/>
      <c r="APD69" s="575"/>
      <c r="APE69" s="575"/>
      <c r="APF69" s="575"/>
      <c r="APG69" s="575"/>
      <c r="APH69" s="575"/>
      <c r="API69" s="575"/>
      <c r="APJ69" s="575"/>
      <c r="APK69" s="575"/>
      <c r="APL69" s="575"/>
      <c r="APM69" s="575"/>
      <c r="APN69" s="575"/>
      <c r="APO69" s="575"/>
      <c r="APP69" s="575"/>
      <c r="APQ69" s="575"/>
      <c r="APR69" s="575"/>
      <c r="APS69" s="575"/>
      <c r="APT69" s="575"/>
      <c r="APU69" s="575"/>
      <c r="APV69" s="575"/>
      <c r="APW69" s="575"/>
      <c r="APX69" s="575"/>
      <c r="APY69" s="575"/>
      <c r="APZ69" s="575"/>
      <c r="AQA69" s="575"/>
      <c r="AQB69" s="575"/>
      <c r="AQC69" s="575"/>
      <c r="AQD69" s="575"/>
      <c r="AQE69" s="575"/>
      <c r="AQF69" s="575"/>
      <c r="AQG69" s="575"/>
      <c r="AQH69" s="575"/>
      <c r="AQI69" s="575"/>
      <c r="AQJ69" s="575"/>
      <c r="AQK69" s="575"/>
      <c r="AQL69" s="575"/>
      <c r="AQM69" s="575"/>
      <c r="AQN69" s="575"/>
      <c r="AQO69" s="575"/>
      <c r="AQP69" s="575"/>
      <c r="AQQ69" s="575"/>
      <c r="AQR69" s="575"/>
      <c r="AQS69" s="575"/>
      <c r="AQT69" s="575"/>
      <c r="AQU69" s="575"/>
      <c r="AQV69" s="575"/>
      <c r="AQW69" s="575"/>
      <c r="AQX69" s="575"/>
      <c r="AQY69" s="575"/>
      <c r="AQZ69" s="575"/>
      <c r="ARA69" s="575"/>
      <c r="ARB69" s="575"/>
      <c r="ARC69" s="575"/>
      <c r="ARD69" s="575"/>
      <c r="ARE69" s="575"/>
      <c r="ARF69" s="575"/>
      <c r="ARG69" s="575"/>
      <c r="ARH69" s="575"/>
      <c r="ARI69" s="575"/>
      <c r="ARJ69" s="575"/>
      <c r="ARK69" s="575"/>
      <c r="ARL69" s="575"/>
      <c r="ARM69" s="575"/>
      <c r="ARN69" s="575"/>
      <c r="ARO69" s="575"/>
      <c r="ARP69" s="575"/>
      <c r="ARQ69" s="575"/>
      <c r="ARR69" s="575"/>
      <c r="ARS69" s="575"/>
      <c r="ART69" s="575"/>
      <c r="ARU69" s="575"/>
      <c r="ARV69" s="575"/>
      <c r="ARW69" s="575"/>
      <c r="ARX69" s="575"/>
      <c r="ARY69" s="575"/>
      <c r="ARZ69" s="575"/>
      <c r="ASA69" s="575"/>
      <c r="ASB69" s="575"/>
      <c r="ASC69" s="575"/>
      <c r="ASD69" s="575"/>
      <c r="ASE69" s="575"/>
      <c r="ASF69" s="575"/>
      <c r="ASG69" s="575"/>
      <c r="ASH69" s="575"/>
      <c r="ASI69" s="575"/>
      <c r="ASJ69" s="575"/>
      <c r="ASK69" s="575"/>
      <c r="ASL69" s="575"/>
      <c r="ASM69" s="575"/>
      <c r="ASN69" s="575"/>
      <c r="ASO69" s="575"/>
      <c r="ASP69" s="575"/>
      <c r="ASQ69" s="575"/>
      <c r="ASR69" s="575"/>
      <c r="ASS69" s="575"/>
      <c r="AST69" s="575"/>
      <c r="ASU69" s="575"/>
      <c r="ASV69" s="575"/>
      <c r="ASW69" s="575"/>
      <c r="ASX69" s="575"/>
      <c r="ASY69" s="575"/>
      <c r="ASZ69" s="575"/>
      <c r="ATA69" s="575"/>
      <c r="ATB69" s="575"/>
      <c r="ATC69" s="575"/>
      <c r="ATD69" s="575"/>
      <c r="ATE69" s="575"/>
      <c r="ATF69" s="575"/>
      <c r="ATG69" s="575"/>
      <c r="ATH69" s="575"/>
      <c r="ATI69" s="575"/>
      <c r="ATJ69" s="575"/>
      <c r="ATK69" s="575"/>
      <c r="ATL69" s="575"/>
      <c r="ATM69" s="575"/>
      <c r="ATN69" s="575"/>
      <c r="ATO69" s="575"/>
      <c r="ATP69" s="575"/>
      <c r="ATQ69" s="575"/>
      <c r="ATR69" s="575"/>
      <c r="ATS69" s="575"/>
      <c r="ATT69" s="575"/>
      <c r="ATU69" s="575"/>
      <c r="ATV69" s="575"/>
      <c r="ATW69" s="575"/>
      <c r="ATX69" s="575"/>
      <c r="ATY69" s="575"/>
      <c r="ATZ69" s="575"/>
      <c r="AUA69" s="575"/>
      <c r="AUB69" s="575"/>
      <c r="AUC69" s="575"/>
      <c r="AUD69" s="575"/>
      <c r="AUE69" s="575"/>
      <c r="AUF69" s="575"/>
      <c r="AUG69" s="575"/>
      <c r="AUH69" s="575"/>
      <c r="AUI69" s="575"/>
      <c r="AUJ69" s="575"/>
      <c r="AUK69" s="575"/>
      <c r="AUL69" s="575"/>
      <c r="AUM69" s="575"/>
      <c r="AUN69" s="575"/>
      <c r="AUO69" s="575"/>
      <c r="AUP69" s="575"/>
      <c r="AUQ69" s="575"/>
      <c r="AUR69" s="575"/>
      <c r="AUS69" s="575"/>
      <c r="AUT69" s="575"/>
      <c r="AUU69" s="575"/>
      <c r="AUV69" s="575"/>
      <c r="AUW69" s="575"/>
      <c r="AUX69" s="575"/>
      <c r="AUY69" s="575"/>
      <c r="AUZ69" s="575"/>
      <c r="AVA69" s="575"/>
      <c r="AVB69" s="575"/>
      <c r="AVC69" s="575"/>
      <c r="AVD69" s="575"/>
      <c r="AVE69" s="575"/>
      <c r="AVF69" s="575"/>
      <c r="AVG69" s="575"/>
      <c r="AVH69" s="575"/>
      <c r="AVI69" s="575"/>
      <c r="AVJ69" s="575"/>
      <c r="AVK69" s="575"/>
      <c r="AVL69" s="575"/>
      <c r="AVM69" s="575"/>
      <c r="AVN69" s="575"/>
      <c r="AVO69" s="575"/>
      <c r="AVP69" s="575"/>
      <c r="AVQ69" s="575"/>
      <c r="AVR69" s="575"/>
      <c r="AVS69" s="575"/>
      <c r="AVT69" s="575"/>
      <c r="AVU69" s="575"/>
      <c r="AVV69" s="575"/>
      <c r="AVW69" s="575"/>
      <c r="AVX69" s="575"/>
      <c r="AVY69" s="575"/>
      <c r="AVZ69" s="575"/>
      <c r="AWA69" s="575"/>
      <c r="AWB69" s="575"/>
      <c r="AWC69" s="575"/>
      <c r="AWD69" s="575"/>
      <c r="AWE69" s="575"/>
      <c r="AWF69" s="575"/>
      <c r="AWG69" s="575"/>
      <c r="AWH69" s="575"/>
      <c r="AWI69" s="575"/>
      <c r="AWJ69" s="575"/>
      <c r="AWK69" s="575"/>
      <c r="AWL69" s="575"/>
      <c r="AWM69" s="575"/>
      <c r="AWN69" s="575"/>
      <c r="AWO69" s="575"/>
      <c r="AWP69" s="575"/>
      <c r="AWQ69" s="575"/>
      <c r="AWR69" s="575"/>
      <c r="AWS69" s="575"/>
      <c r="AWT69" s="575"/>
      <c r="AWU69" s="575"/>
      <c r="AWV69" s="575"/>
      <c r="AWW69" s="575"/>
      <c r="AWX69" s="575"/>
      <c r="AWY69" s="575"/>
      <c r="AWZ69" s="575"/>
      <c r="AXA69" s="575"/>
      <c r="AXB69" s="575"/>
      <c r="AXC69" s="575"/>
      <c r="AXD69" s="575"/>
      <c r="AXE69" s="575"/>
      <c r="AXF69" s="575"/>
      <c r="AXG69" s="575"/>
      <c r="AXH69" s="575"/>
      <c r="AXI69" s="575"/>
      <c r="AXJ69" s="575"/>
      <c r="AXK69" s="575"/>
      <c r="AXL69" s="575"/>
      <c r="AXM69" s="575"/>
      <c r="AXN69" s="575"/>
      <c r="AXO69" s="575"/>
      <c r="AXP69" s="575"/>
      <c r="AXQ69" s="575"/>
      <c r="AXR69" s="575"/>
      <c r="AXS69" s="575"/>
      <c r="AXT69" s="575"/>
      <c r="AXU69" s="575"/>
      <c r="AXV69" s="575"/>
      <c r="AXW69" s="575"/>
      <c r="AXX69" s="575"/>
      <c r="AXY69" s="575"/>
      <c r="AXZ69" s="575"/>
      <c r="AYA69" s="575"/>
      <c r="AYB69" s="575"/>
      <c r="AYC69" s="575"/>
      <c r="AYD69" s="575"/>
      <c r="AYE69" s="575"/>
      <c r="AYF69" s="575"/>
      <c r="AYG69" s="575"/>
      <c r="AYH69" s="575"/>
      <c r="AYI69" s="575"/>
      <c r="AYJ69" s="575"/>
      <c r="AYK69" s="575"/>
      <c r="AYL69" s="575"/>
      <c r="AYM69" s="575"/>
      <c r="AYN69" s="575"/>
      <c r="AYO69" s="575"/>
      <c r="AYP69" s="575"/>
      <c r="AYQ69" s="575"/>
      <c r="AYR69" s="575"/>
      <c r="AYS69" s="575"/>
      <c r="AYT69" s="575"/>
      <c r="AYU69" s="575"/>
      <c r="AYV69" s="575"/>
      <c r="AYW69" s="575"/>
      <c r="AYX69" s="575"/>
      <c r="AYY69" s="575"/>
      <c r="AYZ69" s="575"/>
      <c r="AZA69" s="575"/>
      <c r="AZB69" s="575"/>
      <c r="AZC69" s="575"/>
      <c r="AZD69" s="575"/>
      <c r="AZE69" s="575"/>
      <c r="AZF69" s="575"/>
      <c r="AZG69" s="575"/>
      <c r="AZH69" s="575"/>
      <c r="AZI69" s="575"/>
      <c r="AZJ69" s="575"/>
      <c r="AZK69" s="575"/>
      <c r="AZL69" s="575"/>
      <c r="AZM69" s="575"/>
      <c r="AZN69" s="575"/>
      <c r="AZO69" s="575"/>
      <c r="AZP69" s="575"/>
      <c r="AZQ69" s="575"/>
      <c r="AZR69" s="575"/>
      <c r="AZS69" s="575"/>
      <c r="AZT69" s="575"/>
      <c r="AZU69" s="575"/>
      <c r="AZV69" s="575"/>
      <c r="AZW69" s="575"/>
      <c r="AZX69" s="575"/>
      <c r="AZY69" s="575"/>
      <c r="AZZ69" s="575"/>
      <c r="BAA69" s="575"/>
      <c r="BAB69" s="575"/>
      <c r="BAC69" s="575"/>
      <c r="BAD69" s="575"/>
      <c r="BAE69" s="575"/>
      <c r="BAF69" s="575"/>
      <c r="BAG69" s="575"/>
      <c r="BAH69" s="575"/>
      <c r="BAI69" s="575"/>
      <c r="BAJ69" s="575"/>
      <c r="BAK69" s="575"/>
      <c r="BAL69" s="575"/>
      <c r="BAM69" s="575"/>
      <c r="BAN69" s="575"/>
      <c r="BAO69" s="575"/>
      <c r="BAP69" s="575"/>
      <c r="BAQ69" s="575"/>
      <c r="BAR69" s="575"/>
      <c r="BAS69" s="575"/>
      <c r="BAT69" s="575"/>
      <c r="BAU69" s="575"/>
      <c r="BAV69" s="575"/>
      <c r="BAW69" s="575"/>
      <c r="BAX69" s="575"/>
      <c r="BAY69" s="575"/>
      <c r="BAZ69" s="575"/>
      <c r="BBA69" s="575"/>
      <c r="BBB69" s="575"/>
      <c r="BBC69" s="575"/>
      <c r="BBD69" s="575"/>
      <c r="BBE69" s="575"/>
      <c r="BBF69" s="575"/>
      <c r="BBG69" s="575"/>
      <c r="BBH69" s="575"/>
      <c r="BBI69" s="575"/>
      <c r="BBJ69" s="575"/>
      <c r="BBK69" s="575"/>
      <c r="BBL69" s="575"/>
      <c r="BBM69" s="575"/>
      <c r="BBN69" s="575"/>
      <c r="BBO69" s="575"/>
      <c r="BBP69" s="575"/>
      <c r="BBQ69" s="575"/>
      <c r="BBR69" s="575"/>
      <c r="BBS69" s="575"/>
      <c r="BBT69" s="575"/>
      <c r="BBU69" s="575"/>
      <c r="BBV69" s="575"/>
      <c r="BBW69" s="575"/>
      <c r="BBX69" s="575"/>
      <c r="BBY69" s="575"/>
      <c r="BBZ69" s="575"/>
      <c r="BCA69" s="575"/>
      <c r="BCB69" s="575"/>
      <c r="BCC69" s="575"/>
      <c r="BCD69" s="575"/>
      <c r="BCE69" s="575"/>
      <c r="BCF69" s="575"/>
      <c r="BCG69" s="575"/>
      <c r="BCH69" s="575"/>
      <c r="BCI69" s="575"/>
      <c r="BCJ69" s="575"/>
      <c r="BCK69" s="575"/>
      <c r="BCL69" s="575"/>
      <c r="BCM69" s="575"/>
      <c r="BCN69" s="575"/>
      <c r="BCO69" s="575"/>
      <c r="BCP69" s="575"/>
      <c r="BCQ69" s="575"/>
      <c r="BCR69" s="575"/>
      <c r="BCS69" s="575"/>
      <c r="BCT69" s="575"/>
      <c r="BCU69" s="575"/>
      <c r="BCV69" s="575"/>
      <c r="BCW69" s="575"/>
      <c r="BCX69" s="575"/>
      <c r="BCY69" s="575"/>
      <c r="BCZ69" s="575"/>
      <c r="BDA69" s="575"/>
      <c r="BDB69" s="575"/>
      <c r="BDC69" s="575"/>
      <c r="BDD69" s="575"/>
      <c r="BDE69" s="575"/>
      <c r="BDF69" s="575"/>
      <c r="BDG69" s="575"/>
      <c r="BDH69" s="575"/>
      <c r="BDI69" s="575"/>
      <c r="BDJ69" s="575"/>
      <c r="BDK69" s="575"/>
      <c r="BDL69" s="575"/>
      <c r="BDM69" s="575"/>
      <c r="BDN69" s="575"/>
      <c r="BDO69" s="575"/>
      <c r="BDP69" s="575"/>
      <c r="BDQ69" s="575"/>
      <c r="BDR69" s="575"/>
      <c r="BDS69" s="575"/>
      <c r="BDT69" s="575"/>
    </row>
    <row r="70" spans="1:1476" x14ac:dyDescent="0.25">
      <c r="A70" s="608">
        <v>5514</v>
      </c>
      <c r="B70" s="609" t="s">
        <v>159</v>
      </c>
      <c r="C70" s="610">
        <v>2515897.5499999998</v>
      </c>
      <c r="D70" s="610">
        <v>456260.46</v>
      </c>
      <c r="E70" s="610"/>
      <c r="F70" s="611"/>
      <c r="G70" s="610">
        <v>44169.1</v>
      </c>
      <c r="H70" s="610">
        <v>5994.6</v>
      </c>
      <c r="I70" s="610">
        <v>39675.800000000003</v>
      </c>
      <c r="J70" s="610">
        <v>50641.21</v>
      </c>
      <c r="K70" s="610">
        <v>10408</v>
      </c>
      <c r="L70" s="610">
        <v>243450.5</v>
      </c>
      <c r="M70" s="434">
        <f t="shared" si="0"/>
        <v>3366497.2199999997</v>
      </c>
      <c r="N70" s="612">
        <v>9237.1</v>
      </c>
      <c r="O70" s="612">
        <v>5803.3</v>
      </c>
      <c r="P70" s="612">
        <v>96776.95</v>
      </c>
      <c r="Q70" s="612">
        <v>44751.07</v>
      </c>
      <c r="R70" s="612">
        <v>98130.85</v>
      </c>
      <c r="S70" s="610">
        <v>5242.3599999999997</v>
      </c>
      <c r="T70" s="543">
        <f t="shared" si="1"/>
        <v>3626438.8499999996</v>
      </c>
      <c r="U70" s="575">
        <v>-99760.77</v>
      </c>
      <c r="V70" s="612"/>
      <c r="W70" s="612">
        <v>-2592.8000000000002</v>
      </c>
      <c r="X70" s="624">
        <v>72.5</v>
      </c>
      <c r="Y70" s="631">
        <v>1</v>
      </c>
      <c r="Z70" s="628">
        <f>VLOOKUP(A70,'[2]2022 toutes communes'!$B$9:$D$317,3,FALSE)</f>
        <v>1356</v>
      </c>
      <c r="AA70" s="617"/>
      <c r="AB70" s="618">
        <v>77967</v>
      </c>
      <c r="AC70" s="547">
        <f>AB70/VPI!R70</f>
        <v>1.7056046154856095</v>
      </c>
      <c r="AD70" s="548">
        <f t="shared" si="2"/>
        <v>127806</v>
      </c>
      <c r="AE70" s="547">
        <f>AD70/VPI!R70</f>
        <v>2.7958816356503879</v>
      </c>
      <c r="AF70" s="618">
        <v>205773</v>
      </c>
      <c r="AG70" s="618">
        <v>78892</v>
      </c>
      <c r="AH70" s="618">
        <v>119497</v>
      </c>
      <c r="AI70" s="627"/>
      <c r="AJ70" s="628">
        <v>0</v>
      </c>
      <c r="AK70" s="547">
        <f>AJ70/VPI!R70</f>
        <v>0</v>
      </c>
      <c r="AL70" s="548">
        <f t="shared" si="3"/>
        <v>63754</v>
      </c>
      <c r="AM70" s="547">
        <f>AL70/VPI!R70</f>
        <v>1.3946812966469089</v>
      </c>
      <c r="AN70" s="628">
        <v>63754</v>
      </c>
      <c r="AO70" s="627"/>
      <c r="AP70" s="629">
        <v>15.032658227157945</v>
      </c>
      <c r="AR70" s="630">
        <v>0</v>
      </c>
    </row>
    <row r="71" spans="1:1476" x14ac:dyDescent="0.25">
      <c r="A71" s="608">
        <v>5515</v>
      </c>
      <c r="B71" s="609" t="s">
        <v>160</v>
      </c>
      <c r="C71" s="610">
        <v>1812020.93</v>
      </c>
      <c r="D71" s="610">
        <v>211427.83</v>
      </c>
      <c r="E71" s="610"/>
      <c r="F71" s="611"/>
      <c r="G71" s="610">
        <v>36426.949999999997</v>
      </c>
      <c r="H71" s="610">
        <v>6779.75</v>
      </c>
      <c r="I71" s="610"/>
      <c r="J71" s="610">
        <v>48242.97</v>
      </c>
      <c r="K71" s="610">
        <v>18378.05</v>
      </c>
      <c r="L71" s="610">
        <v>191561.15</v>
      </c>
      <c r="M71" s="434">
        <f t="shared" ref="M71:M134" si="4">SUM(C71:L71)</f>
        <v>2324837.63</v>
      </c>
      <c r="N71" s="612">
        <v>7362.9</v>
      </c>
      <c r="O71" s="612">
        <v>0</v>
      </c>
      <c r="P71" s="612">
        <v>56420.85</v>
      </c>
      <c r="Q71" s="612">
        <v>714.06</v>
      </c>
      <c r="R71" s="612">
        <v>34955.300000000003</v>
      </c>
      <c r="S71" s="610">
        <v>4515.32</v>
      </c>
      <c r="T71" s="543">
        <f t="shared" ref="T71:T134" si="5">SUM(M71:S71)</f>
        <v>2428806.0599999996</v>
      </c>
      <c r="U71" s="575">
        <v>-45438.68</v>
      </c>
      <c r="V71" s="612"/>
      <c r="W71" s="612">
        <v>-375.25</v>
      </c>
      <c r="X71" s="624">
        <v>78</v>
      </c>
      <c r="Y71" s="631">
        <v>1</v>
      </c>
      <c r="Z71" s="628">
        <f>VLOOKUP(A71,'[2]2022 toutes communes'!$B$9:$D$317,3,FALSE)</f>
        <v>878</v>
      </c>
      <c r="AA71" s="617"/>
      <c r="AB71" s="618">
        <v>49556</v>
      </c>
      <c r="AC71" s="547">
        <f>AB71/VPI!R71</f>
        <v>1.6921802727743285</v>
      </c>
      <c r="AD71" s="548">
        <f t="shared" ref="AD71:AD134" si="6">AF71-AB71</f>
        <v>123034</v>
      </c>
      <c r="AE71" s="547">
        <f>AD71/VPI!R71</f>
        <v>4.201220996055306</v>
      </c>
      <c r="AF71" s="618">
        <v>172590</v>
      </c>
      <c r="AG71" s="618">
        <v>51277</v>
      </c>
      <c r="AH71" s="618">
        <v>68860</v>
      </c>
      <c r="AI71" s="627"/>
      <c r="AJ71" s="628">
        <v>0</v>
      </c>
      <c r="AK71" s="547">
        <f>AJ71/VPI!R71</f>
        <v>0</v>
      </c>
      <c r="AL71" s="548">
        <f t="shared" ref="AL71:AL134" si="7">AN71-AJ71</f>
        <v>9480</v>
      </c>
      <c r="AM71" s="547">
        <f>AL71/VPI!R71</f>
        <v>0.323711941760849</v>
      </c>
      <c r="AN71" s="628">
        <v>9480</v>
      </c>
      <c r="AO71" s="627"/>
      <c r="AP71" s="629">
        <v>19.690211553532638</v>
      </c>
      <c r="AR71" s="630">
        <v>0</v>
      </c>
    </row>
    <row r="72" spans="1:1476" x14ac:dyDescent="0.25">
      <c r="A72" s="608">
        <v>5516</v>
      </c>
      <c r="B72" s="609" t="s">
        <v>161</v>
      </c>
      <c r="C72" s="610">
        <v>6293902.0599999996</v>
      </c>
      <c r="D72" s="610">
        <v>1064178.49</v>
      </c>
      <c r="E72" s="610"/>
      <c r="F72" s="611"/>
      <c r="G72" s="610">
        <v>340872.9</v>
      </c>
      <c r="H72" s="610">
        <v>8328.25</v>
      </c>
      <c r="I72" s="610">
        <v>41701.050000000003</v>
      </c>
      <c r="J72" s="610">
        <v>92087.85</v>
      </c>
      <c r="K72" s="610">
        <v>42955.5</v>
      </c>
      <c r="L72" s="610">
        <v>726633.2</v>
      </c>
      <c r="M72" s="434">
        <f t="shared" si="4"/>
        <v>8610659.2999999989</v>
      </c>
      <c r="N72" s="612">
        <v>89061.8</v>
      </c>
      <c r="O72" s="612">
        <v>0</v>
      </c>
      <c r="P72" s="612">
        <v>265151.34999999998</v>
      </c>
      <c r="Q72" s="612">
        <v>107200.72</v>
      </c>
      <c r="R72" s="612">
        <v>298985.05</v>
      </c>
      <c r="S72" s="610">
        <v>36493.31</v>
      </c>
      <c r="T72" s="543">
        <f t="shared" si="5"/>
        <v>9407551.5300000012</v>
      </c>
      <c r="U72" s="575">
        <v>-248047.03</v>
      </c>
      <c r="V72" s="612"/>
      <c r="W72" s="612">
        <v>-3141.95</v>
      </c>
      <c r="X72" s="624">
        <v>76</v>
      </c>
      <c r="Y72" s="631">
        <v>1.2</v>
      </c>
      <c r="Z72" s="628">
        <f>VLOOKUP(A72,'[2]2022 toutes communes'!$B$9:$D$317,3,FALSE)</f>
        <v>2697</v>
      </c>
      <c r="AA72" s="617"/>
      <c r="AB72" s="618">
        <v>374504</v>
      </c>
      <c r="AC72" s="547">
        <f>AB72/VPI!R72</f>
        <v>3.3956220807477875</v>
      </c>
      <c r="AD72" s="548">
        <f t="shared" si="6"/>
        <v>403734</v>
      </c>
      <c r="AE72" s="547">
        <f>AD72/VPI!R72</f>
        <v>3.6606500468583172</v>
      </c>
      <c r="AF72" s="618">
        <v>778238</v>
      </c>
      <c r="AG72" s="618">
        <v>158889</v>
      </c>
      <c r="AH72" s="618">
        <v>199042</v>
      </c>
      <c r="AI72" s="627"/>
      <c r="AJ72" s="628">
        <v>0</v>
      </c>
      <c r="AK72" s="547">
        <f>AJ72/VPI!R72</f>
        <v>0</v>
      </c>
      <c r="AL72" s="548">
        <f t="shared" si="7"/>
        <v>15284</v>
      </c>
      <c r="AM72" s="547">
        <f>AL72/VPI!R72</f>
        <v>0.1385797958957693</v>
      </c>
      <c r="AN72" s="628">
        <v>15284</v>
      </c>
      <c r="AO72" s="627"/>
      <c r="AP72" s="629">
        <v>19.815285731739312</v>
      </c>
      <c r="AR72" s="630">
        <v>0</v>
      </c>
    </row>
    <row r="73" spans="1:1476" ht="15.75" customHeight="1" x14ac:dyDescent="0.25">
      <c r="A73" s="608">
        <v>5518</v>
      </c>
      <c r="B73" s="609" t="s">
        <v>162</v>
      </c>
      <c r="C73" s="610">
        <v>10380985.800000001</v>
      </c>
      <c r="D73" s="610">
        <v>1411496.84</v>
      </c>
      <c r="E73" s="610"/>
      <c r="F73" s="611"/>
      <c r="G73" s="610">
        <v>734442.25</v>
      </c>
      <c r="H73" s="610">
        <v>97217</v>
      </c>
      <c r="I73" s="610"/>
      <c r="J73" s="610">
        <v>209139.8</v>
      </c>
      <c r="K73" s="610">
        <v>107328.85</v>
      </c>
      <c r="L73" s="610">
        <v>1108359.7</v>
      </c>
      <c r="M73" s="434">
        <f t="shared" si="4"/>
        <v>14048970.24</v>
      </c>
      <c r="N73" s="612">
        <v>223921.4</v>
      </c>
      <c r="O73" s="612">
        <v>186646.9</v>
      </c>
      <c r="P73" s="612">
        <v>399944.1</v>
      </c>
      <c r="Q73" s="612">
        <v>75108.47</v>
      </c>
      <c r="R73" s="612">
        <v>522775.9</v>
      </c>
      <c r="S73" s="610">
        <v>86912.66</v>
      </c>
      <c r="T73" s="543">
        <f t="shared" si="5"/>
        <v>15544279.670000002</v>
      </c>
      <c r="U73" s="575">
        <v>-197320.75</v>
      </c>
      <c r="V73" s="612"/>
      <c r="W73" s="612">
        <v>-704.84</v>
      </c>
      <c r="X73" s="624">
        <v>72.5</v>
      </c>
      <c r="Y73" s="631">
        <v>1</v>
      </c>
      <c r="Z73" s="628">
        <f>VLOOKUP(A73,'[2]2022 toutes communes'!$B$9:$D$317,3,FALSE)</f>
        <v>5816</v>
      </c>
      <c r="AA73" s="617"/>
      <c r="AB73" s="618">
        <v>1084281</v>
      </c>
      <c r="AC73" s="547">
        <f>AB73/VPI!R73</f>
        <v>5.6098311902107563</v>
      </c>
      <c r="AD73" s="548">
        <f t="shared" si="6"/>
        <v>1322545</v>
      </c>
      <c r="AE73" s="547">
        <f>AD73/VPI!R73</f>
        <v>6.8425566725390228</v>
      </c>
      <c r="AF73" s="618">
        <v>2406826</v>
      </c>
      <c r="AG73" s="618">
        <v>556081</v>
      </c>
      <c r="AH73" s="618">
        <v>505376</v>
      </c>
      <c r="AI73" s="627"/>
      <c r="AJ73" s="628">
        <v>0</v>
      </c>
      <c r="AK73" s="547">
        <f>AJ73/VPI!R73</f>
        <v>0</v>
      </c>
      <c r="AL73" s="548">
        <f t="shared" si="7"/>
        <v>91227</v>
      </c>
      <c r="AM73" s="547">
        <f>AL73/VPI!R73</f>
        <v>0.47198841443256556</v>
      </c>
      <c r="AN73" s="628">
        <v>91227</v>
      </c>
      <c r="AO73" s="627"/>
      <c r="AP73" s="629">
        <v>7.6237055488769103</v>
      </c>
      <c r="AR73" s="630">
        <v>0</v>
      </c>
    </row>
    <row r="74" spans="1:1476" x14ac:dyDescent="0.25">
      <c r="A74" s="608">
        <v>5520</v>
      </c>
      <c r="B74" s="609" t="s">
        <v>163</v>
      </c>
      <c r="C74" s="610">
        <v>1848454.5</v>
      </c>
      <c r="D74" s="610">
        <v>233747.6</v>
      </c>
      <c r="E74" s="610"/>
      <c r="F74" s="611"/>
      <c r="G74" s="610">
        <v>33424.25</v>
      </c>
      <c r="H74" s="610">
        <v>2807.55</v>
      </c>
      <c r="I74" s="610"/>
      <c r="J74" s="610">
        <v>17394.52</v>
      </c>
      <c r="K74" s="610">
        <v>5711.65</v>
      </c>
      <c r="L74" s="610">
        <v>199587.5</v>
      </c>
      <c r="M74" s="434">
        <f t="shared" si="4"/>
        <v>2341127.5699999998</v>
      </c>
      <c r="N74" s="612">
        <v>7550.95</v>
      </c>
      <c r="O74" s="612">
        <v>652.4</v>
      </c>
      <c r="P74" s="612">
        <v>127924.3</v>
      </c>
      <c r="Q74" s="612">
        <v>4515.1499999999996</v>
      </c>
      <c r="R74" s="612">
        <v>127684.95</v>
      </c>
      <c r="S74" s="610">
        <v>3786.41</v>
      </c>
      <c r="T74" s="543">
        <f t="shared" si="5"/>
        <v>2613241.73</v>
      </c>
      <c r="U74" s="575">
        <v>-23804.41</v>
      </c>
      <c r="V74" s="612"/>
      <c r="W74" s="612">
        <v>-394.06</v>
      </c>
      <c r="X74" s="624">
        <v>74</v>
      </c>
      <c r="Y74" s="631">
        <v>1</v>
      </c>
      <c r="Z74" s="628">
        <f>VLOOKUP(A74,'[2]2022 toutes communes'!$B$9:$D$317,3,FALSE)</f>
        <v>1081</v>
      </c>
      <c r="AA74" s="617"/>
      <c r="AB74" s="618">
        <v>89847</v>
      </c>
      <c r="AC74" s="547">
        <f>AB74/VPI!R74</f>
        <v>2.8593627782286339</v>
      </c>
      <c r="AD74" s="548">
        <f t="shared" si="6"/>
        <v>464084</v>
      </c>
      <c r="AE74" s="547">
        <f>AD74/VPI!R74</f>
        <v>14.76938034181951</v>
      </c>
      <c r="AF74" s="618">
        <v>553931</v>
      </c>
      <c r="AG74" s="618">
        <v>75913</v>
      </c>
      <c r="AH74" s="618">
        <v>93256</v>
      </c>
      <c r="AI74" s="627"/>
      <c r="AJ74" s="628">
        <v>0</v>
      </c>
      <c r="AK74" s="547">
        <f>AJ74/VPI!R74</f>
        <v>0</v>
      </c>
      <c r="AL74" s="548">
        <f t="shared" si="7"/>
        <v>85517</v>
      </c>
      <c r="AM74" s="547">
        <f>AL74/VPI!R74</f>
        <v>2.7215613955477433</v>
      </c>
      <c r="AN74" s="628">
        <v>85517</v>
      </c>
      <c r="AO74" s="627"/>
      <c r="AP74" s="629">
        <v>13.139756819314398</v>
      </c>
      <c r="AR74" s="630">
        <v>0</v>
      </c>
    </row>
    <row r="75" spans="1:1476" x14ac:dyDescent="0.25">
      <c r="A75" s="608">
        <v>5521</v>
      </c>
      <c r="B75" s="609" t="s">
        <v>164</v>
      </c>
      <c r="C75" s="610">
        <v>2578050.91</v>
      </c>
      <c r="D75" s="610">
        <v>281848.78000000003</v>
      </c>
      <c r="E75" s="610"/>
      <c r="F75" s="611"/>
      <c r="G75" s="610">
        <v>222871.25</v>
      </c>
      <c r="H75" s="610">
        <v>5129.8500000000004</v>
      </c>
      <c r="I75" s="610"/>
      <c r="J75" s="610">
        <v>75719.17</v>
      </c>
      <c r="K75" s="610">
        <v>23854.75</v>
      </c>
      <c r="L75" s="610">
        <v>274534.45</v>
      </c>
      <c r="M75" s="434">
        <f t="shared" si="4"/>
        <v>3462009.1600000006</v>
      </c>
      <c r="N75" s="612">
        <v>100109.65</v>
      </c>
      <c r="O75" s="612">
        <v>556775.6</v>
      </c>
      <c r="P75" s="612">
        <v>100106.8</v>
      </c>
      <c r="Q75" s="612">
        <v>5667.65</v>
      </c>
      <c r="R75" s="612">
        <v>23724.1</v>
      </c>
      <c r="S75" s="610">
        <v>23827.29</v>
      </c>
      <c r="T75" s="543">
        <f t="shared" si="5"/>
        <v>4272220.2500000009</v>
      </c>
      <c r="U75" s="575">
        <v>-46449.57</v>
      </c>
      <c r="V75" s="612"/>
      <c r="W75" s="612">
        <v>-208.92</v>
      </c>
      <c r="X75" s="624">
        <v>73</v>
      </c>
      <c r="Y75" s="631">
        <v>1</v>
      </c>
      <c r="Z75" s="628">
        <f>VLOOKUP(A75,'[2]2022 toutes communes'!$B$9:$D$317,3,FALSE)</f>
        <v>1154</v>
      </c>
      <c r="AA75" s="617"/>
      <c r="AB75" s="618">
        <v>61270</v>
      </c>
      <c r="AC75" s="547">
        <f>AB75/VPI!R75</f>
        <v>1.2983774910016936</v>
      </c>
      <c r="AD75" s="548">
        <f t="shared" si="6"/>
        <v>191192</v>
      </c>
      <c r="AE75" s="547">
        <f>AD75/VPI!R75</f>
        <v>4.0515650279026572</v>
      </c>
      <c r="AF75" s="618">
        <v>252462</v>
      </c>
      <c r="AG75" s="618">
        <v>111236</v>
      </c>
      <c r="AH75" s="618">
        <v>101093</v>
      </c>
      <c r="AI75" s="627"/>
      <c r="AJ75" s="628">
        <v>0</v>
      </c>
      <c r="AK75" s="547">
        <f>AJ75/VPI!R75</f>
        <v>0</v>
      </c>
      <c r="AL75" s="548">
        <f t="shared" si="7"/>
        <v>-1717</v>
      </c>
      <c r="AM75" s="547">
        <f>AL75/VPI!R75</f>
        <v>-3.6385084903703409E-2</v>
      </c>
      <c r="AN75" s="636">
        <v>-1717</v>
      </c>
      <c r="AO75" s="627"/>
      <c r="AP75" s="629">
        <v>20.27288571863814</v>
      </c>
      <c r="AR75" s="630">
        <v>0</v>
      </c>
    </row>
    <row r="76" spans="1:1476" x14ac:dyDescent="0.25">
      <c r="A76" s="608">
        <v>5522</v>
      </c>
      <c r="B76" s="609" t="s">
        <v>165</v>
      </c>
      <c r="C76" s="610">
        <v>1358227.02</v>
      </c>
      <c r="D76" s="610">
        <v>222633.64</v>
      </c>
      <c r="E76" s="610"/>
      <c r="F76" s="611"/>
      <c r="G76" s="610">
        <v>67650.399999999994</v>
      </c>
      <c r="H76" s="610">
        <v>639.6</v>
      </c>
      <c r="I76" s="610"/>
      <c r="J76" s="610">
        <v>12468.42</v>
      </c>
      <c r="K76" s="610">
        <v>3563</v>
      </c>
      <c r="L76" s="610">
        <v>144507.85</v>
      </c>
      <c r="M76" s="434">
        <f t="shared" si="4"/>
        <v>1809689.9300000002</v>
      </c>
      <c r="N76" s="612">
        <v>4142.45</v>
      </c>
      <c r="O76" s="612"/>
      <c r="P76" s="612">
        <v>95019.55</v>
      </c>
      <c r="Q76" s="612">
        <v>10907.69</v>
      </c>
      <c r="R76" s="612">
        <v>49763.6</v>
      </c>
      <c r="S76" s="610">
        <v>7136.66</v>
      </c>
      <c r="T76" s="543">
        <f t="shared" si="5"/>
        <v>1976659.8800000001</v>
      </c>
      <c r="U76" s="575">
        <v>-14772.78</v>
      </c>
      <c r="V76" s="612"/>
      <c r="W76" s="612">
        <v>-26.72</v>
      </c>
      <c r="X76" s="624">
        <v>75</v>
      </c>
      <c r="Y76" s="631">
        <v>1</v>
      </c>
      <c r="Z76" s="628">
        <f>VLOOKUP(A76,'[2]2022 toutes communes'!$B$9:$D$317,3,FALSE)</f>
        <v>736</v>
      </c>
      <c r="AA76" s="617"/>
      <c r="AB76" s="618">
        <v>1456</v>
      </c>
      <c r="AC76" s="547">
        <f>AB76/VPI!R76</f>
        <v>6.0233827054716221E-2</v>
      </c>
      <c r="AD76" s="548">
        <f t="shared" si="6"/>
        <v>224133</v>
      </c>
      <c r="AE76" s="547">
        <f>AD76/VPI!R76</f>
        <v>9.2722447522353786</v>
      </c>
      <c r="AF76" s="618">
        <v>225589</v>
      </c>
      <c r="AG76" s="618">
        <v>73059</v>
      </c>
      <c r="AH76" s="618">
        <v>66397</v>
      </c>
      <c r="AI76" s="627"/>
      <c r="AJ76" s="628">
        <v>0</v>
      </c>
      <c r="AK76" s="547">
        <f>AJ76/VPI!R76</f>
        <v>0</v>
      </c>
      <c r="AL76" s="548">
        <f t="shared" si="7"/>
        <v>22928</v>
      </c>
      <c r="AM76" s="547">
        <f>AL76/VPI!R76</f>
        <v>0.94851729856492684</v>
      </c>
      <c r="AN76" s="628">
        <v>22928</v>
      </c>
      <c r="AO76" s="627"/>
      <c r="AP76" s="629">
        <v>15.124400217210432</v>
      </c>
      <c r="AR76" s="630">
        <v>0</v>
      </c>
    </row>
    <row r="77" spans="1:1476" s="632" customFormat="1" x14ac:dyDescent="0.25">
      <c r="A77" s="608">
        <v>5523</v>
      </c>
      <c r="B77" s="609" t="s">
        <v>166</v>
      </c>
      <c r="C77" s="610">
        <v>5222423.82</v>
      </c>
      <c r="D77" s="610">
        <v>722188.89</v>
      </c>
      <c r="E77" s="610"/>
      <c r="F77" s="611">
        <v>14960</v>
      </c>
      <c r="G77" s="610">
        <v>61551.85</v>
      </c>
      <c r="H77" s="610">
        <v>2545.6</v>
      </c>
      <c r="I77" s="610"/>
      <c r="J77" s="610">
        <v>77048.429999999993</v>
      </c>
      <c r="K77" s="610">
        <v>39595</v>
      </c>
      <c r="L77" s="610">
        <v>662928.69999999995</v>
      </c>
      <c r="M77" s="434">
        <f>SUM(C77:L77)</f>
        <v>6803242.2899999991</v>
      </c>
      <c r="N77" s="612">
        <v>6529.5</v>
      </c>
      <c r="O77" s="612">
        <v>0</v>
      </c>
      <c r="P77" s="612">
        <v>396836</v>
      </c>
      <c r="Q77" s="612">
        <v>3026.14</v>
      </c>
      <c r="R77" s="612">
        <v>324375.55</v>
      </c>
      <c r="S77" s="610">
        <v>6698.51</v>
      </c>
      <c r="T77" s="543">
        <f t="shared" si="5"/>
        <v>7540707.9899999984</v>
      </c>
      <c r="U77" s="575">
        <v>-38787.370000000003</v>
      </c>
      <c r="V77" s="612"/>
      <c r="W77" s="612">
        <v>-1448.75</v>
      </c>
      <c r="X77" s="624">
        <v>72</v>
      </c>
      <c r="Y77" s="631">
        <v>1.25</v>
      </c>
      <c r="Z77" s="628">
        <f>VLOOKUP(A77,'[2]2022 toutes communes'!$B$9:$D$317,3,FALSE)</f>
        <v>2720</v>
      </c>
      <c r="AA77" s="617"/>
      <c r="AB77" s="618">
        <v>113050</v>
      </c>
      <c r="AC77" s="547">
        <f>AB77/VPI!R77</f>
        <v>1.2258165901399254</v>
      </c>
      <c r="AD77" s="548">
        <f t="shared" si="6"/>
        <v>401622</v>
      </c>
      <c r="AE77" s="547">
        <f>AD77/VPI!R77</f>
        <v>4.3548421987189485</v>
      </c>
      <c r="AF77" s="618">
        <v>514672</v>
      </c>
      <c r="AG77" s="618">
        <v>155400</v>
      </c>
      <c r="AH77" s="618">
        <v>204015</v>
      </c>
      <c r="AI77" s="627"/>
      <c r="AJ77" s="628">
        <v>0</v>
      </c>
      <c r="AK77" s="547">
        <f>AJ77/VPI!R77</f>
        <v>0</v>
      </c>
      <c r="AL77" s="548">
        <f t="shared" si="7"/>
        <v>-53661</v>
      </c>
      <c r="AM77" s="547">
        <f>AL77/VPI!R77</f>
        <v>-0.58185355191064603</v>
      </c>
      <c r="AN77" s="628">
        <v>-53661</v>
      </c>
      <c r="AO77" s="627"/>
      <c r="AP77" s="629">
        <v>15.422938930039543</v>
      </c>
      <c r="AQ77" s="575"/>
      <c r="AR77" s="630">
        <v>0</v>
      </c>
      <c r="AS77" s="575"/>
      <c r="AT77" s="575"/>
      <c r="AU77" s="575"/>
      <c r="AV77" s="575"/>
      <c r="AW77" s="575"/>
      <c r="AX77" s="575"/>
      <c r="AY77" s="575"/>
      <c r="AZ77" s="575"/>
      <c r="BA77" s="575"/>
      <c r="BB77" s="575"/>
      <c r="BC77" s="575"/>
      <c r="BD77" s="575"/>
      <c r="BE77" s="575"/>
      <c r="BF77" s="575"/>
      <c r="BG77" s="575"/>
      <c r="BH77" s="575"/>
      <c r="BI77" s="575"/>
      <c r="BJ77" s="575"/>
      <c r="BK77" s="575"/>
      <c r="BL77" s="575"/>
      <c r="BM77" s="575"/>
      <c r="BN77" s="575"/>
      <c r="BO77" s="575"/>
      <c r="BP77" s="575"/>
      <c r="BQ77" s="575"/>
      <c r="BR77" s="575"/>
      <c r="BS77" s="575"/>
      <c r="BT77" s="575"/>
      <c r="BU77" s="575"/>
      <c r="BV77" s="575"/>
      <c r="BW77" s="575"/>
      <c r="BX77" s="575"/>
      <c r="BY77" s="575"/>
      <c r="BZ77" s="575"/>
      <c r="CA77" s="575"/>
      <c r="CB77" s="575"/>
      <c r="CC77" s="575"/>
      <c r="CD77" s="575"/>
      <c r="CE77" s="575"/>
      <c r="CF77" s="575"/>
      <c r="CG77" s="575"/>
      <c r="CH77" s="575"/>
      <c r="CI77" s="575"/>
      <c r="CJ77" s="575"/>
      <c r="CK77" s="575"/>
      <c r="CL77" s="575"/>
      <c r="CM77" s="575"/>
      <c r="CN77" s="575"/>
      <c r="CO77" s="575"/>
      <c r="CP77" s="575"/>
      <c r="CQ77" s="575"/>
      <c r="CR77" s="575"/>
      <c r="CS77" s="575"/>
      <c r="CT77" s="575"/>
      <c r="CU77" s="575"/>
      <c r="CV77" s="575"/>
      <c r="CW77" s="575"/>
      <c r="CX77" s="575"/>
      <c r="CY77" s="575"/>
      <c r="CZ77" s="575"/>
      <c r="DA77" s="575"/>
      <c r="DB77" s="575"/>
      <c r="DC77" s="575"/>
      <c r="DD77" s="575"/>
      <c r="DE77" s="575"/>
      <c r="DF77" s="575"/>
      <c r="DG77" s="575"/>
      <c r="DH77" s="575"/>
      <c r="DI77" s="575"/>
      <c r="DJ77" s="575"/>
      <c r="DK77" s="575"/>
      <c r="DL77" s="575"/>
      <c r="DM77" s="575"/>
      <c r="DN77" s="575"/>
      <c r="DO77" s="575"/>
      <c r="DP77" s="575"/>
      <c r="DQ77" s="575"/>
      <c r="DR77" s="575"/>
      <c r="DS77" s="575"/>
      <c r="DT77" s="575"/>
      <c r="DU77" s="575"/>
      <c r="DV77" s="575"/>
      <c r="DW77" s="575"/>
      <c r="DX77" s="575"/>
      <c r="DY77" s="575"/>
      <c r="DZ77" s="575"/>
      <c r="EA77" s="575"/>
      <c r="EB77" s="575"/>
      <c r="EC77" s="575"/>
      <c r="ED77" s="575"/>
      <c r="EE77" s="575"/>
      <c r="EF77" s="575"/>
      <c r="EG77" s="575"/>
      <c r="EH77" s="575"/>
      <c r="EI77" s="575"/>
      <c r="EJ77" s="575"/>
      <c r="EK77" s="575"/>
      <c r="EL77" s="575"/>
      <c r="EM77" s="575"/>
      <c r="EN77" s="575"/>
      <c r="EO77" s="575"/>
      <c r="EP77" s="575"/>
      <c r="EQ77" s="575"/>
      <c r="ER77" s="575"/>
      <c r="ES77" s="575"/>
      <c r="ET77" s="575"/>
      <c r="EU77" s="575"/>
      <c r="EV77" s="575"/>
      <c r="EW77" s="575"/>
      <c r="EX77" s="575"/>
      <c r="EY77" s="575"/>
      <c r="EZ77" s="575"/>
      <c r="FA77" s="575"/>
      <c r="FB77" s="575"/>
      <c r="FC77" s="575"/>
      <c r="FD77" s="575"/>
      <c r="FE77" s="575"/>
      <c r="FF77" s="575"/>
      <c r="FG77" s="575"/>
      <c r="FH77" s="575"/>
      <c r="FI77" s="575"/>
      <c r="FJ77" s="575"/>
      <c r="FK77" s="575"/>
      <c r="FL77" s="575"/>
      <c r="FM77" s="575"/>
      <c r="FN77" s="575"/>
      <c r="FO77" s="575"/>
      <c r="FP77" s="575"/>
      <c r="FQ77" s="575"/>
      <c r="FR77" s="575"/>
      <c r="FS77" s="575"/>
      <c r="FT77" s="575"/>
      <c r="FU77" s="575"/>
      <c r="FV77" s="575"/>
      <c r="FW77" s="575"/>
      <c r="FX77" s="575"/>
      <c r="FY77" s="575"/>
      <c r="FZ77" s="575"/>
      <c r="GA77" s="575"/>
      <c r="GB77" s="575"/>
      <c r="GC77" s="575"/>
      <c r="GD77" s="575"/>
      <c r="GE77" s="575"/>
      <c r="GF77" s="575"/>
      <c r="GG77" s="575"/>
      <c r="GH77" s="575"/>
      <c r="GI77" s="575"/>
      <c r="GJ77" s="575"/>
      <c r="GK77" s="575"/>
      <c r="GL77" s="575"/>
      <c r="GM77" s="575"/>
      <c r="GN77" s="575"/>
      <c r="GO77" s="575"/>
      <c r="GP77" s="575"/>
      <c r="GQ77" s="575"/>
      <c r="GR77" s="575"/>
      <c r="GS77" s="575"/>
      <c r="GT77" s="575"/>
      <c r="GU77" s="575"/>
      <c r="GV77" s="575"/>
      <c r="GW77" s="575"/>
      <c r="GX77" s="575"/>
      <c r="GY77" s="575"/>
      <c r="GZ77" s="575"/>
      <c r="HA77" s="575"/>
      <c r="HB77" s="575"/>
      <c r="HC77" s="575"/>
      <c r="HD77" s="575"/>
      <c r="HE77" s="575"/>
      <c r="HF77" s="575"/>
      <c r="HG77" s="575"/>
      <c r="HH77" s="575"/>
      <c r="HI77" s="575"/>
      <c r="HJ77" s="575"/>
      <c r="HK77" s="575"/>
      <c r="HL77" s="575"/>
      <c r="HM77" s="575"/>
      <c r="HN77" s="575"/>
      <c r="HO77" s="575"/>
      <c r="HP77" s="575"/>
      <c r="HQ77" s="575"/>
      <c r="HR77" s="575"/>
      <c r="HS77" s="575"/>
      <c r="HT77" s="575"/>
      <c r="HU77" s="575"/>
      <c r="HV77" s="575"/>
      <c r="HW77" s="575"/>
      <c r="HX77" s="575"/>
      <c r="HY77" s="575"/>
      <c r="HZ77" s="575"/>
      <c r="IA77" s="575"/>
      <c r="IB77" s="575"/>
      <c r="IC77" s="575"/>
      <c r="ID77" s="575"/>
      <c r="IE77" s="575"/>
      <c r="IF77" s="575"/>
      <c r="IG77" s="575"/>
      <c r="IH77" s="575"/>
      <c r="II77" s="575"/>
      <c r="IJ77" s="575"/>
      <c r="IK77" s="575"/>
      <c r="IL77" s="575"/>
      <c r="IM77" s="575"/>
      <c r="IN77" s="575"/>
      <c r="IO77" s="575"/>
      <c r="IP77" s="575"/>
      <c r="IQ77" s="575"/>
      <c r="IR77" s="575"/>
      <c r="IS77" s="575"/>
      <c r="IT77" s="575"/>
      <c r="IU77" s="575"/>
      <c r="IV77" s="575"/>
      <c r="IW77" s="575"/>
      <c r="IX77" s="575"/>
      <c r="IY77" s="575"/>
      <c r="IZ77" s="575"/>
      <c r="JA77" s="575"/>
      <c r="JB77" s="575"/>
      <c r="JC77" s="575"/>
      <c r="JD77" s="575"/>
      <c r="JE77" s="575"/>
      <c r="JF77" s="575"/>
      <c r="JG77" s="575"/>
      <c r="JH77" s="575"/>
      <c r="JI77" s="575"/>
      <c r="JJ77" s="575"/>
      <c r="JK77" s="575"/>
      <c r="JL77" s="575"/>
      <c r="JM77" s="575"/>
      <c r="JN77" s="575"/>
      <c r="JO77" s="575"/>
      <c r="JP77" s="575"/>
      <c r="JQ77" s="575"/>
      <c r="JR77" s="575"/>
      <c r="JS77" s="575"/>
      <c r="JT77" s="575"/>
      <c r="JU77" s="575"/>
      <c r="JV77" s="575"/>
      <c r="JW77" s="575"/>
      <c r="JX77" s="575"/>
      <c r="JY77" s="575"/>
      <c r="JZ77" s="575"/>
      <c r="KA77" s="575"/>
      <c r="KB77" s="575"/>
      <c r="KC77" s="575"/>
      <c r="KD77" s="575"/>
      <c r="KE77" s="575"/>
      <c r="KF77" s="575"/>
      <c r="KG77" s="575"/>
      <c r="KH77" s="575"/>
      <c r="KI77" s="575"/>
      <c r="KJ77" s="575"/>
      <c r="KK77" s="575"/>
      <c r="KL77" s="575"/>
      <c r="KM77" s="575"/>
      <c r="KN77" s="575"/>
      <c r="KO77" s="575"/>
      <c r="KP77" s="575"/>
      <c r="KQ77" s="575"/>
      <c r="KR77" s="575"/>
      <c r="KS77" s="575"/>
      <c r="KT77" s="575"/>
      <c r="KU77" s="575"/>
      <c r="KV77" s="575"/>
      <c r="KW77" s="575"/>
      <c r="KX77" s="575"/>
      <c r="KY77" s="575"/>
      <c r="KZ77" s="575"/>
      <c r="LA77" s="575"/>
      <c r="LB77" s="575"/>
      <c r="LC77" s="575"/>
      <c r="LD77" s="575"/>
      <c r="LE77" s="575"/>
      <c r="LF77" s="575"/>
      <c r="LG77" s="575"/>
      <c r="LH77" s="575"/>
      <c r="LI77" s="575"/>
      <c r="LJ77" s="575"/>
      <c r="LK77" s="575"/>
      <c r="LL77" s="575"/>
      <c r="LM77" s="575"/>
      <c r="LN77" s="575"/>
      <c r="LO77" s="575"/>
      <c r="LP77" s="575"/>
      <c r="LQ77" s="575"/>
      <c r="LR77" s="575"/>
      <c r="LS77" s="575"/>
      <c r="LT77" s="575"/>
      <c r="LU77" s="575"/>
      <c r="LV77" s="575"/>
      <c r="LW77" s="575"/>
      <c r="LX77" s="575"/>
      <c r="LY77" s="575"/>
      <c r="LZ77" s="575"/>
      <c r="MA77" s="575"/>
      <c r="MB77" s="575"/>
      <c r="MC77" s="575"/>
      <c r="MD77" s="575"/>
      <c r="ME77" s="575"/>
      <c r="MF77" s="575"/>
      <c r="MG77" s="575"/>
      <c r="MH77" s="575"/>
      <c r="MI77" s="575"/>
      <c r="MJ77" s="575"/>
      <c r="MK77" s="575"/>
      <c r="ML77" s="575"/>
      <c r="MM77" s="575"/>
      <c r="MN77" s="575"/>
      <c r="MO77" s="575"/>
      <c r="MP77" s="575"/>
      <c r="MQ77" s="575"/>
      <c r="MR77" s="575"/>
      <c r="MS77" s="575"/>
      <c r="MT77" s="575"/>
      <c r="MU77" s="575"/>
      <c r="MV77" s="575"/>
      <c r="MW77" s="575"/>
      <c r="MX77" s="575"/>
      <c r="MY77" s="575"/>
      <c r="MZ77" s="575"/>
      <c r="NA77" s="575"/>
      <c r="NB77" s="575"/>
      <c r="NC77" s="575"/>
      <c r="ND77" s="575"/>
      <c r="NE77" s="575"/>
      <c r="NF77" s="575"/>
      <c r="NG77" s="575"/>
      <c r="NH77" s="575"/>
      <c r="NI77" s="575"/>
      <c r="NJ77" s="575"/>
      <c r="NK77" s="575"/>
      <c r="NL77" s="575"/>
      <c r="NM77" s="575"/>
      <c r="NN77" s="575"/>
      <c r="NO77" s="575"/>
      <c r="NP77" s="575"/>
      <c r="NQ77" s="575"/>
      <c r="NR77" s="575"/>
      <c r="NS77" s="575"/>
      <c r="NT77" s="575"/>
      <c r="NU77" s="575"/>
      <c r="NV77" s="575"/>
      <c r="NW77" s="575"/>
      <c r="NX77" s="575"/>
      <c r="NY77" s="575"/>
      <c r="NZ77" s="575"/>
      <c r="OA77" s="575"/>
      <c r="OB77" s="575"/>
      <c r="OC77" s="575"/>
      <c r="OD77" s="575"/>
      <c r="OE77" s="575"/>
      <c r="OF77" s="575"/>
      <c r="OG77" s="575"/>
      <c r="OH77" s="575"/>
      <c r="OI77" s="575"/>
      <c r="OJ77" s="575"/>
      <c r="OK77" s="575"/>
      <c r="OL77" s="575"/>
      <c r="OM77" s="575"/>
      <c r="ON77" s="575"/>
      <c r="OO77" s="575"/>
      <c r="OP77" s="575"/>
      <c r="OQ77" s="575"/>
      <c r="OR77" s="575"/>
      <c r="OS77" s="575"/>
      <c r="OT77" s="575"/>
      <c r="OU77" s="575"/>
      <c r="OV77" s="575"/>
      <c r="OW77" s="575"/>
      <c r="OX77" s="575"/>
      <c r="OY77" s="575"/>
      <c r="OZ77" s="575"/>
      <c r="PA77" s="575"/>
      <c r="PB77" s="575"/>
      <c r="PC77" s="575"/>
      <c r="PD77" s="575"/>
      <c r="PE77" s="575"/>
      <c r="PF77" s="575"/>
      <c r="PG77" s="575"/>
      <c r="PH77" s="575"/>
      <c r="PI77" s="575"/>
      <c r="PJ77" s="575"/>
      <c r="PK77" s="575"/>
      <c r="PL77" s="575"/>
      <c r="PM77" s="575"/>
      <c r="PN77" s="575"/>
      <c r="PO77" s="575"/>
      <c r="PP77" s="575"/>
      <c r="PQ77" s="575"/>
      <c r="PR77" s="575"/>
      <c r="PS77" s="575"/>
      <c r="PT77" s="575"/>
      <c r="PU77" s="575"/>
      <c r="PV77" s="575"/>
      <c r="PW77" s="575"/>
      <c r="PX77" s="575"/>
      <c r="PY77" s="575"/>
      <c r="PZ77" s="575"/>
      <c r="QA77" s="575"/>
      <c r="QB77" s="575"/>
      <c r="QC77" s="575"/>
      <c r="QD77" s="575"/>
      <c r="QE77" s="575"/>
      <c r="QF77" s="575"/>
      <c r="QG77" s="575"/>
      <c r="QH77" s="575"/>
      <c r="QI77" s="575"/>
      <c r="QJ77" s="575"/>
      <c r="QK77" s="575"/>
      <c r="QL77" s="575"/>
      <c r="QM77" s="575"/>
      <c r="QN77" s="575"/>
      <c r="QO77" s="575"/>
      <c r="QP77" s="575"/>
      <c r="QQ77" s="575"/>
      <c r="QR77" s="575"/>
      <c r="QS77" s="575"/>
      <c r="QT77" s="575"/>
      <c r="QU77" s="575"/>
      <c r="QV77" s="575"/>
      <c r="QW77" s="575"/>
      <c r="QX77" s="575"/>
      <c r="QY77" s="575"/>
      <c r="QZ77" s="575"/>
      <c r="RA77" s="575"/>
      <c r="RB77" s="575"/>
      <c r="RC77" s="575"/>
      <c r="RD77" s="575"/>
      <c r="RE77" s="575"/>
      <c r="RF77" s="575"/>
      <c r="RG77" s="575"/>
      <c r="RH77" s="575"/>
      <c r="RI77" s="575"/>
      <c r="RJ77" s="575"/>
      <c r="RK77" s="575"/>
      <c r="RL77" s="575"/>
      <c r="RM77" s="575"/>
      <c r="RN77" s="575"/>
      <c r="RO77" s="575"/>
      <c r="RP77" s="575"/>
      <c r="RQ77" s="575"/>
      <c r="RR77" s="575"/>
      <c r="RS77" s="575"/>
      <c r="RT77" s="575"/>
      <c r="RU77" s="575"/>
      <c r="RV77" s="575"/>
      <c r="RW77" s="575"/>
      <c r="RX77" s="575"/>
      <c r="RY77" s="575"/>
      <c r="RZ77" s="575"/>
      <c r="SA77" s="575"/>
      <c r="SB77" s="575"/>
      <c r="SC77" s="575"/>
      <c r="SD77" s="575"/>
      <c r="SE77" s="575"/>
      <c r="SF77" s="575"/>
      <c r="SG77" s="575"/>
      <c r="SH77" s="575"/>
      <c r="SI77" s="575"/>
      <c r="SJ77" s="575"/>
      <c r="SK77" s="575"/>
      <c r="SL77" s="575"/>
      <c r="SM77" s="575"/>
      <c r="SN77" s="575"/>
      <c r="SO77" s="575"/>
      <c r="SP77" s="575"/>
      <c r="SQ77" s="575"/>
      <c r="SR77" s="575"/>
      <c r="SS77" s="575"/>
      <c r="ST77" s="575"/>
      <c r="SU77" s="575"/>
      <c r="SV77" s="575"/>
      <c r="SW77" s="575"/>
      <c r="SX77" s="575"/>
      <c r="SY77" s="575"/>
      <c r="SZ77" s="575"/>
      <c r="TA77" s="575"/>
      <c r="TB77" s="575"/>
      <c r="TC77" s="575"/>
      <c r="TD77" s="575"/>
      <c r="TE77" s="575"/>
      <c r="TF77" s="575"/>
      <c r="TG77" s="575"/>
      <c r="TH77" s="575"/>
      <c r="TI77" s="575"/>
      <c r="TJ77" s="575"/>
      <c r="TK77" s="575"/>
      <c r="TL77" s="575"/>
      <c r="TM77" s="575"/>
      <c r="TN77" s="575"/>
      <c r="TO77" s="575"/>
      <c r="TP77" s="575"/>
      <c r="TQ77" s="575"/>
      <c r="TR77" s="575"/>
      <c r="TS77" s="575"/>
      <c r="TT77" s="575"/>
      <c r="TU77" s="575"/>
      <c r="TV77" s="575"/>
      <c r="TW77" s="575"/>
      <c r="TX77" s="575"/>
      <c r="TY77" s="575"/>
      <c r="TZ77" s="575"/>
      <c r="UA77" s="575"/>
      <c r="UB77" s="575"/>
      <c r="UC77" s="575"/>
      <c r="UD77" s="575"/>
      <c r="UE77" s="575"/>
      <c r="UF77" s="575"/>
      <c r="UG77" s="575"/>
      <c r="UH77" s="575"/>
      <c r="UI77" s="575"/>
      <c r="UJ77" s="575"/>
      <c r="UK77" s="575"/>
      <c r="UL77" s="575"/>
      <c r="UM77" s="575"/>
      <c r="UN77" s="575"/>
      <c r="UO77" s="575"/>
      <c r="UP77" s="575"/>
      <c r="UQ77" s="575"/>
      <c r="UR77" s="575"/>
      <c r="US77" s="575"/>
      <c r="UT77" s="575"/>
      <c r="UU77" s="575"/>
      <c r="UV77" s="575"/>
      <c r="UW77" s="575"/>
      <c r="UX77" s="575"/>
      <c r="UY77" s="575"/>
      <c r="UZ77" s="575"/>
      <c r="VA77" s="575"/>
      <c r="VB77" s="575"/>
      <c r="VC77" s="575"/>
      <c r="VD77" s="575"/>
      <c r="VE77" s="575"/>
      <c r="VF77" s="575"/>
      <c r="VG77" s="575"/>
      <c r="VH77" s="575"/>
      <c r="VI77" s="575"/>
      <c r="VJ77" s="575"/>
      <c r="VK77" s="575"/>
      <c r="VL77" s="575"/>
      <c r="VM77" s="575"/>
      <c r="VN77" s="575"/>
      <c r="VO77" s="575"/>
      <c r="VP77" s="575"/>
      <c r="VQ77" s="575"/>
      <c r="VR77" s="575"/>
      <c r="VS77" s="575"/>
      <c r="VT77" s="575"/>
      <c r="VU77" s="575"/>
      <c r="VV77" s="575"/>
      <c r="VW77" s="575"/>
      <c r="VX77" s="575"/>
      <c r="VY77" s="575"/>
      <c r="VZ77" s="575"/>
      <c r="WA77" s="575"/>
      <c r="WB77" s="575"/>
      <c r="WC77" s="575"/>
      <c r="WD77" s="575"/>
      <c r="WE77" s="575"/>
      <c r="WF77" s="575"/>
      <c r="WG77" s="575"/>
      <c r="WH77" s="575"/>
      <c r="WI77" s="575"/>
      <c r="WJ77" s="575"/>
      <c r="WK77" s="575"/>
      <c r="WL77" s="575"/>
      <c r="WM77" s="575"/>
      <c r="WN77" s="575"/>
      <c r="WO77" s="575"/>
      <c r="WP77" s="575"/>
      <c r="WQ77" s="575"/>
      <c r="WR77" s="575"/>
      <c r="WS77" s="575"/>
      <c r="WT77" s="575"/>
      <c r="WU77" s="575"/>
      <c r="WV77" s="575"/>
      <c r="WW77" s="575"/>
      <c r="WX77" s="575"/>
      <c r="WY77" s="575"/>
      <c r="WZ77" s="575"/>
      <c r="XA77" s="575"/>
      <c r="XB77" s="575"/>
      <c r="XC77" s="575"/>
      <c r="XD77" s="575"/>
      <c r="XE77" s="575"/>
      <c r="XF77" s="575"/>
      <c r="XG77" s="575"/>
      <c r="XH77" s="575"/>
      <c r="XI77" s="575"/>
      <c r="XJ77" s="575"/>
      <c r="XK77" s="575"/>
      <c r="XL77" s="575"/>
      <c r="XM77" s="575"/>
      <c r="XN77" s="575"/>
      <c r="XO77" s="575"/>
      <c r="XP77" s="575"/>
      <c r="XQ77" s="575"/>
      <c r="XR77" s="575"/>
      <c r="XS77" s="575"/>
      <c r="XT77" s="575"/>
      <c r="XU77" s="575"/>
      <c r="XV77" s="575"/>
      <c r="XW77" s="575"/>
      <c r="XX77" s="575"/>
      <c r="XY77" s="575"/>
      <c r="XZ77" s="575"/>
      <c r="YA77" s="575"/>
      <c r="YB77" s="575"/>
      <c r="YC77" s="575"/>
      <c r="YD77" s="575"/>
      <c r="YE77" s="575"/>
      <c r="YF77" s="575"/>
      <c r="YG77" s="575"/>
      <c r="YH77" s="575"/>
      <c r="YI77" s="575"/>
      <c r="YJ77" s="575"/>
      <c r="YK77" s="575"/>
      <c r="YL77" s="575"/>
      <c r="YM77" s="575"/>
      <c r="YN77" s="575"/>
      <c r="YO77" s="575"/>
      <c r="YP77" s="575"/>
      <c r="YQ77" s="575"/>
      <c r="YR77" s="575"/>
      <c r="YS77" s="575"/>
      <c r="YT77" s="575"/>
      <c r="YU77" s="575"/>
      <c r="YV77" s="575"/>
      <c r="YW77" s="575"/>
      <c r="YX77" s="575"/>
      <c r="YY77" s="575"/>
      <c r="YZ77" s="575"/>
      <c r="ZA77" s="575"/>
      <c r="ZB77" s="575"/>
      <c r="ZC77" s="575"/>
      <c r="ZD77" s="575"/>
      <c r="ZE77" s="575"/>
      <c r="ZF77" s="575"/>
      <c r="ZG77" s="575"/>
      <c r="ZH77" s="575"/>
      <c r="ZI77" s="575"/>
      <c r="ZJ77" s="575"/>
      <c r="ZK77" s="575"/>
      <c r="ZL77" s="575"/>
      <c r="ZM77" s="575"/>
      <c r="ZN77" s="575"/>
      <c r="ZO77" s="575"/>
      <c r="ZP77" s="575"/>
      <c r="ZQ77" s="575"/>
      <c r="ZR77" s="575"/>
      <c r="ZS77" s="575"/>
      <c r="ZT77" s="575"/>
      <c r="ZU77" s="575"/>
      <c r="ZV77" s="575"/>
      <c r="ZW77" s="575"/>
      <c r="ZX77" s="575"/>
      <c r="ZY77" s="575"/>
      <c r="ZZ77" s="575"/>
      <c r="AAA77" s="575"/>
      <c r="AAB77" s="575"/>
      <c r="AAC77" s="575"/>
      <c r="AAD77" s="575"/>
      <c r="AAE77" s="575"/>
      <c r="AAF77" s="575"/>
      <c r="AAG77" s="575"/>
      <c r="AAH77" s="575"/>
      <c r="AAI77" s="575"/>
      <c r="AAJ77" s="575"/>
      <c r="AAK77" s="575"/>
      <c r="AAL77" s="575"/>
      <c r="AAM77" s="575"/>
      <c r="AAN77" s="575"/>
      <c r="AAO77" s="575"/>
      <c r="AAP77" s="575"/>
      <c r="AAQ77" s="575"/>
      <c r="AAR77" s="575"/>
      <c r="AAS77" s="575"/>
      <c r="AAT77" s="575"/>
      <c r="AAU77" s="575"/>
      <c r="AAV77" s="575"/>
      <c r="AAW77" s="575"/>
      <c r="AAX77" s="575"/>
      <c r="AAY77" s="575"/>
      <c r="AAZ77" s="575"/>
      <c r="ABA77" s="575"/>
      <c r="ABB77" s="575"/>
      <c r="ABC77" s="575"/>
      <c r="ABD77" s="575"/>
      <c r="ABE77" s="575"/>
      <c r="ABF77" s="575"/>
      <c r="ABG77" s="575"/>
      <c r="ABH77" s="575"/>
      <c r="ABI77" s="575"/>
      <c r="ABJ77" s="575"/>
      <c r="ABK77" s="575"/>
      <c r="ABL77" s="575"/>
      <c r="ABM77" s="575"/>
      <c r="ABN77" s="575"/>
      <c r="ABO77" s="575"/>
      <c r="ABP77" s="575"/>
      <c r="ABQ77" s="575"/>
      <c r="ABR77" s="575"/>
      <c r="ABS77" s="575"/>
      <c r="ABT77" s="575"/>
      <c r="ABU77" s="575"/>
      <c r="ABV77" s="575"/>
      <c r="ABW77" s="575"/>
      <c r="ABX77" s="575"/>
      <c r="ABY77" s="575"/>
      <c r="ABZ77" s="575"/>
      <c r="ACA77" s="575"/>
      <c r="ACB77" s="575"/>
      <c r="ACC77" s="575"/>
      <c r="ACD77" s="575"/>
      <c r="ACE77" s="575"/>
      <c r="ACF77" s="575"/>
      <c r="ACG77" s="575"/>
      <c r="ACH77" s="575"/>
      <c r="ACI77" s="575"/>
      <c r="ACJ77" s="575"/>
      <c r="ACK77" s="575"/>
      <c r="ACL77" s="575"/>
      <c r="ACM77" s="575"/>
      <c r="ACN77" s="575"/>
      <c r="ACO77" s="575"/>
      <c r="ACP77" s="575"/>
      <c r="ACQ77" s="575"/>
      <c r="ACR77" s="575"/>
      <c r="ACS77" s="575"/>
      <c r="ACT77" s="575"/>
      <c r="ACU77" s="575"/>
      <c r="ACV77" s="575"/>
      <c r="ACW77" s="575"/>
      <c r="ACX77" s="575"/>
      <c r="ACY77" s="575"/>
      <c r="ACZ77" s="575"/>
      <c r="ADA77" s="575"/>
      <c r="ADB77" s="575"/>
      <c r="ADC77" s="575"/>
      <c r="ADD77" s="575"/>
      <c r="ADE77" s="575"/>
      <c r="ADF77" s="575"/>
      <c r="ADG77" s="575"/>
      <c r="ADH77" s="575"/>
      <c r="ADI77" s="575"/>
      <c r="ADJ77" s="575"/>
      <c r="ADK77" s="575"/>
      <c r="ADL77" s="575"/>
      <c r="ADM77" s="575"/>
      <c r="ADN77" s="575"/>
      <c r="ADO77" s="575"/>
      <c r="ADP77" s="575"/>
      <c r="ADQ77" s="575"/>
      <c r="ADR77" s="575"/>
      <c r="ADS77" s="575"/>
      <c r="ADT77" s="575"/>
      <c r="ADU77" s="575"/>
      <c r="ADV77" s="575"/>
      <c r="ADW77" s="575"/>
      <c r="ADX77" s="575"/>
      <c r="ADY77" s="575"/>
      <c r="ADZ77" s="575"/>
      <c r="AEA77" s="575"/>
      <c r="AEB77" s="575"/>
      <c r="AEC77" s="575"/>
      <c r="AED77" s="575"/>
      <c r="AEE77" s="575"/>
      <c r="AEF77" s="575"/>
      <c r="AEG77" s="575"/>
      <c r="AEH77" s="575"/>
      <c r="AEI77" s="575"/>
      <c r="AEJ77" s="575"/>
      <c r="AEK77" s="575"/>
      <c r="AEL77" s="575"/>
      <c r="AEM77" s="575"/>
      <c r="AEN77" s="575"/>
      <c r="AEO77" s="575"/>
      <c r="AEP77" s="575"/>
      <c r="AEQ77" s="575"/>
      <c r="AER77" s="575"/>
      <c r="AES77" s="575"/>
      <c r="AET77" s="575"/>
      <c r="AEU77" s="575"/>
      <c r="AEV77" s="575"/>
      <c r="AEW77" s="575"/>
      <c r="AEX77" s="575"/>
      <c r="AEY77" s="575"/>
      <c r="AEZ77" s="575"/>
      <c r="AFA77" s="575"/>
      <c r="AFB77" s="575"/>
      <c r="AFC77" s="575"/>
      <c r="AFD77" s="575"/>
      <c r="AFE77" s="575"/>
      <c r="AFF77" s="575"/>
      <c r="AFG77" s="575"/>
      <c r="AFH77" s="575"/>
      <c r="AFI77" s="575"/>
      <c r="AFJ77" s="575"/>
      <c r="AFK77" s="575"/>
      <c r="AFL77" s="575"/>
      <c r="AFM77" s="575"/>
      <c r="AFN77" s="575"/>
      <c r="AFO77" s="575"/>
      <c r="AFP77" s="575"/>
      <c r="AFQ77" s="575"/>
      <c r="AFR77" s="575"/>
      <c r="AFS77" s="575"/>
      <c r="AFT77" s="575"/>
      <c r="AFU77" s="575"/>
      <c r="AFV77" s="575"/>
      <c r="AFW77" s="575"/>
      <c r="AFX77" s="575"/>
      <c r="AFY77" s="575"/>
      <c r="AFZ77" s="575"/>
      <c r="AGA77" s="575"/>
      <c r="AGB77" s="575"/>
      <c r="AGC77" s="575"/>
      <c r="AGD77" s="575"/>
      <c r="AGE77" s="575"/>
      <c r="AGF77" s="575"/>
      <c r="AGG77" s="575"/>
      <c r="AGH77" s="575"/>
      <c r="AGI77" s="575"/>
      <c r="AGJ77" s="575"/>
      <c r="AGK77" s="575"/>
      <c r="AGL77" s="575"/>
      <c r="AGM77" s="575"/>
      <c r="AGN77" s="575"/>
      <c r="AGO77" s="575"/>
      <c r="AGP77" s="575"/>
      <c r="AGQ77" s="575"/>
      <c r="AGR77" s="575"/>
      <c r="AGS77" s="575"/>
      <c r="AGT77" s="575"/>
      <c r="AGU77" s="575"/>
      <c r="AGV77" s="575"/>
      <c r="AGW77" s="575"/>
      <c r="AGX77" s="575"/>
      <c r="AGY77" s="575"/>
      <c r="AGZ77" s="575"/>
      <c r="AHA77" s="575"/>
      <c r="AHB77" s="575"/>
      <c r="AHC77" s="575"/>
      <c r="AHD77" s="575"/>
      <c r="AHE77" s="575"/>
      <c r="AHF77" s="575"/>
      <c r="AHG77" s="575"/>
      <c r="AHH77" s="575"/>
      <c r="AHI77" s="575"/>
      <c r="AHJ77" s="575"/>
      <c r="AHK77" s="575"/>
      <c r="AHL77" s="575"/>
      <c r="AHM77" s="575"/>
      <c r="AHN77" s="575"/>
      <c r="AHO77" s="575"/>
      <c r="AHP77" s="575"/>
      <c r="AHQ77" s="575"/>
      <c r="AHR77" s="575"/>
      <c r="AHS77" s="575"/>
      <c r="AHT77" s="575"/>
      <c r="AHU77" s="575"/>
      <c r="AHV77" s="575"/>
      <c r="AHW77" s="575"/>
      <c r="AHX77" s="575"/>
      <c r="AHY77" s="575"/>
      <c r="AHZ77" s="575"/>
      <c r="AIA77" s="575"/>
      <c r="AIB77" s="575"/>
      <c r="AIC77" s="575"/>
      <c r="AID77" s="575"/>
      <c r="AIE77" s="575"/>
      <c r="AIF77" s="575"/>
      <c r="AIG77" s="575"/>
      <c r="AIH77" s="575"/>
      <c r="AII77" s="575"/>
      <c r="AIJ77" s="575"/>
      <c r="AIK77" s="575"/>
      <c r="AIL77" s="575"/>
      <c r="AIM77" s="575"/>
      <c r="AIN77" s="575"/>
      <c r="AIO77" s="575"/>
      <c r="AIP77" s="575"/>
      <c r="AIQ77" s="575"/>
      <c r="AIR77" s="575"/>
      <c r="AIS77" s="575"/>
      <c r="AIT77" s="575"/>
      <c r="AIU77" s="575"/>
      <c r="AIV77" s="575"/>
      <c r="AIW77" s="575"/>
      <c r="AIX77" s="575"/>
      <c r="AIY77" s="575"/>
      <c r="AIZ77" s="575"/>
      <c r="AJA77" s="575"/>
      <c r="AJB77" s="575"/>
      <c r="AJC77" s="575"/>
      <c r="AJD77" s="575"/>
      <c r="AJE77" s="575"/>
      <c r="AJF77" s="575"/>
      <c r="AJG77" s="575"/>
      <c r="AJH77" s="575"/>
      <c r="AJI77" s="575"/>
      <c r="AJJ77" s="575"/>
      <c r="AJK77" s="575"/>
      <c r="AJL77" s="575"/>
      <c r="AJM77" s="575"/>
      <c r="AJN77" s="575"/>
      <c r="AJO77" s="575"/>
      <c r="AJP77" s="575"/>
      <c r="AJQ77" s="575"/>
      <c r="AJR77" s="575"/>
      <c r="AJS77" s="575"/>
      <c r="AJT77" s="575"/>
      <c r="AJU77" s="575"/>
      <c r="AJV77" s="575"/>
      <c r="AJW77" s="575"/>
      <c r="AJX77" s="575"/>
      <c r="AJY77" s="575"/>
      <c r="AJZ77" s="575"/>
      <c r="AKA77" s="575"/>
      <c r="AKB77" s="575"/>
      <c r="AKC77" s="575"/>
      <c r="AKD77" s="575"/>
      <c r="AKE77" s="575"/>
      <c r="AKF77" s="575"/>
      <c r="AKG77" s="575"/>
      <c r="AKH77" s="575"/>
      <c r="AKI77" s="575"/>
      <c r="AKJ77" s="575"/>
      <c r="AKK77" s="575"/>
      <c r="AKL77" s="575"/>
      <c r="AKM77" s="575"/>
      <c r="AKN77" s="575"/>
      <c r="AKO77" s="575"/>
      <c r="AKP77" s="575"/>
      <c r="AKQ77" s="575"/>
      <c r="AKR77" s="575"/>
      <c r="AKS77" s="575"/>
      <c r="AKT77" s="575"/>
      <c r="AKU77" s="575"/>
      <c r="AKV77" s="575"/>
      <c r="AKW77" s="575"/>
      <c r="AKX77" s="575"/>
      <c r="AKY77" s="575"/>
      <c r="AKZ77" s="575"/>
      <c r="ALA77" s="575"/>
      <c r="ALB77" s="575"/>
      <c r="ALC77" s="575"/>
      <c r="ALD77" s="575"/>
      <c r="ALE77" s="575"/>
      <c r="ALF77" s="575"/>
      <c r="ALG77" s="575"/>
      <c r="ALH77" s="575"/>
      <c r="ALI77" s="575"/>
      <c r="ALJ77" s="575"/>
      <c r="ALK77" s="575"/>
      <c r="ALL77" s="575"/>
      <c r="ALM77" s="575"/>
      <c r="ALN77" s="575"/>
      <c r="ALO77" s="575"/>
      <c r="ALP77" s="575"/>
      <c r="ALQ77" s="575"/>
      <c r="ALR77" s="575"/>
      <c r="ALS77" s="575"/>
      <c r="ALT77" s="575"/>
      <c r="ALU77" s="575"/>
      <c r="ALV77" s="575"/>
      <c r="ALW77" s="575"/>
      <c r="ALX77" s="575"/>
      <c r="ALY77" s="575"/>
      <c r="ALZ77" s="575"/>
      <c r="AMA77" s="575"/>
      <c r="AMB77" s="575"/>
      <c r="AMC77" s="575"/>
      <c r="AMD77" s="575"/>
      <c r="AME77" s="575"/>
      <c r="AMF77" s="575"/>
      <c r="AMG77" s="575"/>
      <c r="AMH77" s="575"/>
      <c r="AMI77" s="575"/>
      <c r="AMJ77" s="575"/>
      <c r="AMK77" s="575"/>
      <c r="AML77" s="575"/>
      <c r="AMM77" s="575"/>
      <c r="AMN77" s="575"/>
      <c r="AMO77" s="575"/>
      <c r="AMP77" s="575"/>
      <c r="AMQ77" s="575"/>
      <c r="AMR77" s="575"/>
      <c r="AMS77" s="575"/>
      <c r="AMT77" s="575"/>
      <c r="AMU77" s="575"/>
      <c r="AMV77" s="575"/>
      <c r="AMW77" s="575"/>
      <c r="AMX77" s="575"/>
      <c r="AMY77" s="575"/>
      <c r="AMZ77" s="575"/>
      <c r="ANA77" s="575"/>
      <c r="ANB77" s="575"/>
      <c r="ANC77" s="575"/>
      <c r="AND77" s="575"/>
      <c r="ANE77" s="575"/>
      <c r="ANF77" s="575"/>
      <c r="ANG77" s="575"/>
      <c r="ANH77" s="575"/>
      <c r="ANI77" s="575"/>
      <c r="ANJ77" s="575"/>
      <c r="ANK77" s="575"/>
      <c r="ANL77" s="575"/>
      <c r="ANM77" s="575"/>
      <c r="ANN77" s="575"/>
      <c r="ANO77" s="575"/>
      <c r="ANP77" s="575"/>
      <c r="ANQ77" s="575"/>
      <c r="ANR77" s="575"/>
      <c r="ANS77" s="575"/>
      <c r="ANT77" s="575"/>
      <c r="ANU77" s="575"/>
      <c r="ANV77" s="575"/>
      <c r="ANW77" s="575"/>
      <c r="ANX77" s="575"/>
      <c r="ANY77" s="575"/>
      <c r="ANZ77" s="575"/>
      <c r="AOA77" s="575"/>
      <c r="AOB77" s="575"/>
      <c r="AOC77" s="575"/>
      <c r="AOD77" s="575"/>
      <c r="AOE77" s="575"/>
      <c r="AOF77" s="575"/>
      <c r="AOG77" s="575"/>
      <c r="AOH77" s="575"/>
      <c r="AOI77" s="575"/>
      <c r="AOJ77" s="575"/>
      <c r="AOK77" s="575"/>
      <c r="AOL77" s="575"/>
      <c r="AOM77" s="575"/>
      <c r="AON77" s="575"/>
      <c r="AOO77" s="575"/>
      <c r="AOP77" s="575"/>
      <c r="AOQ77" s="575"/>
      <c r="AOR77" s="575"/>
      <c r="AOS77" s="575"/>
      <c r="AOT77" s="575"/>
      <c r="AOU77" s="575"/>
      <c r="AOV77" s="575"/>
      <c r="AOW77" s="575"/>
      <c r="AOX77" s="575"/>
      <c r="AOY77" s="575"/>
      <c r="AOZ77" s="575"/>
      <c r="APA77" s="575"/>
      <c r="APB77" s="575"/>
      <c r="APC77" s="575"/>
      <c r="APD77" s="575"/>
      <c r="APE77" s="575"/>
      <c r="APF77" s="575"/>
      <c r="APG77" s="575"/>
      <c r="APH77" s="575"/>
      <c r="API77" s="575"/>
      <c r="APJ77" s="575"/>
      <c r="APK77" s="575"/>
      <c r="APL77" s="575"/>
      <c r="APM77" s="575"/>
      <c r="APN77" s="575"/>
      <c r="APO77" s="575"/>
      <c r="APP77" s="575"/>
      <c r="APQ77" s="575"/>
      <c r="APR77" s="575"/>
      <c r="APS77" s="575"/>
      <c r="APT77" s="575"/>
      <c r="APU77" s="575"/>
      <c r="APV77" s="575"/>
      <c r="APW77" s="575"/>
      <c r="APX77" s="575"/>
      <c r="APY77" s="575"/>
      <c r="APZ77" s="575"/>
      <c r="AQA77" s="575"/>
      <c r="AQB77" s="575"/>
      <c r="AQC77" s="575"/>
      <c r="AQD77" s="575"/>
      <c r="AQE77" s="575"/>
      <c r="AQF77" s="575"/>
      <c r="AQG77" s="575"/>
      <c r="AQH77" s="575"/>
      <c r="AQI77" s="575"/>
      <c r="AQJ77" s="575"/>
      <c r="AQK77" s="575"/>
      <c r="AQL77" s="575"/>
      <c r="AQM77" s="575"/>
      <c r="AQN77" s="575"/>
      <c r="AQO77" s="575"/>
      <c r="AQP77" s="575"/>
      <c r="AQQ77" s="575"/>
      <c r="AQR77" s="575"/>
      <c r="AQS77" s="575"/>
      <c r="AQT77" s="575"/>
      <c r="AQU77" s="575"/>
      <c r="AQV77" s="575"/>
      <c r="AQW77" s="575"/>
      <c r="AQX77" s="575"/>
      <c r="AQY77" s="575"/>
      <c r="AQZ77" s="575"/>
      <c r="ARA77" s="575"/>
      <c r="ARB77" s="575"/>
      <c r="ARC77" s="575"/>
      <c r="ARD77" s="575"/>
      <c r="ARE77" s="575"/>
      <c r="ARF77" s="575"/>
      <c r="ARG77" s="575"/>
      <c r="ARH77" s="575"/>
      <c r="ARI77" s="575"/>
      <c r="ARJ77" s="575"/>
      <c r="ARK77" s="575"/>
      <c r="ARL77" s="575"/>
      <c r="ARM77" s="575"/>
      <c r="ARN77" s="575"/>
      <c r="ARO77" s="575"/>
      <c r="ARP77" s="575"/>
      <c r="ARQ77" s="575"/>
      <c r="ARR77" s="575"/>
      <c r="ARS77" s="575"/>
      <c r="ART77" s="575"/>
      <c r="ARU77" s="575"/>
      <c r="ARV77" s="575"/>
      <c r="ARW77" s="575"/>
      <c r="ARX77" s="575"/>
      <c r="ARY77" s="575"/>
      <c r="ARZ77" s="575"/>
      <c r="ASA77" s="575"/>
      <c r="ASB77" s="575"/>
      <c r="ASC77" s="575"/>
      <c r="ASD77" s="575"/>
      <c r="ASE77" s="575"/>
      <c r="ASF77" s="575"/>
      <c r="ASG77" s="575"/>
      <c r="ASH77" s="575"/>
      <c r="ASI77" s="575"/>
      <c r="ASJ77" s="575"/>
      <c r="ASK77" s="575"/>
      <c r="ASL77" s="575"/>
      <c r="ASM77" s="575"/>
      <c r="ASN77" s="575"/>
      <c r="ASO77" s="575"/>
      <c r="ASP77" s="575"/>
      <c r="ASQ77" s="575"/>
      <c r="ASR77" s="575"/>
      <c r="ASS77" s="575"/>
      <c r="AST77" s="575"/>
      <c r="ASU77" s="575"/>
      <c r="ASV77" s="575"/>
      <c r="ASW77" s="575"/>
      <c r="ASX77" s="575"/>
      <c r="ASY77" s="575"/>
      <c r="ASZ77" s="575"/>
      <c r="ATA77" s="575"/>
      <c r="ATB77" s="575"/>
      <c r="ATC77" s="575"/>
      <c r="ATD77" s="575"/>
      <c r="ATE77" s="575"/>
      <c r="ATF77" s="575"/>
      <c r="ATG77" s="575"/>
      <c r="ATH77" s="575"/>
      <c r="ATI77" s="575"/>
      <c r="ATJ77" s="575"/>
      <c r="ATK77" s="575"/>
      <c r="ATL77" s="575"/>
      <c r="ATM77" s="575"/>
      <c r="ATN77" s="575"/>
      <c r="ATO77" s="575"/>
      <c r="ATP77" s="575"/>
      <c r="ATQ77" s="575"/>
      <c r="ATR77" s="575"/>
      <c r="ATS77" s="575"/>
      <c r="ATT77" s="575"/>
      <c r="ATU77" s="575"/>
      <c r="ATV77" s="575"/>
      <c r="ATW77" s="575"/>
      <c r="ATX77" s="575"/>
      <c r="ATY77" s="575"/>
      <c r="ATZ77" s="575"/>
      <c r="AUA77" s="575"/>
      <c r="AUB77" s="575"/>
      <c r="AUC77" s="575"/>
      <c r="AUD77" s="575"/>
      <c r="AUE77" s="575"/>
      <c r="AUF77" s="575"/>
      <c r="AUG77" s="575"/>
      <c r="AUH77" s="575"/>
      <c r="AUI77" s="575"/>
      <c r="AUJ77" s="575"/>
      <c r="AUK77" s="575"/>
      <c r="AUL77" s="575"/>
      <c r="AUM77" s="575"/>
      <c r="AUN77" s="575"/>
      <c r="AUO77" s="575"/>
      <c r="AUP77" s="575"/>
      <c r="AUQ77" s="575"/>
      <c r="AUR77" s="575"/>
      <c r="AUS77" s="575"/>
      <c r="AUT77" s="575"/>
      <c r="AUU77" s="575"/>
      <c r="AUV77" s="575"/>
      <c r="AUW77" s="575"/>
      <c r="AUX77" s="575"/>
      <c r="AUY77" s="575"/>
      <c r="AUZ77" s="575"/>
      <c r="AVA77" s="575"/>
      <c r="AVB77" s="575"/>
      <c r="AVC77" s="575"/>
      <c r="AVD77" s="575"/>
      <c r="AVE77" s="575"/>
      <c r="AVF77" s="575"/>
      <c r="AVG77" s="575"/>
      <c r="AVH77" s="575"/>
      <c r="AVI77" s="575"/>
      <c r="AVJ77" s="575"/>
      <c r="AVK77" s="575"/>
      <c r="AVL77" s="575"/>
      <c r="AVM77" s="575"/>
      <c r="AVN77" s="575"/>
      <c r="AVO77" s="575"/>
      <c r="AVP77" s="575"/>
      <c r="AVQ77" s="575"/>
      <c r="AVR77" s="575"/>
      <c r="AVS77" s="575"/>
      <c r="AVT77" s="575"/>
      <c r="AVU77" s="575"/>
      <c r="AVV77" s="575"/>
      <c r="AVW77" s="575"/>
      <c r="AVX77" s="575"/>
      <c r="AVY77" s="575"/>
      <c r="AVZ77" s="575"/>
      <c r="AWA77" s="575"/>
      <c r="AWB77" s="575"/>
      <c r="AWC77" s="575"/>
      <c r="AWD77" s="575"/>
      <c r="AWE77" s="575"/>
      <c r="AWF77" s="575"/>
      <c r="AWG77" s="575"/>
      <c r="AWH77" s="575"/>
      <c r="AWI77" s="575"/>
      <c r="AWJ77" s="575"/>
      <c r="AWK77" s="575"/>
      <c r="AWL77" s="575"/>
      <c r="AWM77" s="575"/>
      <c r="AWN77" s="575"/>
      <c r="AWO77" s="575"/>
      <c r="AWP77" s="575"/>
      <c r="AWQ77" s="575"/>
      <c r="AWR77" s="575"/>
      <c r="AWS77" s="575"/>
      <c r="AWT77" s="575"/>
      <c r="AWU77" s="575"/>
      <c r="AWV77" s="575"/>
      <c r="AWW77" s="575"/>
      <c r="AWX77" s="575"/>
      <c r="AWY77" s="575"/>
      <c r="AWZ77" s="575"/>
      <c r="AXA77" s="575"/>
      <c r="AXB77" s="575"/>
      <c r="AXC77" s="575"/>
      <c r="AXD77" s="575"/>
      <c r="AXE77" s="575"/>
      <c r="AXF77" s="575"/>
      <c r="AXG77" s="575"/>
      <c r="AXH77" s="575"/>
      <c r="AXI77" s="575"/>
      <c r="AXJ77" s="575"/>
      <c r="AXK77" s="575"/>
      <c r="AXL77" s="575"/>
      <c r="AXM77" s="575"/>
      <c r="AXN77" s="575"/>
      <c r="AXO77" s="575"/>
      <c r="AXP77" s="575"/>
      <c r="AXQ77" s="575"/>
      <c r="AXR77" s="575"/>
      <c r="AXS77" s="575"/>
      <c r="AXT77" s="575"/>
      <c r="AXU77" s="575"/>
      <c r="AXV77" s="575"/>
      <c r="AXW77" s="575"/>
      <c r="AXX77" s="575"/>
      <c r="AXY77" s="575"/>
      <c r="AXZ77" s="575"/>
      <c r="AYA77" s="575"/>
      <c r="AYB77" s="575"/>
      <c r="AYC77" s="575"/>
      <c r="AYD77" s="575"/>
      <c r="AYE77" s="575"/>
      <c r="AYF77" s="575"/>
      <c r="AYG77" s="575"/>
      <c r="AYH77" s="575"/>
      <c r="AYI77" s="575"/>
      <c r="AYJ77" s="575"/>
      <c r="AYK77" s="575"/>
      <c r="AYL77" s="575"/>
      <c r="AYM77" s="575"/>
      <c r="AYN77" s="575"/>
      <c r="AYO77" s="575"/>
      <c r="AYP77" s="575"/>
      <c r="AYQ77" s="575"/>
      <c r="AYR77" s="575"/>
      <c r="AYS77" s="575"/>
      <c r="AYT77" s="575"/>
      <c r="AYU77" s="575"/>
      <c r="AYV77" s="575"/>
      <c r="AYW77" s="575"/>
      <c r="AYX77" s="575"/>
      <c r="AYY77" s="575"/>
      <c r="AYZ77" s="575"/>
      <c r="AZA77" s="575"/>
      <c r="AZB77" s="575"/>
      <c r="AZC77" s="575"/>
      <c r="AZD77" s="575"/>
      <c r="AZE77" s="575"/>
      <c r="AZF77" s="575"/>
      <c r="AZG77" s="575"/>
      <c r="AZH77" s="575"/>
      <c r="AZI77" s="575"/>
      <c r="AZJ77" s="575"/>
      <c r="AZK77" s="575"/>
      <c r="AZL77" s="575"/>
      <c r="AZM77" s="575"/>
      <c r="AZN77" s="575"/>
      <c r="AZO77" s="575"/>
      <c r="AZP77" s="575"/>
      <c r="AZQ77" s="575"/>
      <c r="AZR77" s="575"/>
      <c r="AZS77" s="575"/>
      <c r="AZT77" s="575"/>
      <c r="AZU77" s="575"/>
      <c r="AZV77" s="575"/>
      <c r="AZW77" s="575"/>
      <c r="AZX77" s="575"/>
      <c r="AZY77" s="575"/>
      <c r="AZZ77" s="575"/>
      <c r="BAA77" s="575"/>
      <c r="BAB77" s="575"/>
      <c r="BAC77" s="575"/>
      <c r="BAD77" s="575"/>
      <c r="BAE77" s="575"/>
      <c r="BAF77" s="575"/>
      <c r="BAG77" s="575"/>
      <c r="BAH77" s="575"/>
      <c r="BAI77" s="575"/>
      <c r="BAJ77" s="575"/>
      <c r="BAK77" s="575"/>
      <c r="BAL77" s="575"/>
      <c r="BAM77" s="575"/>
      <c r="BAN77" s="575"/>
      <c r="BAO77" s="575"/>
      <c r="BAP77" s="575"/>
      <c r="BAQ77" s="575"/>
      <c r="BAR77" s="575"/>
      <c r="BAS77" s="575"/>
      <c r="BAT77" s="575"/>
      <c r="BAU77" s="575"/>
      <c r="BAV77" s="575"/>
      <c r="BAW77" s="575"/>
      <c r="BAX77" s="575"/>
      <c r="BAY77" s="575"/>
      <c r="BAZ77" s="575"/>
      <c r="BBA77" s="575"/>
      <c r="BBB77" s="575"/>
      <c r="BBC77" s="575"/>
      <c r="BBD77" s="575"/>
      <c r="BBE77" s="575"/>
      <c r="BBF77" s="575"/>
      <c r="BBG77" s="575"/>
      <c r="BBH77" s="575"/>
      <c r="BBI77" s="575"/>
      <c r="BBJ77" s="575"/>
      <c r="BBK77" s="575"/>
      <c r="BBL77" s="575"/>
      <c r="BBM77" s="575"/>
      <c r="BBN77" s="575"/>
      <c r="BBO77" s="575"/>
      <c r="BBP77" s="575"/>
      <c r="BBQ77" s="575"/>
      <c r="BBR77" s="575"/>
      <c r="BBS77" s="575"/>
      <c r="BBT77" s="575"/>
      <c r="BBU77" s="575"/>
      <c r="BBV77" s="575"/>
      <c r="BBW77" s="575"/>
      <c r="BBX77" s="575"/>
      <c r="BBY77" s="575"/>
      <c r="BBZ77" s="575"/>
      <c r="BCA77" s="575"/>
      <c r="BCB77" s="575"/>
      <c r="BCC77" s="575"/>
      <c r="BCD77" s="575"/>
      <c r="BCE77" s="575"/>
      <c r="BCF77" s="575"/>
      <c r="BCG77" s="575"/>
      <c r="BCH77" s="575"/>
      <c r="BCI77" s="575"/>
      <c r="BCJ77" s="575"/>
      <c r="BCK77" s="575"/>
      <c r="BCL77" s="575"/>
      <c r="BCM77" s="575"/>
      <c r="BCN77" s="575"/>
      <c r="BCO77" s="575"/>
      <c r="BCP77" s="575"/>
      <c r="BCQ77" s="575"/>
      <c r="BCR77" s="575"/>
      <c r="BCS77" s="575"/>
      <c r="BCT77" s="575"/>
      <c r="BCU77" s="575"/>
      <c r="BCV77" s="575"/>
      <c r="BCW77" s="575"/>
      <c r="BCX77" s="575"/>
      <c r="BCY77" s="575"/>
      <c r="BCZ77" s="575"/>
      <c r="BDA77" s="575"/>
      <c r="BDB77" s="575"/>
      <c r="BDC77" s="575"/>
      <c r="BDD77" s="575"/>
      <c r="BDE77" s="575"/>
      <c r="BDF77" s="575"/>
      <c r="BDG77" s="575"/>
      <c r="BDH77" s="575"/>
      <c r="BDI77" s="575"/>
      <c r="BDJ77" s="575"/>
      <c r="BDK77" s="575"/>
      <c r="BDL77" s="575"/>
      <c r="BDM77" s="575"/>
      <c r="BDN77" s="575"/>
      <c r="BDO77" s="575"/>
      <c r="BDP77" s="575"/>
      <c r="BDQ77" s="575"/>
      <c r="BDR77" s="575"/>
      <c r="BDS77" s="575"/>
      <c r="BDT77" s="575"/>
    </row>
    <row r="78" spans="1:1476" x14ac:dyDescent="0.25">
      <c r="A78" s="608">
        <v>5527</v>
      </c>
      <c r="B78" s="609" t="s">
        <v>167</v>
      </c>
      <c r="C78" s="610">
        <v>2307131.33</v>
      </c>
      <c r="D78" s="610">
        <v>402635.98</v>
      </c>
      <c r="E78" s="610"/>
      <c r="F78" s="611"/>
      <c r="G78" s="610">
        <v>5233.8999999999996</v>
      </c>
      <c r="H78" s="610">
        <v>19552.25</v>
      </c>
      <c r="I78" s="610"/>
      <c r="J78" s="610">
        <v>53493.440000000002</v>
      </c>
      <c r="K78" s="610">
        <v>9648.75</v>
      </c>
      <c r="L78" s="610">
        <v>246295.15</v>
      </c>
      <c r="M78" s="434">
        <f t="shared" si="4"/>
        <v>3043990.8</v>
      </c>
      <c r="N78" s="612">
        <v>11668.5</v>
      </c>
      <c r="O78" s="612">
        <v>0</v>
      </c>
      <c r="P78" s="612">
        <v>119845</v>
      </c>
      <c r="Q78" s="612">
        <v>7115.65</v>
      </c>
      <c r="R78" s="612">
        <v>159323.4</v>
      </c>
      <c r="S78" s="610">
        <v>2590.2800000000002</v>
      </c>
      <c r="T78" s="543">
        <f t="shared" si="5"/>
        <v>3344533.6299999994</v>
      </c>
      <c r="U78" s="575">
        <v>-34331.26</v>
      </c>
      <c r="V78" s="612"/>
      <c r="W78" s="612">
        <v>-5900.05</v>
      </c>
      <c r="X78" s="624">
        <v>74</v>
      </c>
      <c r="Y78" s="631">
        <v>1</v>
      </c>
      <c r="Z78" s="628">
        <f>VLOOKUP(A78,'[2]2022 toutes communes'!$B$9:$D$317,3,FALSE)</f>
        <v>1172</v>
      </c>
      <c r="AA78" s="617"/>
      <c r="AB78" s="618">
        <v>86237</v>
      </c>
      <c r="AC78" s="547">
        <f>AB78/VPI!R78</f>
        <v>2.1176742091170233</v>
      </c>
      <c r="AD78" s="548">
        <f t="shared" si="6"/>
        <v>102591</v>
      </c>
      <c r="AE78" s="547">
        <f>AD78/VPI!R78</f>
        <v>2.5192703223387243</v>
      </c>
      <c r="AF78" s="618">
        <v>188828</v>
      </c>
      <c r="AG78" s="618">
        <v>67206</v>
      </c>
      <c r="AH78" s="618">
        <v>80158</v>
      </c>
      <c r="AI78" s="627"/>
      <c r="AJ78" s="628">
        <v>0</v>
      </c>
      <c r="AK78" s="547">
        <f>AJ78/VPI!R78</f>
        <v>0</v>
      </c>
      <c r="AL78" s="548">
        <f t="shared" si="7"/>
        <v>26098</v>
      </c>
      <c r="AM78" s="547">
        <f>AL78/VPI!R78</f>
        <v>0.64087412026782098</v>
      </c>
      <c r="AN78" s="628">
        <v>26098</v>
      </c>
      <c r="AO78" s="627"/>
      <c r="AP78" s="629">
        <v>17.040757593502782</v>
      </c>
      <c r="AR78" s="630">
        <v>0</v>
      </c>
    </row>
    <row r="79" spans="1:1476" x14ac:dyDescent="0.25">
      <c r="A79" s="608">
        <v>5529</v>
      </c>
      <c r="B79" s="609" t="s">
        <v>168</v>
      </c>
      <c r="C79" s="610">
        <v>1262540.73</v>
      </c>
      <c r="D79" s="610">
        <v>169910.17</v>
      </c>
      <c r="E79" s="610"/>
      <c r="F79" s="611"/>
      <c r="G79" s="610">
        <v>26486.85</v>
      </c>
      <c r="H79" s="610">
        <v>860.1</v>
      </c>
      <c r="I79" s="610"/>
      <c r="J79" s="610">
        <v>11450.56</v>
      </c>
      <c r="K79" s="610">
        <v>3086.05</v>
      </c>
      <c r="L79" s="610">
        <v>135606.79999999999</v>
      </c>
      <c r="M79" s="434">
        <f t="shared" si="4"/>
        <v>1609941.2600000002</v>
      </c>
      <c r="N79" s="612">
        <v>0</v>
      </c>
      <c r="O79" s="612"/>
      <c r="P79" s="612">
        <v>12210</v>
      </c>
      <c r="Q79" s="612">
        <v>100</v>
      </c>
      <c r="R79" s="612"/>
      <c r="S79" s="610">
        <v>2857.9</v>
      </c>
      <c r="T79" s="543">
        <f t="shared" si="5"/>
        <v>1625109.1600000001</v>
      </c>
      <c r="U79" s="575">
        <v>-2805.51</v>
      </c>
      <c r="V79" s="612"/>
      <c r="W79" s="612">
        <v>-25.7</v>
      </c>
      <c r="X79" s="624">
        <v>71</v>
      </c>
      <c r="Y79" s="631">
        <v>1</v>
      </c>
      <c r="Z79" s="628">
        <f>VLOOKUP(A79,'[2]2022 toutes communes'!$B$9:$D$317,3,FALSE)</f>
        <v>606</v>
      </c>
      <c r="AA79" s="617"/>
      <c r="AB79" s="618">
        <v>21087</v>
      </c>
      <c r="AC79" s="547">
        <f>AB79/VPI!R79</f>
        <v>0.92988435674407399</v>
      </c>
      <c r="AD79" s="548">
        <f t="shared" si="6"/>
        <v>205347</v>
      </c>
      <c r="AE79" s="547">
        <f>AD79/VPI!R79</f>
        <v>9.0552929769206312</v>
      </c>
      <c r="AF79" s="618">
        <v>226434</v>
      </c>
      <c r="AG79" s="618">
        <v>23991</v>
      </c>
      <c r="AH79" s="618">
        <v>54509</v>
      </c>
      <c r="AI79" s="627"/>
      <c r="AJ79" s="628">
        <v>0</v>
      </c>
      <c r="AK79" s="547">
        <f>AJ79/VPI!R79</f>
        <v>0</v>
      </c>
      <c r="AL79" s="548">
        <f t="shared" si="7"/>
        <v>-16588</v>
      </c>
      <c r="AM79" s="547">
        <f>AL79/VPI!R79</f>
        <v>-0.73148962439752918</v>
      </c>
      <c r="AN79" s="636">
        <v>-16588</v>
      </c>
      <c r="AO79" s="627"/>
      <c r="AP79" s="629">
        <v>19.072941113265518</v>
      </c>
      <c r="AR79" s="630">
        <v>0</v>
      </c>
    </row>
    <row r="80" spans="1:1476" s="632" customFormat="1" x14ac:dyDescent="0.25">
      <c r="A80" s="608">
        <v>5530</v>
      </c>
      <c r="B80" s="609" t="s">
        <v>169</v>
      </c>
      <c r="C80" s="610">
        <v>1212967.0900000001</v>
      </c>
      <c r="D80" s="610">
        <v>164636.12</v>
      </c>
      <c r="E80" s="610"/>
      <c r="F80" s="611"/>
      <c r="G80" s="610">
        <v>48649.2</v>
      </c>
      <c r="H80" s="610">
        <v>3236.15</v>
      </c>
      <c r="I80" s="610"/>
      <c r="J80" s="610">
        <v>1792.91</v>
      </c>
      <c r="K80" s="610">
        <v>1252.5</v>
      </c>
      <c r="L80" s="610">
        <v>135198.25</v>
      </c>
      <c r="M80" s="434">
        <f t="shared" si="4"/>
        <v>1567732.2199999997</v>
      </c>
      <c r="N80" s="612">
        <v>20999.9</v>
      </c>
      <c r="O80" s="612">
        <v>452957.2</v>
      </c>
      <c r="P80" s="612">
        <v>23425.5</v>
      </c>
      <c r="Q80" s="612"/>
      <c r="R80" s="612">
        <v>56567.9</v>
      </c>
      <c r="S80" s="610">
        <v>5422.29</v>
      </c>
      <c r="T80" s="543">
        <f t="shared" si="5"/>
        <v>2127105.0099999998</v>
      </c>
      <c r="U80" s="575">
        <v>-3318.71</v>
      </c>
      <c r="V80" s="612"/>
      <c r="W80" s="612">
        <v>0</v>
      </c>
      <c r="X80" s="624">
        <v>76</v>
      </c>
      <c r="Y80" s="631">
        <v>1.2</v>
      </c>
      <c r="Z80" s="628">
        <f>VLOOKUP(A80,'[2]2022 toutes communes'!$B$9:$D$317,3,FALSE)</f>
        <v>566</v>
      </c>
      <c r="AA80" s="617"/>
      <c r="AB80" s="618">
        <v>73432</v>
      </c>
      <c r="AC80" s="547">
        <f>AB80/VPI!R80</f>
        <v>3.6068131914993522</v>
      </c>
      <c r="AD80" s="548">
        <f t="shared" si="6"/>
        <v>110034</v>
      </c>
      <c r="AE80" s="547">
        <f>AD80/VPI!R80</f>
        <v>5.4046203659636092</v>
      </c>
      <c r="AF80" s="618">
        <v>183466</v>
      </c>
      <c r="AG80" s="618">
        <v>22286</v>
      </c>
      <c r="AH80" s="618">
        <v>50635</v>
      </c>
      <c r="AI80" s="627"/>
      <c r="AJ80" s="628">
        <v>0</v>
      </c>
      <c r="AK80" s="547">
        <f>AJ80/VPI!R80</f>
        <v>0</v>
      </c>
      <c r="AL80" s="548">
        <f t="shared" si="7"/>
        <v>34262</v>
      </c>
      <c r="AM80" s="547">
        <f>AL80/VPI!R80</f>
        <v>1.6828716849214349</v>
      </c>
      <c r="AN80" s="628">
        <v>34262</v>
      </c>
      <c r="AO80" s="627"/>
      <c r="AP80" s="629">
        <v>16.957643952209164</v>
      </c>
      <c r="AQ80" s="575"/>
      <c r="AR80" s="630">
        <v>0</v>
      </c>
      <c r="AS80" s="575"/>
      <c r="AT80" s="575"/>
      <c r="AU80" s="575"/>
      <c r="AV80" s="575"/>
      <c r="AW80" s="575"/>
      <c r="AX80" s="575"/>
      <c r="AY80" s="575"/>
      <c r="AZ80" s="575"/>
      <c r="BA80" s="575"/>
      <c r="BB80" s="575"/>
      <c r="BC80" s="575"/>
      <c r="BD80" s="575"/>
      <c r="BE80" s="575"/>
      <c r="BF80" s="575"/>
      <c r="BG80" s="575"/>
      <c r="BH80" s="575"/>
      <c r="BI80" s="575"/>
      <c r="BJ80" s="575"/>
      <c r="BK80" s="575"/>
      <c r="BL80" s="575"/>
      <c r="BM80" s="575"/>
      <c r="BN80" s="575"/>
      <c r="BO80" s="575"/>
      <c r="BP80" s="575"/>
      <c r="BQ80" s="575"/>
      <c r="BR80" s="575"/>
      <c r="BS80" s="575"/>
      <c r="BT80" s="575"/>
      <c r="BU80" s="575"/>
      <c r="BV80" s="575"/>
      <c r="BW80" s="575"/>
      <c r="BX80" s="575"/>
      <c r="BY80" s="575"/>
      <c r="BZ80" s="575"/>
      <c r="CA80" s="575"/>
      <c r="CB80" s="575"/>
      <c r="CC80" s="575"/>
      <c r="CD80" s="575"/>
      <c r="CE80" s="575"/>
      <c r="CF80" s="575"/>
      <c r="CG80" s="575"/>
      <c r="CH80" s="575"/>
      <c r="CI80" s="575"/>
      <c r="CJ80" s="575"/>
      <c r="CK80" s="575"/>
      <c r="CL80" s="575"/>
      <c r="CM80" s="575"/>
      <c r="CN80" s="575"/>
      <c r="CO80" s="575"/>
      <c r="CP80" s="575"/>
      <c r="CQ80" s="575"/>
      <c r="CR80" s="575"/>
      <c r="CS80" s="575"/>
      <c r="CT80" s="575"/>
      <c r="CU80" s="575"/>
      <c r="CV80" s="575"/>
      <c r="CW80" s="575"/>
      <c r="CX80" s="575"/>
      <c r="CY80" s="575"/>
      <c r="CZ80" s="575"/>
      <c r="DA80" s="575"/>
      <c r="DB80" s="575"/>
      <c r="DC80" s="575"/>
      <c r="DD80" s="575"/>
      <c r="DE80" s="575"/>
      <c r="DF80" s="575"/>
      <c r="DG80" s="575"/>
      <c r="DH80" s="575"/>
      <c r="DI80" s="575"/>
      <c r="DJ80" s="575"/>
      <c r="DK80" s="575"/>
      <c r="DL80" s="575"/>
      <c r="DM80" s="575"/>
      <c r="DN80" s="575"/>
      <c r="DO80" s="575"/>
      <c r="DP80" s="575"/>
      <c r="DQ80" s="575"/>
      <c r="DR80" s="575"/>
      <c r="DS80" s="575"/>
      <c r="DT80" s="575"/>
      <c r="DU80" s="575"/>
      <c r="DV80" s="575"/>
      <c r="DW80" s="575"/>
      <c r="DX80" s="575"/>
      <c r="DY80" s="575"/>
      <c r="DZ80" s="575"/>
      <c r="EA80" s="575"/>
      <c r="EB80" s="575"/>
      <c r="EC80" s="575"/>
      <c r="ED80" s="575"/>
      <c r="EE80" s="575"/>
      <c r="EF80" s="575"/>
      <c r="EG80" s="575"/>
      <c r="EH80" s="575"/>
      <c r="EI80" s="575"/>
      <c r="EJ80" s="575"/>
      <c r="EK80" s="575"/>
      <c r="EL80" s="575"/>
      <c r="EM80" s="575"/>
      <c r="EN80" s="575"/>
      <c r="EO80" s="575"/>
      <c r="EP80" s="575"/>
      <c r="EQ80" s="575"/>
      <c r="ER80" s="575"/>
      <c r="ES80" s="575"/>
      <c r="ET80" s="575"/>
      <c r="EU80" s="575"/>
      <c r="EV80" s="575"/>
      <c r="EW80" s="575"/>
      <c r="EX80" s="575"/>
      <c r="EY80" s="575"/>
      <c r="EZ80" s="575"/>
      <c r="FA80" s="575"/>
      <c r="FB80" s="575"/>
      <c r="FC80" s="575"/>
      <c r="FD80" s="575"/>
      <c r="FE80" s="575"/>
      <c r="FF80" s="575"/>
      <c r="FG80" s="575"/>
      <c r="FH80" s="575"/>
      <c r="FI80" s="575"/>
      <c r="FJ80" s="575"/>
      <c r="FK80" s="575"/>
      <c r="FL80" s="575"/>
      <c r="FM80" s="575"/>
      <c r="FN80" s="575"/>
      <c r="FO80" s="575"/>
      <c r="FP80" s="575"/>
      <c r="FQ80" s="575"/>
      <c r="FR80" s="575"/>
      <c r="FS80" s="575"/>
      <c r="FT80" s="575"/>
      <c r="FU80" s="575"/>
      <c r="FV80" s="575"/>
      <c r="FW80" s="575"/>
      <c r="FX80" s="575"/>
      <c r="FY80" s="575"/>
      <c r="FZ80" s="575"/>
      <c r="GA80" s="575"/>
      <c r="GB80" s="575"/>
      <c r="GC80" s="575"/>
      <c r="GD80" s="575"/>
      <c r="GE80" s="575"/>
      <c r="GF80" s="575"/>
      <c r="GG80" s="575"/>
      <c r="GH80" s="575"/>
      <c r="GI80" s="575"/>
      <c r="GJ80" s="575"/>
      <c r="GK80" s="575"/>
      <c r="GL80" s="575"/>
      <c r="GM80" s="575"/>
      <c r="GN80" s="575"/>
      <c r="GO80" s="575"/>
      <c r="GP80" s="575"/>
      <c r="GQ80" s="575"/>
      <c r="GR80" s="575"/>
      <c r="GS80" s="575"/>
      <c r="GT80" s="575"/>
      <c r="GU80" s="575"/>
      <c r="GV80" s="575"/>
      <c r="GW80" s="575"/>
      <c r="GX80" s="575"/>
      <c r="GY80" s="575"/>
      <c r="GZ80" s="575"/>
      <c r="HA80" s="575"/>
      <c r="HB80" s="575"/>
      <c r="HC80" s="575"/>
      <c r="HD80" s="575"/>
      <c r="HE80" s="575"/>
      <c r="HF80" s="575"/>
      <c r="HG80" s="575"/>
      <c r="HH80" s="575"/>
      <c r="HI80" s="575"/>
      <c r="HJ80" s="575"/>
      <c r="HK80" s="575"/>
      <c r="HL80" s="575"/>
      <c r="HM80" s="575"/>
      <c r="HN80" s="575"/>
      <c r="HO80" s="575"/>
      <c r="HP80" s="575"/>
      <c r="HQ80" s="575"/>
      <c r="HR80" s="575"/>
      <c r="HS80" s="575"/>
      <c r="HT80" s="575"/>
      <c r="HU80" s="575"/>
      <c r="HV80" s="575"/>
      <c r="HW80" s="575"/>
      <c r="HX80" s="575"/>
      <c r="HY80" s="575"/>
      <c r="HZ80" s="575"/>
      <c r="IA80" s="575"/>
      <c r="IB80" s="575"/>
      <c r="IC80" s="575"/>
      <c r="ID80" s="575"/>
      <c r="IE80" s="575"/>
      <c r="IF80" s="575"/>
      <c r="IG80" s="575"/>
      <c r="IH80" s="575"/>
      <c r="II80" s="575"/>
      <c r="IJ80" s="575"/>
      <c r="IK80" s="575"/>
      <c r="IL80" s="575"/>
      <c r="IM80" s="575"/>
      <c r="IN80" s="575"/>
      <c r="IO80" s="575"/>
      <c r="IP80" s="575"/>
      <c r="IQ80" s="575"/>
      <c r="IR80" s="575"/>
      <c r="IS80" s="575"/>
      <c r="IT80" s="575"/>
      <c r="IU80" s="575"/>
      <c r="IV80" s="575"/>
      <c r="IW80" s="575"/>
      <c r="IX80" s="575"/>
      <c r="IY80" s="575"/>
      <c r="IZ80" s="575"/>
      <c r="JA80" s="575"/>
      <c r="JB80" s="575"/>
      <c r="JC80" s="575"/>
      <c r="JD80" s="575"/>
      <c r="JE80" s="575"/>
      <c r="JF80" s="575"/>
      <c r="JG80" s="575"/>
      <c r="JH80" s="575"/>
      <c r="JI80" s="575"/>
      <c r="JJ80" s="575"/>
      <c r="JK80" s="575"/>
      <c r="JL80" s="575"/>
      <c r="JM80" s="575"/>
      <c r="JN80" s="575"/>
      <c r="JO80" s="575"/>
      <c r="JP80" s="575"/>
      <c r="JQ80" s="575"/>
      <c r="JR80" s="575"/>
      <c r="JS80" s="575"/>
      <c r="JT80" s="575"/>
      <c r="JU80" s="575"/>
      <c r="JV80" s="575"/>
      <c r="JW80" s="575"/>
      <c r="JX80" s="575"/>
      <c r="JY80" s="575"/>
      <c r="JZ80" s="575"/>
      <c r="KA80" s="575"/>
      <c r="KB80" s="575"/>
      <c r="KC80" s="575"/>
      <c r="KD80" s="575"/>
      <c r="KE80" s="575"/>
      <c r="KF80" s="575"/>
      <c r="KG80" s="575"/>
      <c r="KH80" s="575"/>
      <c r="KI80" s="575"/>
      <c r="KJ80" s="575"/>
      <c r="KK80" s="575"/>
      <c r="KL80" s="575"/>
      <c r="KM80" s="575"/>
      <c r="KN80" s="575"/>
      <c r="KO80" s="575"/>
      <c r="KP80" s="575"/>
      <c r="KQ80" s="575"/>
      <c r="KR80" s="575"/>
      <c r="KS80" s="575"/>
      <c r="KT80" s="575"/>
      <c r="KU80" s="575"/>
      <c r="KV80" s="575"/>
      <c r="KW80" s="575"/>
      <c r="KX80" s="575"/>
      <c r="KY80" s="575"/>
      <c r="KZ80" s="575"/>
      <c r="LA80" s="575"/>
      <c r="LB80" s="575"/>
      <c r="LC80" s="575"/>
      <c r="LD80" s="575"/>
      <c r="LE80" s="575"/>
      <c r="LF80" s="575"/>
      <c r="LG80" s="575"/>
      <c r="LH80" s="575"/>
      <c r="LI80" s="575"/>
      <c r="LJ80" s="575"/>
      <c r="LK80" s="575"/>
      <c r="LL80" s="575"/>
      <c r="LM80" s="575"/>
      <c r="LN80" s="575"/>
      <c r="LO80" s="575"/>
      <c r="LP80" s="575"/>
      <c r="LQ80" s="575"/>
      <c r="LR80" s="575"/>
      <c r="LS80" s="575"/>
      <c r="LT80" s="575"/>
      <c r="LU80" s="575"/>
      <c r="LV80" s="575"/>
      <c r="LW80" s="575"/>
      <c r="LX80" s="575"/>
      <c r="LY80" s="575"/>
      <c r="LZ80" s="575"/>
      <c r="MA80" s="575"/>
      <c r="MB80" s="575"/>
      <c r="MC80" s="575"/>
      <c r="MD80" s="575"/>
      <c r="ME80" s="575"/>
      <c r="MF80" s="575"/>
      <c r="MG80" s="575"/>
      <c r="MH80" s="575"/>
      <c r="MI80" s="575"/>
      <c r="MJ80" s="575"/>
      <c r="MK80" s="575"/>
      <c r="ML80" s="575"/>
      <c r="MM80" s="575"/>
      <c r="MN80" s="575"/>
      <c r="MO80" s="575"/>
      <c r="MP80" s="575"/>
      <c r="MQ80" s="575"/>
      <c r="MR80" s="575"/>
      <c r="MS80" s="575"/>
      <c r="MT80" s="575"/>
      <c r="MU80" s="575"/>
      <c r="MV80" s="575"/>
      <c r="MW80" s="575"/>
      <c r="MX80" s="575"/>
      <c r="MY80" s="575"/>
      <c r="MZ80" s="575"/>
      <c r="NA80" s="575"/>
      <c r="NB80" s="575"/>
      <c r="NC80" s="575"/>
      <c r="ND80" s="575"/>
      <c r="NE80" s="575"/>
      <c r="NF80" s="575"/>
      <c r="NG80" s="575"/>
      <c r="NH80" s="575"/>
      <c r="NI80" s="575"/>
      <c r="NJ80" s="575"/>
      <c r="NK80" s="575"/>
      <c r="NL80" s="575"/>
      <c r="NM80" s="575"/>
      <c r="NN80" s="575"/>
      <c r="NO80" s="575"/>
      <c r="NP80" s="575"/>
      <c r="NQ80" s="575"/>
      <c r="NR80" s="575"/>
      <c r="NS80" s="575"/>
      <c r="NT80" s="575"/>
      <c r="NU80" s="575"/>
      <c r="NV80" s="575"/>
      <c r="NW80" s="575"/>
      <c r="NX80" s="575"/>
      <c r="NY80" s="575"/>
      <c r="NZ80" s="575"/>
      <c r="OA80" s="575"/>
      <c r="OB80" s="575"/>
      <c r="OC80" s="575"/>
      <c r="OD80" s="575"/>
      <c r="OE80" s="575"/>
      <c r="OF80" s="575"/>
      <c r="OG80" s="575"/>
      <c r="OH80" s="575"/>
      <c r="OI80" s="575"/>
      <c r="OJ80" s="575"/>
      <c r="OK80" s="575"/>
      <c r="OL80" s="575"/>
      <c r="OM80" s="575"/>
      <c r="ON80" s="575"/>
      <c r="OO80" s="575"/>
      <c r="OP80" s="575"/>
      <c r="OQ80" s="575"/>
      <c r="OR80" s="575"/>
      <c r="OS80" s="575"/>
      <c r="OT80" s="575"/>
      <c r="OU80" s="575"/>
      <c r="OV80" s="575"/>
      <c r="OW80" s="575"/>
      <c r="OX80" s="575"/>
      <c r="OY80" s="575"/>
      <c r="OZ80" s="575"/>
      <c r="PA80" s="575"/>
      <c r="PB80" s="575"/>
      <c r="PC80" s="575"/>
      <c r="PD80" s="575"/>
      <c r="PE80" s="575"/>
      <c r="PF80" s="575"/>
      <c r="PG80" s="575"/>
      <c r="PH80" s="575"/>
      <c r="PI80" s="575"/>
      <c r="PJ80" s="575"/>
      <c r="PK80" s="575"/>
      <c r="PL80" s="575"/>
      <c r="PM80" s="575"/>
      <c r="PN80" s="575"/>
      <c r="PO80" s="575"/>
      <c r="PP80" s="575"/>
      <c r="PQ80" s="575"/>
      <c r="PR80" s="575"/>
      <c r="PS80" s="575"/>
      <c r="PT80" s="575"/>
      <c r="PU80" s="575"/>
      <c r="PV80" s="575"/>
      <c r="PW80" s="575"/>
      <c r="PX80" s="575"/>
      <c r="PY80" s="575"/>
      <c r="PZ80" s="575"/>
      <c r="QA80" s="575"/>
      <c r="QB80" s="575"/>
      <c r="QC80" s="575"/>
      <c r="QD80" s="575"/>
      <c r="QE80" s="575"/>
      <c r="QF80" s="575"/>
      <c r="QG80" s="575"/>
      <c r="QH80" s="575"/>
      <c r="QI80" s="575"/>
      <c r="QJ80" s="575"/>
      <c r="QK80" s="575"/>
      <c r="QL80" s="575"/>
      <c r="QM80" s="575"/>
      <c r="QN80" s="575"/>
      <c r="QO80" s="575"/>
      <c r="QP80" s="575"/>
      <c r="QQ80" s="575"/>
      <c r="QR80" s="575"/>
      <c r="QS80" s="575"/>
      <c r="QT80" s="575"/>
      <c r="QU80" s="575"/>
      <c r="QV80" s="575"/>
      <c r="QW80" s="575"/>
      <c r="QX80" s="575"/>
      <c r="QY80" s="575"/>
      <c r="QZ80" s="575"/>
      <c r="RA80" s="575"/>
      <c r="RB80" s="575"/>
      <c r="RC80" s="575"/>
      <c r="RD80" s="575"/>
      <c r="RE80" s="575"/>
      <c r="RF80" s="575"/>
      <c r="RG80" s="575"/>
      <c r="RH80" s="575"/>
      <c r="RI80" s="575"/>
      <c r="RJ80" s="575"/>
      <c r="RK80" s="575"/>
      <c r="RL80" s="575"/>
      <c r="RM80" s="575"/>
      <c r="RN80" s="575"/>
      <c r="RO80" s="575"/>
      <c r="RP80" s="575"/>
      <c r="RQ80" s="575"/>
      <c r="RR80" s="575"/>
      <c r="RS80" s="575"/>
      <c r="RT80" s="575"/>
      <c r="RU80" s="575"/>
      <c r="RV80" s="575"/>
      <c r="RW80" s="575"/>
      <c r="RX80" s="575"/>
      <c r="RY80" s="575"/>
      <c r="RZ80" s="575"/>
      <c r="SA80" s="575"/>
      <c r="SB80" s="575"/>
      <c r="SC80" s="575"/>
      <c r="SD80" s="575"/>
      <c r="SE80" s="575"/>
      <c r="SF80" s="575"/>
      <c r="SG80" s="575"/>
      <c r="SH80" s="575"/>
      <c r="SI80" s="575"/>
      <c r="SJ80" s="575"/>
      <c r="SK80" s="575"/>
      <c r="SL80" s="575"/>
      <c r="SM80" s="575"/>
      <c r="SN80" s="575"/>
      <c r="SO80" s="575"/>
      <c r="SP80" s="575"/>
      <c r="SQ80" s="575"/>
      <c r="SR80" s="575"/>
      <c r="SS80" s="575"/>
      <c r="ST80" s="575"/>
      <c r="SU80" s="575"/>
      <c r="SV80" s="575"/>
      <c r="SW80" s="575"/>
      <c r="SX80" s="575"/>
      <c r="SY80" s="575"/>
      <c r="SZ80" s="575"/>
      <c r="TA80" s="575"/>
      <c r="TB80" s="575"/>
      <c r="TC80" s="575"/>
      <c r="TD80" s="575"/>
      <c r="TE80" s="575"/>
      <c r="TF80" s="575"/>
      <c r="TG80" s="575"/>
      <c r="TH80" s="575"/>
      <c r="TI80" s="575"/>
      <c r="TJ80" s="575"/>
      <c r="TK80" s="575"/>
      <c r="TL80" s="575"/>
      <c r="TM80" s="575"/>
      <c r="TN80" s="575"/>
      <c r="TO80" s="575"/>
      <c r="TP80" s="575"/>
      <c r="TQ80" s="575"/>
      <c r="TR80" s="575"/>
      <c r="TS80" s="575"/>
      <c r="TT80" s="575"/>
      <c r="TU80" s="575"/>
      <c r="TV80" s="575"/>
      <c r="TW80" s="575"/>
      <c r="TX80" s="575"/>
      <c r="TY80" s="575"/>
      <c r="TZ80" s="575"/>
      <c r="UA80" s="575"/>
      <c r="UB80" s="575"/>
      <c r="UC80" s="575"/>
      <c r="UD80" s="575"/>
      <c r="UE80" s="575"/>
      <c r="UF80" s="575"/>
      <c r="UG80" s="575"/>
      <c r="UH80" s="575"/>
      <c r="UI80" s="575"/>
      <c r="UJ80" s="575"/>
      <c r="UK80" s="575"/>
      <c r="UL80" s="575"/>
      <c r="UM80" s="575"/>
      <c r="UN80" s="575"/>
      <c r="UO80" s="575"/>
      <c r="UP80" s="575"/>
      <c r="UQ80" s="575"/>
      <c r="UR80" s="575"/>
      <c r="US80" s="575"/>
      <c r="UT80" s="575"/>
      <c r="UU80" s="575"/>
      <c r="UV80" s="575"/>
      <c r="UW80" s="575"/>
      <c r="UX80" s="575"/>
      <c r="UY80" s="575"/>
      <c r="UZ80" s="575"/>
      <c r="VA80" s="575"/>
      <c r="VB80" s="575"/>
      <c r="VC80" s="575"/>
      <c r="VD80" s="575"/>
      <c r="VE80" s="575"/>
      <c r="VF80" s="575"/>
      <c r="VG80" s="575"/>
      <c r="VH80" s="575"/>
      <c r="VI80" s="575"/>
      <c r="VJ80" s="575"/>
      <c r="VK80" s="575"/>
      <c r="VL80" s="575"/>
      <c r="VM80" s="575"/>
      <c r="VN80" s="575"/>
      <c r="VO80" s="575"/>
      <c r="VP80" s="575"/>
      <c r="VQ80" s="575"/>
      <c r="VR80" s="575"/>
      <c r="VS80" s="575"/>
      <c r="VT80" s="575"/>
      <c r="VU80" s="575"/>
      <c r="VV80" s="575"/>
      <c r="VW80" s="575"/>
      <c r="VX80" s="575"/>
      <c r="VY80" s="575"/>
      <c r="VZ80" s="575"/>
      <c r="WA80" s="575"/>
      <c r="WB80" s="575"/>
      <c r="WC80" s="575"/>
      <c r="WD80" s="575"/>
      <c r="WE80" s="575"/>
      <c r="WF80" s="575"/>
      <c r="WG80" s="575"/>
      <c r="WH80" s="575"/>
      <c r="WI80" s="575"/>
      <c r="WJ80" s="575"/>
      <c r="WK80" s="575"/>
      <c r="WL80" s="575"/>
      <c r="WM80" s="575"/>
      <c r="WN80" s="575"/>
      <c r="WO80" s="575"/>
      <c r="WP80" s="575"/>
      <c r="WQ80" s="575"/>
      <c r="WR80" s="575"/>
      <c r="WS80" s="575"/>
      <c r="WT80" s="575"/>
      <c r="WU80" s="575"/>
      <c r="WV80" s="575"/>
      <c r="WW80" s="575"/>
      <c r="WX80" s="575"/>
      <c r="WY80" s="575"/>
      <c r="WZ80" s="575"/>
      <c r="XA80" s="575"/>
      <c r="XB80" s="575"/>
      <c r="XC80" s="575"/>
      <c r="XD80" s="575"/>
      <c r="XE80" s="575"/>
      <c r="XF80" s="575"/>
      <c r="XG80" s="575"/>
      <c r="XH80" s="575"/>
      <c r="XI80" s="575"/>
      <c r="XJ80" s="575"/>
      <c r="XK80" s="575"/>
      <c r="XL80" s="575"/>
      <c r="XM80" s="575"/>
      <c r="XN80" s="575"/>
      <c r="XO80" s="575"/>
      <c r="XP80" s="575"/>
      <c r="XQ80" s="575"/>
      <c r="XR80" s="575"/>
      <c r="XS80" s="575"/>
      <c r="XT80" s="575"/>
      <c r="XU80" s="575"/>
      <c r="XV80" s="575"/>
      <c r="XW80" s="575"/>
      <c r="XX80" s="575"/>
      <c r="XY80" s="575"/>
      <c r="XZ80" s="575"/>
      <c r="YA80" s="575"/>
      <c r="YB80" s="575"/>
      <c r="YC80" s="575"/>
      <c r="YD80" s="575"/>
      <c r="YE80" s="575"/>
      <c r="YF80" s="575"/>
      <c r="YG80" s="575"/>
      <c r="YH80" s="575"/>
      <c r="YI80" s="575"/>
      <c r="YJ80" s="575"/>
      <c r="YK80" s="575"/>
      <c r="YL80" s="575"/>
      <c r="YM80" s="575"/>
      <c r="YN80" s="575"/>
      <c r="YO80" s="575"/>
      <c r="YP80" s="575"/>
      <c r="YQ80" s="575"/>
      <c r="YR80" s="575"/>
      <c r="YS80" s="575"/>
      <c r="YT80" s="575"/>
      <c r="YU80" s="575"/>
      <c r="YV80" s="575"/>
      <c r="YW80" s="575"/>
      <c r="YX80" s="575"/>
      <c r="YY80" s="575"/>
      <c r="YZ80" s="575"/>
      <c r="ZA80" s="575"/>
      <c r="ZB80" s="575"/>
      <c r="ZC80" s="575"/>
      <c r="ZD80" s="575"/>
      <c r="ZE80" s="575"/>
      <c r="ZF80" s="575"/>
      <c r="ZG80" s="575"/>
      <c r="ZH80" s="575"/>
      <c r="ZI80" s="575"/>
      <c r="ZJ80" s="575"/>
      <c r="ZK80" s="575"/>
      <c r="ZL80" s="575"/>
      <c r="ZM80" s="575"/>
      <c r="ZN80" s="575"/>
      <c r="ZO80" s="575"/>
      <c r="ZP80" s="575"/>
      <c r="ZQ80" s="575"/>
      <c r="ZR80" s="575"/>
      <c r="ZS80" s="575"/>
      <c r="ZT80" s="575"/>
      <c r="ZU80" s="575"/>
      <c r="ZV80" s="575"/>
      <c r="ZW80" s="575"/>
      <c r="ZX80" s="575"/>
      <c r="ZY80" s="575"/>
      <c r="ZZ80" s="575"/>
      <c r="AAA80" s="575"/>
      <c r="AAB80" s="575"/>
      <c r="AAC80" s="575"/>
      <c r="AAD80" s="575"/>
      <c r="AAE80" s="575"/>
      <c r="AAF80" s="575"/>
      <c r="AAG80" s="575"/>
      <c r="AAH80" s="575"/>
      <c r="AAI80" s="575"/>
      <c r="AAJ80" s="575"/>
      <c r="AAK80" s="575"/>
      <c r="AAL80" s="575"/>
      <c r="AAM80" s="575"/>
      <c r="AAN80" s="575"/>
      <c r="AAO80" s="575"/>
      <c r="AAP80" s="575"/>
      <c r="AAQ80" s="575"/>
      <c r="AAR80" s="575"/>
      <c r="AAS80" s="575"/>
      <c r="AAT80" s="575"/>
      <c r="AAU80" s="575"/>
      <c r="AAV80" s="575"/>
      <c r="AAW80" s="575"/>
      <c r="AAX80" s="575"/>
      <c r="AAY80" s="575"/>
      <c r="AAZ80" s="575"/>
      <c r="ABA80" s="575"/>
      <c r="ABB80" s="575"/>
      <c r="ABC80" s="575"/>
      <c r="ABD80" s="575"/>
      <c r="ABE80" s="575"/>
      <c r="ABF80" s="575"/>
      <c r="ABG80" s="575"/>
      <c r="ABH80" s="575"/>
      <c r="ABI80" s="575"/>
      <c r="ABJ80" s="575"/>
      <c r="ABK80" s="575"/>
      <c r="ABL80" s="575"/>
      <c r="ABM80" s="575"/>
      <c r="ABN80" s="575"/>
      <c r="ABO80" s="575"/>
      <c r="ABP80" s="575"/>
      <c r="ABQ80" s="575"/>
      <c r="ABR80" s="575"/>
      <c r="ABS80" s="575"/>
      <c r="ABT80" s="575"/>
      <c r="ABU80" s="575"/>
      <c r="ABV80" s="575"/>
      <c r="ABW80" s="575"/>
      <c r="ABX80" s="575"/>
      <c r="ABY80" s="575"/>
      <c r="ABZ80" s="575"/>
      <c r="ACA80" s="575"/>
      <c r="ACB80" s="575"/>
      <c r="ACC80" s="575"/>
      <c r="ACD80" s="575"/>
      <c r="ACE80" s="575"/>
      <c r="ACF80" s="575"/>
      <c r="ACG80" s="575"/>
      <c r="ACH80" s="575"/>
      <c r="ACI80" s="575"/>
      <c r="ACJ80" s="575"/>
      <c r="ACK80" s="575"/>
      <c r="ACL80" s="575"/>
      <c r="ACM80" s="575"/>
      <c r="ACN80" s="575"/>
      <c r="ACO80" s="575"/>
      <c r="ACP80" s="575"/>
      <c r="ACQ80" s="575"/>
      <c r="ACR80" s="575"/>
      <c r="ACS80" s="575"/>
      <c r="ACT80" s="575"/>
      <c r="ACU80" s="575"/>
      <c r="ACV80" s="575"/>
      <c r="ACW80" s="575"/>
      <c r="ACX80" s="575"/>
      <c r="ACY80" s="575"/>
      <c r="ACZ80" s="575"/>
      <c r="ADA80" s="575"/>
      <c r="ADB80" s="575"/>
      <c r="ADC80" s="575"/>
      <c r="ADD80" s="575"/>
      <c r="ADE80" s="575"/>
      <c r="ADF80" s="575"/>
      <c r="ADG80" s="575"/>
      <c r="ADH80" s="575"/>
      <c r="ADI80" s="575"/>
      <c r="ADJ80" s="575"/>
      <c r="ADK80" s="575"/>
      <c r="ADL80" s="575"/>
      <c r="ADM80" s="575"/>
      <c r="ADN80" s="575"/>
      <c r="ADO80" s="575"/>
      <c r="ADP80" s="575"/>
      <c r="ADQ80" s="575"/>
      <c r="ADR80" s="575"/>
      <c r="ADS80" s="575"/>
      <c r="ADT80" s="575"/>
      <c r="ADU80" s="575"/>
      <c r="ADV80" s="575"/>
      <c r="ADW80" s="575"/>
      <c r="ADX80" s="575"/>
      <c r="ADY80" s="575"/>
      <c r="ADZ80" s="575"/>
      <c r="AEA80" s="575"/>
      <c r="AEB80" s="575"/>
      <c r="AEC80" s="575"/>
      <c r="AED80" s="575"/>
      <c r="AEE80" s="575"/>
      <c r="AEF80" s="575"/>
      <c r="AEG80" s="575"/>
      <c r="AEH80" s="575"/>
      <c r="AEI80" s="575"/>
      <c r="AEJ80" s="575"/>
      <c r="AEK80" s="575"/>
      <c r="AEL80" s="575"/>
      <c r="AEM80" s="575"/>
      <c r="AEN80" s="575"/>
      <c r="AEO80" s="575"/>
      <c r="AEP80" s="575"/>
      <c r="AEQ80" s="575"/>
      <c r="AER80" s="575"/>
      <c r="AES80" s="575"/>
      <c r="AET80" s="575"/>
      <c r="AEU80" s="575"/>
      <c r="AEV80" s="575"/>
      <c r="AEW80" s="575"/>
      <c r="AEX80" s="575"/>
      <c r="AEY80" s="575"/>
      <c r="AEZ80" s="575"/>
      <c r="AFA80" s="575"/>
      <c r="AFB80" s="575"/>
      <c r="AFC80" s="575"/>
      <c r="AFD80" s="575"/>
      <c r="AFE80" s="575"/>
      <c r="AFF80" s="575"/>
      <c r="AFG80" s="575"/>
      <c r="AFH80" s="575"/>
      <c r="AFI80" s="575"/>
      <c r="AFJ80" s="575"/>
      <c r="AFK80" s="575"/>
      <c r="AFL80" s="575"/>
      <c r="AFM80" s="575"/>
      <c r="AFN80" s="575"/>
      <c r="AFO80" s="575"/>
      <c r="AFP80" s="575"/>
      <c r="AFQ80" s="575"/>
      <c r="AFR80" s="575"/>
      <c r="AFS80" s="575"/>
      <c r="AFT80" s="575"/>
      <c r="AFU80" s="575"/>
      <c r="AFV80" s="575"/>
      <c r="AFW80" s="575"/>
      <c r="AFX80" s="575"/>
      <c r="AFY80" s="575"/>
      <c r="AFZ80" s="575"/>
      <c r="AGA80" s="575"/>
      <c r="AGB80" s="575"/>
      <c r="AGC80" s="575"/>
      <c r="AGD80" s="575"/>
      <c r="AGE80" s="575"/>
      <c r="AGF80" s="575"/>
      <c r="AGG80" s="575"/>
      <c r="AGH80" s="575"/>
      <c r="AGI80" s="575"/>
      <c r="AGJ80" s="575"/>
      <c r="AGK80" s="575"/>
      <c r="AGL80" s="575"/>
      <c r="AGM80" s="575"/>
      <c r="AGN80" s="575"/>
      <c r="AGO80" s="575"/>
      <c r="AGP80" s="575"/>
      <c r="AGQ80" s="575"/>
      <c r="AGR80" s="575"/>
      <c r="AGS80" s="575"/>
      <c r="AGT80" s="575"/>
      <c r="AGU80" s="575"/>
      <c r="AGV80" s="575"/>
      <c r="AGW80" s="575"/>
      <c r="AGX80" s="575"/>
      <c r="AGY80" s="575"/>
      <c r="AGZ80" s="575"/>
      <c r="AHA80" s="575"/>
      <c r="AHB80" s="575"/>
      <c r="AHC80" s="575"/>
      <c r="AHD80" s="575"/>
      <c r="AHE80" s="575"/>
      <c r="AHF80" s="575"/>
      <c r="AHG80" s="575"/>
      <c r="AHH80" s="575"/>
      <c r="AHI80" s="575"/>
      <c r="AHJ80" s="575"/>
      <c r="AHK80" s="575"/>
      <c r="AHL80" s="575"/>
      <c r="AHM80" s="575"/>
      <c r="AHN80" s="575"/>
      <c r="AHO80" s="575"/>
      <c r="AHP80" s="575"/>
      <c r="AHQ80" s="575"/>
      <c r="AHR80" s="575"/>
      <c r="AHS80" s="575"/>
      <c r="AHT80" s="575"/>
      <c r="AHU80" s="575"/>
      <c r="AHV80" s="575"/>
      <c r="AHW80" s="575"/>
      <c r="AHX80" s="575"/>
      <c r="AHY80" s="575"/>
      <c r="AHZ80" s="575"/>
      <c r="AIA80" s="575"/>
      <c r="AIB80" s="575"/>
      <c r="AIC80" s="575"/>
      <c r="AID80" s="575"/>
      <c r="AIE80" s="575"/>
      <c r="AIF80" s="575"/>
      <c r="AIG80" s="575"/>
      <c r="AIH80" s="575"/>
      <c r="AII80" s="575"/>
      <c r="AIJ80" s="575"/>
      <c r="AIK80" s="575"/>
      <c r="AIL80" s="575"/>
      <c r="AIM80" s="575"/>
      <c r="AIN80" s="575"/>
      <c r="AIO80" s="575"/>
      <c r="AIP80" s="575"/>
      <c r="AIQ80" s="575"/>
      <c r="AIR80" s="575"/>
      <c r="AIS80" s="575"/>
      <c r="AIT80" s="575"/>
      <c r="AIU80" s="575"/>
      <c r="AIV80" s="575"/>
      <c r="AIW80" s="575"/>
      <c r="AIX80" s="575"/>
      <c r="AIY80" s="575"/>
      <c r="AIZ80" s="575"/>
      <c r="AJA80" s="575"/>
      <c r="AJB80" s="575"/>
      <c r="AJC80" s="575"/>
      <c r="AJD80" s="575"/>
      <c r="AJE80" s="575"/>
      <c r="AJF80" s="575"/>
      <c r="AJG80" s="575"/>
      <c r="AJH80" s="575"/>
      <c r="AJI80" s="575"/>
      <c r="AJJ80" s="575"/>
      <c r="AJK80" s="575"/>
      <c r="AJL80" s="575"/>
      <c r="AJM80" s="575"/>
      <c r="AJN80" s="575"/>
      <c r="AJO80" s="575"/>
      <c r="AJP80" s="575"/>
      <c r="AJQ80" s="575"/>
      <c r="AJR80" s="575"/>
      <c r="AJS80" s="575"/>
      <c r="AJT80" s="575"/>
      <c r="AJU80" s="575"/>
      <c r="AJV80" s="575"/>
      <c r="AJW80" s="575"/>
      <c r="AJX80" s="575"/>
      <c r="AJY80" s="575"/>
      <c r="AJZ80" s="575"/>
      <c r="AKA80" s="575"/>
      <c r="AKB80" s="575"/>
      <c r="AKC80" s="575"/>
      <c r="AKD80" s="575"/>
      <c r="AKE80" s="575"/>
      <c r="AKF80" s="575"/>
      <c r="AKG80" s="575"/>
      <c r="AKH80" s="575"/>
      <c r="AKI80" s="575"/>
      <c r="AKJ80" s="575"/>
      <c r="AKK80" s="575"/>
      <c r="AKL80" s="575"/>
      <c r="AKM80" s="575"/>
      <c r="AKN80" s="575"/>
      <c r="AKO80" s="575"/>
      <c r="AKP80" s="575"/>
      <c r="AKQ80" s="575"/>
      <c r="AKR80" s="575"/>
      <c r="AKS80" s="575"/>
      <c r="AKT80" s="575"/>
      <c r="AKU80" s="575"/>
      <c r="AKV80" s="575"/>
      <c r="AKW80" s="575"/>
      <c r="AKX80" s="575"/>
      <c r="AKY80" s="575"/>
      <c r="AKZ80" s="575"/>
      <c r="ALA80" s="575"/>
      <c r="ALB80" s="575"/>
      <c r="ALC80" s="575"/>
      <c r="ALD80" s="575"/>
      <c r="ALE80" s="575"/>
      <c r="ALF80" s="575"/>
      <c r="ALG80" s="575"/>
      <c r="ALH80" s="575"/>
      <c r="ALI80" s="575"/>
      <c r="ALJ80" s="575"/>
      <c r="ALK80" s="575"/>
      <c r="ALL80" s="575"/>
      <c r="ALM80" s="575"/>
      <c r="ALN80" s="575"/>
      <c r="ALO80" s="575"/>
      <c r="ALP80" s="575"/>
      <c r="ALQ80" s="575"/>
      <c r="ALR80" s="575"/>
      <c r="ALS80" s="575"/>
      <c r="ALT80" s="575"/>
      <c r="ALU80" s="575"/>
      <c r="ALV80" s="575"/>
      <c r="ALW80" s="575"/>
      <c r="ALX80" s="575"/>
      <c r="ALY80" s="575"/>
      <c r="ALZ80" s="575"/>
      <c r="AMA80" s="575"/>
      <c r="AMB80" s="575"/>
      <c r="AMC80" s="575"/>
      <c r="AMD80" s="575"/>
      <c r="AME80" s="575"/>
      <c r="AMF80" s="575"/>
      <c r="AMG80" s="575"/>
      <c r="AMH80" s="575"/>
      <c r="AMI80" s="575"/>
      <c r="AMJ80" s="575"/>
      <c r="AMK80" s="575"/>
      <c r="AML80" s="575"/>
      <c r="AMM80" s="575"/>
      <c r="AMN80" s="575"/>
      <c r="AMO80" s="575"/>
      <c r="AMP80" s="575"/>
      <c r="AMQ80" s="575"/>
      <c r="AMR80" s="575"/>
      <c r="AMS80" s="575"/>
      <c r="AMT80" s="575"/>
      <c r="AMU80" s="575"/>
      <c r="AMV80" s="575"/>
      <c r="AMW80" s="575"/>
      <c r="AMX80" s="575"/>
      <c r="AMY80" s="575"/>
      <c r="AMZ80" s="575"/>
      <c r="ANA80" s="575"/>
      <c r="ANB80" s="575"/>
      <c r="ANC80" s="575"/>
      <c r="AND80" s="575"/>
      <c r="ANE80" s="575"/>
      <c r="ANF80" s="575"/>
      <c r="ANG80" s="575"/>
      <c r="ANH80" s="575"/>
      <c r="ANI80" s="575"/>
      <c r="ANJ80" s="575"/>
      <c r="ANK80" s="575"/>
      <c r="ANL80" s="575"/>
      <c r="ANM80" s="575"/>
      <c r="ANN80" s="575"/>
      <c r="ANO80" s="575"/>
      <c r="ANP80" s="575"/>
      <c r="ANQ80" s="575"/>
      <c r="ANR80" s="575"/>
      <c r="ANS80" s="575"/>
      <c r="ANT80" s="575"/>
      <c r="ANU80" s="575"/>
      <c r="ANV80" s="575"/>
      <c r="ANW80" s="575"/>
      <c r="ANX80" s="575"/>
      <c r="ANY80" s="575"/>
      <c r="ANZ80" s="575"/>
      <c r="AOA80" s="575"/>
      <c r="AOB80" s="575"/>
      <c r="AOC80" s="575"/>
      <c r="AOD80" s="575"/>
      <c r="AOE80" s="575"/>
      <c r="AOF80" s="575"/>
      <c r="AOG80" s="575"/>
      <c r="AOH80" s="575"/>
      <c r="AOI80" s="575"/>
      <c r="AOJ80" s="575"/>
      <c r="AOK80" s="575"/>
      <c r="AOL80" s="575"/>
      <c r="AOM80" s="575"/>
      <c r="AON80" s="575"/>
      <c r="AOO80" s="575"/>
      <c r="AOP80" s="575"/>
      <c r="AOQ80" s="575"/>
      <c r="AOR80" s="575"/>
      <c r="AOS80" s="575"/>
      <c r="AOT80" s="575"/>
      <c r="AOU80" s="575"/>
      <c r="AOV80" s="575"/>
      <c r="AOW80" s="575"/>
      <c r="AOX80" s="575"/>
      <c r="AOY80" s="575"/>
      <c r="AOZ80" s="575"/>
      <c r="APA80" s="575"/>
      <c r="APB80" s="575"/>
      <c r="APC80" s="575"/>
      <c r="APD80" s="575"/>
      <c r="APE80" s="575"/>
      <c r="APF80" s="575"/>
      <c r="APG80" s="575"/>
      <c r="APH80" s="575"/>
      <c r="API80" s="575"/>
      <c r="APJ80" s="575"/>
      <c r="APK80" s="575"/>
      <c r="APL80" s="575"/>
      <c r="APM80" s="575"/>
      <c r="APN80" s="575"/>
      <c r="APO80" s="575"/>
      <c r="APP80" s="575"/>
      <c r="APQ80" s="575"/>
      <c r="APR80" s="575"/>
      <c r="APS80" s="575"/>
      <c r="APT80" s="575"/>
      <c r="APU80" s="575"/>
      <c r="APV80" s="575"/>
      <c r="APW80" s="575"/>
      <c r="APX80" s="575"/>
      <c r="APY80" s="575"/>
      <c r="APZ80" s="575"/>
      <c r="AQA80" s="575"/>
      <c r="AQB80" s="575"/>
      <c r="AQC80" s="575"/>
      <c r="AQD80" s="575"/>
      <c r="AQE80" s="575"/>
      <c r="AQF80" s="575"/>
      <c r="AQG80" s="575"/>
      <c r="AQH80" s="575"/>
      <c r="AQI80" s="575"/>
      <c r="AQJ80" s="575"/>
      <c r="AQK80" s="575"/>
      <c r="AQL80" s="575"/>
      <c r="AQM80" s="575"/>
      <c r="AQN80" s="575"/>
      <c r="AQO80" s="575"/>
      <c r="AQP80" s="575"/>
      <c r="AQQ80" s="575"/>
      <c r="AQR80" s="575"/>
      <c r="AQS80" s="575"/>
      <c r="AQT80" s="575"/>
      <c r="AQU80" s="575"/>
      <c r="AQV80" s="575"/>
      <c r="AQW80" s="575"/>
      <c r="AQX80" s="575"/>
      <c r="AQY80" s="575"/>
      <c r="AQZ80" s="575"/>
      <c r="ARA80" s="575"/>
      <c r="ARB80" s="575"/>
      <c r="ARC80" s="575"/>
      <c r="ARD80" s="575"/>
      <c r="ARE80" s="575"/>
      <c r="ARF80" s="575"/>
      <c r="ARG80" s="575"/>
      <c r="ARH80" s="575"/>
      <c r="ARI80" s="575"/>
      <c r="ARJ80" s="575"/>
      <c r="ARK80" s="575"/>
      <c r="ARL80" s="575"/>
      <c r="ARM80" s="575"/>
      <c r="ARN80" s="575"/>
      <c r="ARO80" s="575"/>
      <c r="ARP80" s="575"/>
      <c r="ARQ80" s="575"/>
      <c r="ARR80" s="575"/>
      <c r="ARS80" s="575"/>
      <c r="ART80" s="575"/>
      <c r="ARU80" s="575"/>
      <c r="ARV80" s="575"/>
      <c r="ARW80" s="575"/>
      <c r="ARX80" s="575"/>
      <c r="ARY80" s="575"/>
      <c r="ARZ80" s="575"/>
      <c r="ASA80" s="575"/>
      <c r="ASB80" s="575"/>
      <c r="ASC80" s="575"/>
      <c r="ASD80" s="575"/>
      <c r="ASE80" s="575"/>
      <c r="ASF80" s="575"/>
      <c r="ASG80" s="575"/>
      <c r="ASH80" s="575"/>
      <c r="ASI80" s="575"/>
      <c r="ASJ80" s="575"/>
      <c r="ASK80" s="575"/>
      <c r="ASL80" s="575"/>
      <c r="ASM80" s="575"/>
      <c r="ASN80" s="575"/>
      <c r="ASO80" s="575"/>
      <c r="ASP80" s="575"/>
      <c r="ASQ80" s="575"/>
      <c r="ASR80" s="575"/>
      <c r="ASS80" s="575"/>
      <c r="AST80" s="575"/>
      <c r="ASU80" s="575"/>
      <c r="ASV80" s="575"/>
      <c r="ASW80" s="575"/>
      <c r="ASX80" s="575"/>
      <c r="ASY80" s="575"/>
      <c r="ASZ80" s="575"/>
      <c r="ATA80" s="575"/>
      <c r="ATB80" s="575"/>
      <c r="ATC80" s="575"/>
      <c r="ATD80" s="575"/>
      <c r="ATE80" s="575"/>
      <c r="ATF80" s="575"/>
      <c r="ATG80" s="575"/>
      <c r="ATH80" s="575"/>
      <c r="ATI80" s="575"/>
      <c r="ATJ80" s="575"/>
      <c r="ATK80" s="575"/>
      <c r="ATL80" s="575"/>
      <c r="ATM80" s="575"/>
      <c r="ATN80" s="575"/>
      <c r="ATO80" s="575"/>
      <c r="ATP80" s="575"/>
      <c r="ATQ80" s="575"/>
      <c r="ATR80" s="575"/>
      <c r="ATS80" s="575"/>
      <c r="ATT80" s="575"/>
      <c r="ATU80" s="575"/>
      <c r="ATV80" s="575"/>
      <c r="ATW80" s="575"/>
      <c r="ATX80" s="575"/>
      <c r="ATY80" s="575"/>
      <c r="ATZ80" s="575"/>
      <c r="AUA80" s="575"/>
      <c r="AUB80" s="575"/>
      <c r="AUC80" s="575"/>
      <c r="AUD80" s="575"/>
      <c r="AUE80" s="575"/>
      <c r="AUF80" s="575"/>
      <c r="AUG80" s="575"/>
      <c r="AUH80" s="575"/>
      <c r="AUI80" s="575"/>
      <c r="AUJ80" s="575"/>
      <c r="AUK80" s="575"/>
      <c r="AUL80" s="575"/>
      <c r="AUM80" s="575"/>
      <c r="AUN80" s="575"/>
      <c r="AUO80" s="575"/>
      <c r="AUP80" s="575"/>
      <c r="AUQ80" s="575"/>
      <c r="AUR80" s="575"/>
      <c r="AUS80" s="575"/>
      <c r="AUT80" s="575"/>
      <c r="AUU80" s="575"/>
      <c r="AUV80" s="575"/>
      <c r="AUW80" s="575"/>
      <c r="AUX80" s="575"/>
      <c r="AUY80" s="575"/>
      <c r="AUZ80" s="575"/>
      <c r="AVA80" s="575"/>
      <c r="AVB80" s="575"/>
      <c r="AVC80" s="575"/>
      <c r="AVD80" s="575"/>
      <c r="AVE80" s="575"/>
      <c r="AVF80" s="575"/>
      <c r="AVG80" s="575"/>
      <c r="AVH80" s="575"/>
      <c r="AVI80" s="575"/>
      <c r="AVJ80" s="575"/>
      <c r="AVK80" s="575"/>
      <c r="AVL80" s="575"/>
      <c r="AVM80" s="575"/>
      <c r="AVN80" s="575"/>
      <c r="AVO80" s="575"/>
      <c r="AVP80" s="575"/>
      <c r="AVQ80" s="575"/>
      <c r="AVR80" s="575"/>
      <c r="AVS80" s="575"/>
      <c r="AVT80" s="575"/>
      <c r="AVU80" s="575"/>
      <c r="AVV80" s="575"/>
      <c r="AVW80" s="575"/>
      <c r="AVX80" s="575"/>
      <c r="AVY80" s="575"/>
      <c r="AVZ80" s="575"/>
      <c r="AWA80" s="575"/>
      <c r="AWB80" s="575"/>
      <c r="AWC80" s="575"/>
      <c r="AWD80" s="575"/>
      <c r="AWE80" s="575"/>
      <c r="AWF80" s="575"/>
      <c r="AWG80" s="575"/>
      <c r="AWH80" s="575"/>
      <c r="AWI80" s="575"/>
      <c r="AWJ80" s="575"/>
      <c r="AWK80" s="575"/>
      <c r="AWL80" s="575"/>
      <c r="AWM80" s="575"/>
      <c r="AWN80" s="575"/>
      <c r="AWO80" s="575"/>
      <c r="AWP80" s="575"/>
      <c r="AWQ80" s="575"/>
      <c r="AWR80" s="575"/>
      <c r="AWS80" s="575"/>
      <c r="AWT80" s="575"/>
      <c r="AWU80" s="575"/>
      <c r="AWV80" s="575"/>
      <c r="AWW80" s="575"/>
      <c r="AWX80" s="575"/>
      <c r="AWY80" s="575"/>
      <c r="AWZ80" s="575"/>
      <c r="AXA80" s="575"/>
      <c r="AXB80" s="575"/>
      <c r="AXC80" s="575"/>
      <c r="AXD80" s="575"/>
      <c r="AXE80" s="575"/>
      <c r="AXF80" s="575"/>
      <c r="AXG80" s="575"/>
      <c r="AXH80" s="575"/>
      <c r="AXI80" s="575"/>
      <c r="AXJ80" s="575"/>
      <c r="AXK80" s="575"/>
      <c r="AXL80" s="575"/>
      <c r="AXM80" s="575"/>
      <c r="AXN80" s="575"/>
      <c r="AXO80" s="575"/>
      <c r="AXP80" s="575"/>
      <c r="AXQ80" s="575"/>
      <c r="AXR80" s="575"/>
      <c r="AXS80" s="575"/>
      <c r="AXT80" s="575"/>
      <c r="AXU80" s="575"/>
      <c r="AXV80" s="575"/>
      <c r="AXW80" s="575"/>
      <c r="AXX80" s="575"/>
      <c r="AXY80" s="575"/>
      <c r="AXZ80" s="575"/>
      <c r="AYA80" s="575"/>
      <c r="AYB80" s="575"/>
      <c r="AYC80" s="575"/>
      <c r="AYD80" s="575"/>
      <c r="AYE80" s="575"/>
      <c r="AYF80" s="575"/>
      <c r="AYG80" s="575"/>
      <c r="AYH80" s="575"/>
      <c r="AYI80" s="575"/>
      <c r="AYJ80" s="575"/>
      <c r="AYK80" s="575"/>
      <c r="AYL80" s="575"/>
      <c r="AYM80" s="575"/>
      <c r="AYN80" s="575"/>
      <c r="AYO80" s="575"/>
      <c r="AYP80" s="575"/>
      <c r="AYQ80" s="575"/>
      <c r="AYR80" s="575"/>
      <c r="AYS80" s="575"/>
      <c r="AYT80" s="575"/>
      <c r="AYU80" s="575"/>
      <c r="AYV80" s="575"/>
      <c r="AYW80" s="575"/>
      <c r="AYX80" s="575"/>
      <c r="AYY80" s="575"/>
      <c r="AYZ80" s="575"/>
      <c r="AZA80" s="575"/>
      <c r="AZB80" s="575"/>
      <c r="AZC80" s="575"/>
      <c r="AZD80" s="575"/>
      <c r="AZE80" s="575"/>
      <c r="AZF80" s="575"/>
      <c r="AZG80" s="575"/>
      <c r="AZH80" s="575"/>
      <c r="AZI80" s="575"/>
      <c r="AZJ80" s="575"/>
      <c r="AZK80" s="575"/>
      <c r="AZL80" s="575"/>
      <c r="AZM80" s="575"/>
      <c r="AZN80" s="575"/>
      <c r="AZO80" s="575"/>
      <c r="AZP80" s="575"/>
      <c r="AZQ80" s="575"/>
      <c r="AZR80" s="575"/>
      <c r="AZS80" s="575"/>
      <c r="AZT80" s="575"/>
      <c r="AZU80" s="575"/>
      <c r="AZV80" s="575"/>
      <c r="AZW80" s="575"/>
      <c r="AZX80" s="575"/>
      <c r="AZY80" s="575"/>
      <c r="AZZ80" s="575"/>
      <c r="BAA80" s="575"/>
      <c r="BAB80" s="575"/>
      <c r="BAC80" s="575"/>
      <c r="BAD80" s="575"/>
      <c r="BAE80" s="575"/>
      <c r="BAF80" s="575"/>
      <c r="BAG80" s="575"/>
      <c r="BAH80" s="575"/>
      <c r="BAI80" s="575"/>
      <c r="BAJ80" s="575"/>
      <c r="BAK80" s="575"/>
      <c r="BAL80" s="575"/>
      <c r="BAM80" s="575"/>
      <c r="BAN80" s="575"/>
      <c r="BAO80" s="575"/>
      <c r="BAP80" s="575"/>
      <c r="BAQ80" s="575"/>
      <c r="BAR80" s="575"/>
      <c r="BAS80" s="575"/>
      <c r="BAT80" s="575"/>
      <c r="BAU80" s="575"/>
      <c r="BAV80" s="575"/>
      <c r="BAW80" s="575"/>
      <c r="BAX80" s="575"/>
      <c r="BAY80" s="575"/>
      <c r="BAZ80" s="575"/>
      <c r="BBA80" s="575"/>
      <c r="BBB80" s="575"/>
      <c r="BBC80" s="575"/>
      <c r="BBD80" s="575"/>
      <c r="BBE80" s="575"/>
      <c r="BBF80" s="575"/>
      <c r="BBG80" s="575"/>
      <c r="BBH80" s="575"/>
      <c r="BBI80" s="575"/>
      <c r="BBJ80" s="575"/>
      <c r="BBK80" s="575"/>
      <c r="BBL80" s="575"/>
      <c r="BBM80" s="575"/>
      <c r="BBN80" s="575"/>
      <c r="BBO80" s="575"/>
      <c r="BBP80" s="575"/>
      <c r="BBQ80" s="575"/>
      <c r="BBR80" s="575"/>
      <c r="BBS80" s="575"/>
      <c r="BBT80" s="575"/>
      <c r="BBU80" s="575"/>
      <c r="BBV80" s="575"/>
      <c r="BBW80" s="575"/>
      <c r="BBX80" s="575"/>
      <c r="BBY80" s="575"/>
      <c r="BBZ80" s="575"/>
      <c r="BCA80" s="575"/>
      <c r="BCB80" s="575"/>
      <c r="BCC80" s="575"/>
      <c r="BCD80" s="575"/>
      <c r="BCE80" s="575"/>
      <c r="BCF80" s="575"/>
      <c r="BCG80" s="575"/>
      <c r="BCH80" s="575"/>
      <c r="BCI80" s="575"/>
      <c r="BCJ80" s="575"/>
      <c r="BCK80" s="575"/>
      <c r="BCL80" s="575"/>
      <c r="BCM80" s="575"/>
      <c r="BCN80" s="575"/>
      <c r="BCO80" s="575"/>
      <c r="BCP80" s="575"/>
      <c r="BCQ80" s="575"/>
      <c r="BCR80" s="575"/>
      <c r="BCS80" s="575"/>
      <c r="BCT80" s="575"/>
      <c r="BCU80" s="575"/>
      <c r="BCV80" s="575"/>
      <c r="BCW80" s="575"/>
      <c r="BCX80" s="575"/>
      <c r="BCY80" s="575"/>
      <c r="BCZ80" s="575"/>
      <c r="BDA80" s="575"/>
      <c r="BDB80" s="575"/>
      <c r="BDC80" s="575"/>
      <c r="BDD80" s="575"/>
      <c r="BDE80" s="575"/>
      <c r="BDF80" s="575"/>
      <c r="BDG80" s="575"/>
      <c r="BDH80" s="575"/>
      <c r="BDI80" s="575"/>
      <c r="BDJ80" s="575"/>
      <c r="BDK80" s="575"/>
      <c r="BDL80" s="575"/>
      <c r="BDM80" s="575"/>
      <c r="BDN80" s="575"/>
      <c r="BDO80" s="575"/>
      <c r="BDP80" s="575"/>
      <c r="BDQ80" s="575"/>
      <c r="BDR80" s="575"/>
      <c r="BDS80" s="575"/>
      <c r="BDT80" s="575"/>
    </row>
    <row r="81" spans="1:1476" x14ac:dyDescent="0.25">
      <c r="A81" s="608">
        <v>5531</v>
      </c>
      <c r="B81" s="609" t="s">
        <v>170</v>
      </c>
      <c r="C81" s="610">
        <v>1021090.73</v>
      </c>
      <c r="D81" s="610">
        <v>157692</v>
      </c>
      <c r="E81" s="610"/>
      <c r="F81" s="611"/>
      <c r="G81" s="610">
        <v>2953</v>
      </c>
      <c r="H81" s="610">
        <v>450.7</v>
      </c>
      <c r="I81" s="610"/>
      <c r="J81" s="610">
        <v>14886.14</v>
      </c>
      <c r="K81" s="610">
        <v>1425.3</v>
      </c>
      <c r="L81" s="610">
        <v>83455.350000000006</v>
      </c>
      <c r="M81" s="434">
        <f t="shared" si="4"/>
        <v>1281953.22</v>
      </c>
      <c r="N81" s="612">
        <v>27044.6</v>
      </c>
      <c r="O81" s="612">
        <v>0</v>
      </c>
      <c r="P81" s="612">
        <v>13661.3</v>
      </c>
      <c r="Q81" s="612">
        <v>0</v>
      </c>
      <c r="R81" s="612">
        <v>17753.75</v>
      </c>
      <c r="S81" s="610">
        <v>355.7</v>
      </c>
      <c r="T81" s="543">
        <f t="shared" si="5"/>
        <v>1340768.57</v>
      </c>
      <c r="U81" s="575">
        <v>-1976.61</v>
      </c>
      <c r="V81" s="612"/>
      <c r="W81" s="612">
        <v>-183.65</v>
      </c>
      <c r="X81" s="624">
        <v>74</v>
      </c>
      <c r="Y81" s="631">
        <v>1</v>
      </c>
      <c r="Z81" s="628">
        <f>VLOOKUP(A81,'[2]2022 toutes communes'!$B$9:$D$317,3,FALSE)</f>
        <v>433</v>
      </c>
      <c r="AA81" s="617"/>
      <c r="AB81" s="618">
        <v>112573</v>
      </c>
      <c r="AC81" s="547">
        <f>AB81/VPI!R81</f>
        <v>6.5073707923890654</v>
      </c>
      <c r="AD81" s="548">
        <f t="shared" si="6"/>
        <v>26615</v>
      </c>
      <c r="AE81" s="547">
        <f>AD81/VPI!R81</f>
        <v>1.5385010050317125</v>
      </c>
      <c r="AF81" s="618">
        <v>139188</v>
      </c>
      <c r="AG81" s="618">
        <v>16162</v>
      </c>
      <c r="AH81" s="618">
        <v>38130</v>
      </c>
      <c r="AI81" s="627"/>
      <c r="AJ81" s="628">
        <v>0</v>
      </c>
      <c r="AK81" s="547">
        <f>AJ81/VPI!R81</f>
        <v>0</v>
      </c>
      <c r="AL81" s="548">
        <f t="shared" si="7"/>
        <v>27045</v>
      </c>
      <c r="AM81" s="547">
        <f>AL81/VPI!R81</f>
        <v>1.5633574931836431</v>
      </c>
      <c r="AN81" s="628">
        <v>27045</v>
      </c>
      <c r="AO81" s="627"/>
      <c r="AP81" s="629">
        <v>18.22510767273155</v>
      </c>
      <c r="AR81" s="630">
        <v>0</v>
      </c>
    </row>
    <row r="82" spans="1:1476" x14ac:dyDescent="0.25">
      <c r="A82" s="608">
        <v>5533</v>
      </c>
      <c r="B82" s="609" t="s">
        <v>171</v>
      </c>
      <c r="C82" s="610">
        <v>1585053.29</v>
      </c>
      <c r="D82" s="610">
        <v>222992.79</v>
      </c>
      <c r="E82" s="610"/>
      <c r="F82" s="611"/>
      <c r="G82" s="610">
        <v>76386</v>
      </c>
      <c r="H82" s="610">
        <v>3986.05</v>
      </c>
      <c r="I82" s="610"/>
      <c r="J82" s="610">
        <v>24904.59</v>
      </c>
      <c r="K82" s="610">
        <v>9628.25</v>
      </c>
      <c r="L82" s="610">
        <v>160315.5</v>
      </c>
      <c r="M82" s="434">
        <f t="shared" si="4"/>
        <v>2083266.4700000002</v>
      </c>
      <c r="N82" s="612">
        <v>14127</v>
      </c>
      <c r="O82" s="612">
        <v>817.2</v>
      </c>
      <c r="P82" s="612">
        <v>70493.5</v>
      </c>
      <c r="Q82" s="612">
        <v>38416.769999999997</v>
      </c>
      <c r="R82" s="612">
        <v>39308.65</v>
      </c>
      <c r="S82" s="610">
        <v>8399.2900000000009</v>
      </c>
      <c r="T82" s="543">
        <f t="shared" si="5"/>
        <v>2254828.8800000004</v>
      </c>
      <c r="U82" s="575">
        <v>-85085.61</v>
      </c>
      <c r="V82" s="612"/>
      <c r="W82" s="612">
        <v>-93.1</v>
      </c>
      <c r="X82" s="624">
        <v>73</v>
      </c>
      <c r="Y82" s="631">
        <v>1</v>
      </c>
      <c r="Z82" s="628">
        <f>VLOOKUP(A82,'[2]2022 toutes communes'!$B$9:$D$317,3,FALSE)</f>
        <v>848</v>
      </c>
      <c r="AA82" s="617"/>
      <c r="AB82" s="618">
        <v>49298</v>
      </c>
      <c r="AC82" s="547">
        <f>AB82/VPI!R82</f>
        <v>1.759864676667287</v>
      </c>
      <c r="AD82" s="548">
        <f t="shared" si="6"/>
        <v>156715</v>
      </c>
      <c r="AE82" s="547">
        <f>AD82/VPI!R82</f>
        <v>5.5944905027367007</v>
      </c>
      <c r="AF82" s="618">
        <v>206013</v>
      </c>
      <c r="AG82" s="618">
        <v>32285</v>
      </c>
      <c r="AH82" s="618">
        <v>73354</v>
      </c>
      <c r="AI82" s="627"/>
      <c r="AJ82" s="628">
        <v>0</v>
      </c>
      <c r="AK82" s="547">
        <f>AJ82/VPI!R82</f>
        <v>0</v>
      </c>
      <c r="AL82" s="548">
        <f t="shared" si="7"/>
        <v>41318</v>
      </c>
      <c r="AM82" s="547">
        <f>AL82/VPI!R82</f>
        <v>1.4749906428361996</v>
      </c>
      <c r="AN82" s="628">
        <v>41318</v>
      </c>
      <c r="AO82" s="627"/>
      <c r="AP82" s="629">
        <v>17.162221386732064</v>
      </c>
      <c r="AR82" s="630">
        <v>0</v>
      </c>
    </row>
    <row r="83" spans="1:1476" x14ac:dyDescent="0.25">
      <c r="A83" s="608">
        <v>5534</v>
      </c>
      <c r="B83" s="609" t="s">
        <v>172</v>
      </c>
      <c r="C83" s="610">
        <v>640896.64</v>
      </c>
      <c r="D83" s="610">
        <v>122235.23</v>
      </c>
      <c r="E83" s="610"/>
      <c r="F83" s="611"/>
      <c r="G83" s="610">
        <v>204764.05</v>
      </c>
      <c r="H83" s="610">
        <v>903.15</v>
      </c>
      <c r="I83" s="610"/>
      <c r="J83" s="610">
        <v>24204.35</v>
      </c>
      <c r="K83" s="610">
        <v>907</v>
      </c>
      <c r="L83" s="610">
        <v>101076.35</v>
      </c>
      <c r="M83" s="434">
        <f t="shared" si="4"/>
        <v>1094986.77</v>
      </c>
      <c r="N83" s="612">
        <v>22036.5</v>
      </c>
      <c r="O83" s="612"/>
      <c r="P83" s="612">
        <v>21413.35</v>
      </c>
      <c r="Q83" s="612">
        <v>-2384.88</v>
      </c>
      <c r="R83" s="612">
        <v>16194.05</v>
      </c>
      <c r="S83" s="610">
        <v>21493.279999999999</v>
      </c>
      <c r="T83" s="543">
        <f t="shared" si="5"/>
        <v>1173739.0700000003</v>
      </c>
      <c r="U83" s="575">
        <v>820.92</v>
      </c>
      <c r="V83" s="612"/>
      <c r="W83" s="612">
        <v>0</v>
      </c>
      <c r="X83" s="624">
        <v>73</v>
      </c>
      <c r="Y83" s="631">
        <v>1.2</v>
      </c>
      <c r="Z83" s="628">
        <f>VLOOKUP(A83,'[2]2022 toutes communes'!$B$9:$D$317,3,FALSE)</f>
        <v>303</v>
      </c>
      <c r="AA83" s="617"/>
      <c r="AB83" s="618">
        <v>7853</v>
      </c>
      <c r="AC83" s="547">
        <f>AB83/VPI!R83</f>
        <v>0.52206961620643078</v>
      </c>
      <c r="AD83" s="548">
        <f t="shared" si="6"/>
        <v>31671</v>
      </c>
      <c r="AE83" s="547">
        <f>AD83/VPI!R83</f>
        <v>2.1054968565992449</v>
      </c>
      <c r="AF83" s="618">
        <v>39524</v>
      </c>
      <c r="AG83" s="618">
        <v>23565</v>
      </c>
      <c r="AH83" s="618">
        <v>26770</v>
      </c>
      <c r="AI83" s="627"/>
      <c r="AJ83" s="628">
        <v>0</v>
      </c>
      <c r="AK83" s="547">
        <f>AJ83/VPI!R83</f>
        <v>0</v>
      </c>
      <c r="AL83" s="548">
        <f t="shared" si="7"/>
        <v>10514</v>
      </c>
      <c r="AM83" s="547">
        <f>AL83/VPI!R83</f>
        <v>0.69897363361701437</v>
      </c>
      <c r="AN83" s="628">
        <v>10514</v>
      </c>
      <c r="AO83" s="627"/>
      <c r="AP83" s="629">
        <v>25.354324568213496</v>
      </c>
      <c r="AR83" s="630">
        <v>0</v>
      </c>
    </row>
    <row r="84" spans="1:1476" s="632" customFormat="1" x14ac:dyDescent="0.25">
      <c r="A84" s="608">
        <v>5535</v>
      </c>
      <c r="B84" s="609" t="s">
        <v>29</v>
      </c>
      <c r="C84" s="610">
        <v>1466295.92</v>
      </c>
      <c r="D84" s="610">
        <v>262621.51</v>
      </c>
      <c r="E84" s="610"/>
      <c r="F84" s="611"/>
      <c r="G84" s="610">
        <v>21531.25</v>
      </c>
      <c r="H84" s="610">
        <v>3101.95</v>
      </c>
      <c r="I84" s="610"/>
      <c r="J84" s="610">
        <v>7556.39</v>
      </c>
      <c r="K84" s="610">
        <v>1245.8</v>
      </c>
      <c r="L84" s="610">
        <v>149132.4</v>
      </c>
      <c r="M84" s="434">
        <f t="shared" si="4"/>
        <v>1911485.2199999997</v>
      </c>
      <c r="N84" s="612">
        <v>51430.3</v>
      </c>
      <c r="O84" s="612">
        <v>3861</v>
      </c>
      <c r="P84" s="612">
        <v>72585.2</v>
      </c>
      <c r="Q84" s="612">
        <v>6847.91</v>
      </c>
      <c r="R84" s="612">
        <v>59890.65</v>
      </c>
      <c r="S84" s="610">
        <v>2574.3000000000002</v>
      </c>
      <c r="T84" s="543">
        <f t="shared" si="5"/>
        <v>2108674.5799999996</v>
      </c>
      <c r="U84" s="575">
        <v>-8955.66</v>
      </c>
      <c r="V84" s="612"/>
      <c r="W84" s="612">
        <v>-5.99</v>
      </c>
      <c r="X84" s="624">
        <v>75</v>
      </c>
      <c r="Y84" s="631">
        <v>1</v>
      </c>
      <c r="Z84" s="628">
        <f>VLOOKUP(A84,'[2]2022 toutes communes'!$B$9:$D$317,3,FALSE)</f>
        <v>814</v>
      </c>
      <c r="AA84" s="617"/>
      <c r="AB84" s="618">
        <v>0</v>
      </c>
      <c r="AC84" s="547">
        <f>AB84/VPI!R84</f>
        <v>0</v>
      </c>
      <c r="AD84" s="548">
        <f t="shared" si="6"/>
        <v>64915</v>
      </c>
      <c r="AE84" s="547">
        <f>AD84/VPI!R84</f>
        <v>2.5464241982845355</v>
      </c>
      <c r="AF84" s="618">
        <v>64915</v>
      </c>
      <c r="AG84" s="618">
        <v>31355</v>
      </c>
      <c r="AH84" s="618">
        <v>71240</v>
      </c>
      <c r="AI84" s="627"/>
      <c r="AJ84" s="628">
        <v>0</v>
      </c>
      <c r="AK84" s="547">
        <f>AJ84/VPI!R84</f>
        <v>0</v>
      </c>
      <c r="AL84" s="548">
        <f t="shared" si="7"/>
        <v>-12559</v>
      </c>
      <c r="AM84" s="547">
        <f>AL84/VPI!R84</f>
        <v>-0.49265256884010594</v>
      </c>
      <c r="AN84" s="628">
        <v>-12559</v>
      </c>
      <c r="AO84" s="627"/>
      <c r="AP84" s="629">
        <v>14.227224960031988</v>
      </c>
      <c r="AQ84" s="575"/>
      <c r="AR84" s="630">
        <v>0</v>
      </c>
      <c r="AS84" s="575"/>
      <c r="AT84" s="575"/>
      <c r="AU84" s="575"/>
      <c r="AV84" s="575"/>
      <c r="AW84" s="575"/>
      <c r="AX84" s="575"/>
      <c r="AY84" s="575"/>
      <c r="AZ84" s="575"/>
      <c r="BA84" s="575"/>
      <c r="BB84" s="575"/>
      <c r="BC84" s="575"/>
      <c r="BD84" s="575"/>
      <c r="BE84" s="575"/>
      <c r="BF84" s="575"/>
      <c r="BG84" s="575"/>
      <c r="BH84" s="575"/>
      <c r="BI84" s="575"/>
      <c r="BJ84" s="575"/>
      <c r="BK84" s="575"/>
      <c r="BL84" s="575"/>
      <c r="BM84" s="575"/>
      <c r="BN84" s="575"/>
      <c r="BO84" s="575"/>
      <c r="BP84" s="575"/>
      <c r="BQ84" s="575"/>
      <c r="BR84" s="575"/>
      <c r="BS84" s="575"/>
      <c r="BT84" s="575"/>
      <c r="BU84" s="575"/>
      <c r="BV84" s="575"/>
      <c r="BW84" s="575"/>
      <c r="BX84" s="575"/>
      <c r="BY84" s="575"/>
      <c r="BZ84" s="575"/>
      <c r="CA84" s="575"/>
      <c r="CB84" s="575"/>
      <c r="CC84" s="575"/>
      <c r="CD84" s="575"/>
      <c r="CE84" s="575"/>
      <c r="CF84" s="575"/>
      <c r="CG84" s="575"/>
      <c r="CH84" s="575"/>
      <c r="CI84" s="575"/>
      <c r="CJ84" s="575"/>
      <c r="CK84" s="575"/>
      <c r="CL84" s="575"/>
      <c r="CM84" s="575"/>
      <c r="CN84" s="575"/>
      <c r="CO84" s="575"/>
      <c r="CP84" s="575"/>
      <c r="CQ84" s="575"/>
      <c r="CR84" s="575"/>
      <c r="CS84" s="575"/>
      <c r="CT84" s="575"/>
      <c r="CU84" s="575"/>
      <c r="CV84" s="575"/>
      <c r="CW84" s="575"/>
      <c r="CX84" s="575"/>
      <c r="CY84" s="575"/>
      <c r="CZ84" s="575"/>
      <c r="DA84" s="575"/>
      <c r="DB84" s="575"/>
      <c r="DC84" s="575"/>
      <c r="DD84" s="575"/>
      <c r="DE84" s="575"/>
      <c r="DF84" s="575"/>
      <c r="DG84" s="575"/>
      <c r="DH84" s="575"/>
      <c r="DI84" s="575"/>
      <c r="DJ84" s="575"/>
      <c r="DK84" s="575"/>
      <c r="DL84" s="575"/>
      <c r="DM84" s="575"/>
      <c r="DN84" s="575"/>
      <c r="DO84" s="575"/>
      <c r="DP84" s="575"/>
      <c r="DQ84" s="575"/>
      <c r="DR84" s="575"/>
      <c r="DS84" s="575"/>
      <c r="DT84" s="575"/>
      <c r="DU84" s="575"/>
      <c r="DV84" s="575"/>
      <c r="DW84" s="575"/>
      <c r="DX84" s="575"/>
      <c r="DY84" s="575"/>
      <c r="DZ84" s="575"/>
      <c r="EA84" s="575"/>
      <c r="EB84" s="575"/>
      <c r="EC84" s="575"/>
      <c r="ED84" s="575"/>
      <c r="EE84" s="575"/>
      <c r="EF84" s="575"/>
      <c r="EG84" s="575"/>
      <c r="EH84" s="575"/>
      <c r="EI84" s="575"/>
      <c r="EJ84" s="575"/>
      <c r="EK84" s="575"/>
      <c r="EL84" s="575"/>
      <c r="EM84" s="575"/>
      <c r="EN84" s="575"/>
      <c r="EO84" s="575"/>
      <c r="EP84" s="575"/>
      <c r="EQ84" s="575"/>
      <c r="ER84" s="575"/>
      <c r="ES84" s="575"/>
      <c r="ET84" s="575"/>
      <c r="EU84" s="575"/>
      <c r="EV84" s="575"/>
      <c r="EW84" s="575"/>
      <c r="EX84" s="575"/>
      <c r="EY84" s="575"/>
      <c r="EZ84" s="575"/>
      <c r="FA84" s="575"/>
      <c r="FB84" s="575"/>
      <c r="FC84" s="575"/>
      <c r="FD84" s="575"/>
      <c r="FE84" s="575"/>
      <c r="FF84" s="575"/>
      <c r="FG84" s="575"/>
      <c r="FH84" s="575"/>
      <c r="FI84" s="575"/>
      <c r="FJ84" s="575"/>
      <c r="FK84" s="575"/>
      <c r="FL84" s="575"/>
      <c r="FM84" s="575"/>
      <c r="FN84" s="575"/>
      <c r="FO84" s="575"/>
      <c r="FP84" s="575"/>
      <c r="FQ84" s="575"/>
      <c r="FR84" s="575"/>
      <c r="FS84" s="575"/>
      <c r="FT84" s="575"/>
      <c r="FU84" s="575"/>
      <c r="FV84" s="575"/>
      <c r="FW84" s="575"/>
      <c r="FX84" s="575"/>
      <c r="FY84" s="575"/>
      <c r="FZ84" s="575"/>
      <c r="GA84" s="575"/>
      <c r="GB84" s="575"/>
      <c r="GC84" s="575"/>
      <c r="GD84" s="575"/>
      <c r="GE84" s="575"/>
      <c r="GF84" s="575"/>
      <c r="GG84" s="575"/>
      <c r="GH84" s="575"/>
      <c r="GI84" s="575"/>
      <c r="GJ84" s="575"/>
      <c r="GK84" s="575"/>
      <c r="GL84" s="575"/>
      <c r="GM84" s="575"/>
      <c r="GN84" s="575"/>
      <c r="GO84" s="575"/>
      <c r="GP84" s="575"/>
      <c r="GQ84" s="575"/>
      <c r="GR84" s="575"/>
      <c r="GS84" s="575"/>
      <c r="GT84" s="575"/>
      <c r="GU84" s="575"/>
      <c r="GV84" s="575"/>
      <c r="GW84" s="575"/>
      <c r="GX84" s="575"/>
      <c r="GY84" s="575"/>
      <c r="GZ84" s="575"/>
      <c r="HA84" s="575"/>
      <c r="HB84" s="575"/>
      <c r="HC84" s="575"/>
      <c r="HD84" s="575"/>
      <c r="HE84" s="575"/>
      <c r="HF84" s="575"/>
      <c r="HG84" s="575"/>
      <c r="HH84" s="575"/>
      <c r="HI84" s="575"/>
      <c r="HJ84" s="575"/>
      <c r="HK84" s="575"/>
      <c r="HL84" s="575"/>
      <c r="HM84" s="575"/>
      <c r="HN84" s="575"/>
      <c r="HO84" s="575"/>
      <c r="HP84" s="575"/>
      <c r="HQ84" s="575"/>
      <c r="HR84" s="575"/>
      <c r="HS84" s="575"/>
      <c r="HT84" s="575"/>
      <c r="HU84" s="575"/>
      <c r="HV84" s="575"/>
      <c r="HW84" s="575"/>
      <c r="HX84" s="575"/>
      <c r="HY84" s="575"/>
      <c r="HZ84" s="575"/>
      <c r="IA84" s="575"/>
      <c r="IB84" s="575"/>
      <c r="IC84" s="575"/>
      <c r="ID84" s="575"/>
      <c r="IE84" s="575"/>
      <c r="IF84" s="575"/>
      <c r="IG84" s="575"/>
      <c r="IH84" s="575"/>
      <c r="II84" s="575"/>
      <c r="IJ84" s="575"/>
      <c r="IK84" s="575"/>
      <c r="IL84" s="575"/>
      <c r="IM84" s="575"/>
      <c r="IN84" s="575"/>
      <c r="IO84" s="575"/>
      <c r="IP84" s="575"/>
      <c r="IQ84" s="575"/>
      <c r="IR84" s="575"/>
      <c r="IS84" s="575"/>
      <c r="IT84" s="575"/>
      <c r="IU84" s="575"/>
      <c r="IV84" s="575"/>
      <c r="IW84" s="575"/>
      <c r="IX84" s="575"/>
      <c r="IY84" s="575"/>
      <c r="IZ84" s="575"/>
      <c r="JA84" s="575"/>
      <c r="JB84" s="575"/>
      <c r="JC84" s="575"/>
      <c r="JD84" s="575"/>
      <c r="JE84" s="575"/>
      <c r="JF84" s="575"/>
      <c r="JG84" s="575"/>
      <c r="JH84" s="575"/>
      <c r="JI84" s="575"/>
      <c r="JJ84" s="575"/>
      <c r="JK84" s="575"/>
      <c r="JL84" s="575"/>
      <c r="JM84" s="575"/>
      <c r="JN84" s="575"/>
      <c r="JO84" s="575"/>
      <c r="JP84" s="575"/>
      <c r="JQ84" s="575"/>
      <c r="JR84" s="575"/>
      <c r="JS84" s="575"/>
      <c r="JT84" s="575"/>
      <c r="JU84" s="575"/>
      <c r="JV84" s="575"/>
      <c r="JW84" s="575"/>
      <c r="JX84" s="575"/>
      <c r="JY84" s="575"/>
      <c r="JZ84" s="575"/>
      <c r="KA84" s="575"/>
      <c r="KB84" s="575"/>
      <c r="KC84" s="575"/>
      <c r="KD84" s="575"/>
      <c r="KE84" s="575"/>
      <c r="KF84" s="575"/>
      <c r="KG84" s="575"/>
      <c r="KH84" s="575"/>
      <c r="KI84" s="575"/>
      <c r="KJ84" s="575"/>
      <c r="KK84" s="575"/>
      <c r="KL84" s="575"/>
      <c r="KM84" s="575"/>
      <c r="KN84" s="575"/>
      <c r="KO84" s="575"/>
      <c r="KP84" s="575"/>
      <c r="KQ84" s="575"/>
      <c r="KR84" s="575"/>
      <c r="KS84" s="575"/>
      <c r="KT84" s="575"/>
      <c r="KU84" s="575"/>
      <c r="KV84" s="575"/>
      <c r="KW84" s="575"/>
      <c r="KX84" s="575"/>
      <c r="KY84" s="575"/>
      <c r="KZ84" s="575"/>
      <c r="LA84" s="575"/>
      <c r="LB84" s="575"/>
      <c r="LC84" s="575"/>
      <c r="LD84" s="575"/>
      <c r="LE84" s="575"/>
      <c r="LF84" s="575"/>
      <c r="LG84" s="575"/>
      <c r="LH84" s="575"/>
      <c r="LI84" s="575"/>
      <c r="LJ84" s="575"/>
      <c r="LK84" s="575"/>
      <c r="LL84" s="575"/>
      <c r="LM84" s="575"/>
      <c r="LN84" s="575"/>
      <c r="LO84" s="575"/>
      <c r="LP84" s="575"/>
      <c r="LQ84" s="575"/>
      <c r="LR84" s="575"/>
      <c r="LS84" s="575"/>
      <c r="LT84" s="575"/>
      <c r="LU84" s="575"/>
      <c r="LV84" s="575"/>
      <c r="LW84" s="575"/>
      <c r="LX84" s="575"/>
      <c r="LY84" s="575"/>
      <c r="LZ84" s="575"/>
      <c r="MA84" s="575"/>
      <c r="MB84" s="575"/>
      <c r="MC84" s="575"/>
      <c r="MD84" s="575"/>
      <c r="ME84" s="575"/>
      <c r="MF84" s="575"/>
      <c r="MG84" s="575"/>
      <c r="MH84" s="575"/>
      <c r="MI84" s="575"/>
      <c r="MJ84" s="575"/>
      <c r="MK84" s="575"/>
      <c r="ML84" s="575"/>
      <c r="MM84" s="575"/>
      <c r="MN84" s="575"/>
      <c r="MO84" s="575"/>
      <c r="MP84" s="575"/>
      <c r="MQ84" s="575"/>
      <c r="MR84" s="575"/>
      <c r="MS84" s="575"/>
      <c r="MT84" s="575"/>
      <c r="MU84" s="575"/>
      <c r="MV84" s="575"/>
      <c r="MW84" s="575"/>
      <c r="MX84" s="575"/>
      <c r="MY84" s="575"/>
      <c r="MZ84" s="575"/>
      <c r="NA84" s="575"/>
      <c r="NB84" s="575"/>
      <c r="NC84" s="575"/>
      <c r="ND84" s="575"/>
      <c r="NE84" s="575"/>
      <c r="NF84" s="575"/>
      <c r="NG84" s="575"/>
      <c r="NH84" s="575"/>
      <c r="NI84" s="575"/>
      <c r="NJ84" s="575"/>
      <c r="NK84" s="575"/>
      <c r="NL84" s="575"/>
      <c r="NM84" s="575"/>
      <c r="NN84" s="575"/>
      <c r="NO84" s="575"/>
      <c r="NP84" s="575"/>
      <c r="NQ84" s="575"/>
      <c r="NR84" s="575"/>
      <c r="NS84" s="575"/>
      <c r="NT84" s="575"/>
      <c r="NU84" s="575"/>
      <c r="NV84" s="575"/>
      <c r="NW84" s="575"/>
      <c r="NX84" s="575"/>
      <c r="NY84" s="575"/>
      <c r="NZ84" s="575"/>
      <c r="OA84" s="575"/>
      <c r="OB84" s="575"/>
      <c r="OC84" s="575"/>
      <c r="OD84" s="575"/>
      <c r="OE84" s="575"/>
      <c r="OF84" s="575"/>
      <c r="OG84" s="575"/>
      <c r="OH84" s="575"/>
      <c r="OI84" s="575"/>
      <c r="OJ84" s="575"/>
      <c r="OK84" s="575"/>
      <c r="OL84" s="575"/>
      <c r="OM84" s="575"/>
      <c r="ON84" s="575"/>
      <c r="OO84" s="575"/>
      <c r="OP84" s="575"/>
      <c r="OQ84" s="575"/>
      <c r="OR84" s="575"/>
      <c r="OS84" s="575"/>
      <c r="OT84" s="575"/>
      <c r="OU84" s="575"/>
      <c r="OV84" s="575"/>
      <c r="OW84" s="575"/>
      <c r="OX84" s="575"/>
      <c r="OY84" s="575"/>
      <c r="OZ84" s="575"/>
      <c r="PA84" s="575"/>
      <c r="PB84" s="575"/>
      <c r="PC84" s="575"/>
      <c r="PD84" s="575"/>
      <c r="PE84" s="575"/>
      <c r="PF84" s="575"/>
      <c r="PG84" s="575"/>
      <c r="PH84" s="575"/>
      <c r="PI84" s="575"/>
      <c r="PJ84" s="575"/>
      <c r="PK84" s="575"/>
      <c r="PL84" s="575"/>
      <c r="PM84" s="575"/>
      <c r="PN84" s="575"/>
      <c r="PO84" s="575"/>
      <c r="PP84" s="575"/>
      <c r="PQ84" s="575"/>
      <c r="PR84" s="575"/>
      <c r="PS84" s="575"/>
      <c r="PT84" s="575"/>
      <c r="PU84" s="575"/>
      <c r="PV84" s="575"/>
      <c r="PW84" s="575"/>
      <c r="PX84" s="575"/>
      <c r="PY84" s="575"/>
      <c r="PZ84" s="575"/>
      <c r="QA84" s="575"/>
      <c r="QB84" s="575"/>
      <c r="QC84" s="575"/>
      <c r="QD84" s="575"/>
      <c r="QE84" s="575"/>
      <c r="QF84" s="575"/>
      <c r="QG84" s="575"/>
      <c r="QH84" s="575"/>
      <c r="QI84" s="575"/>
      <c r="QJ84" s="575"/>
      <c r="QK84" s="575"/>
      <c r="QL84" s="575"/>
      <c r="QM84" s="575"/>
      <c r="QN84" s="575"/>
      <c r="QO84" s="575"/>
      <c r="QP84" s="575"/>
      <c r="QQ84" s="575"/>
      <c r="QR84" s="575"/>
      <c r="QS84" s="575"/>
      <c r="QT84" s="575"/>
      <c r="QU84" s="575"/>
      <c r="QV84" s="575"/>
      <c r="QW84" s="575"/>
      <c r="QX84" s="575"/>
      <c r="QY84" s="575"/>
      <c r="QZ84" s="575"/>
      <c r="RA84" s="575"/>
      <c r="RB84" s="575"/>
      <c r="RC84" s="575"/>
      <c r="RD84" s="575"/>
      <c r="RE84" s="575"/>
      <c r="RF84" s="575"/>
      <c r="RG84" s="575"/>
      <c r="RH84" s="575"/>
      <c r="RI84" s="575"/>
      <c r="RJ84" s="575"/>
      <c r="RK84" s="575"/>
      <c r="RL84" s="575"/>
      <c r="RM84" s="575"/>
      <c r="RN84" s="575"/>
      <c r="RO84" s="575"/>
      <c r="RP84" s="575"/>
      <c r="RQ84" s="575"/>
      <c r="RR84" s="575"/>
      <c r="RS84" s="575"/>
      <c r="RT84" s="575"/>
      <c r="RU84" s="575"/>
      <c r="RV84" s="575"/>
      <c r="RW84" s="575"/>
      <c r="RX84" s="575"/>
      <c r="RY84" s="575"/>
      <c r="RZ84" s="575"/>
      <c r="SA84" s="575"/>
      <c r="SB84" s="575"/>
      <c r="SC84" s="575"/>
      <c r="SD84" s="575"/>
      <c r="SE84" s="575"/>
      <c r="SF84" s="575"/>
      <c r="SG84" s="575"/>
      <c r="SH84" s="575"/>
      <c r="SI84" s="575"/>
      <c r="SJ84" s="575"/>
      <c r="SK84" s="575"/>
      <c r="SL84" s="575"/>
      <c r="SM84" s="575"/>
      <c r="SN84" s="575"/>
      <c r="SO84" s="575"/>
      <c r="SP84" s="575"/>
      <c r="SQ84" s="575"/>
      <c r="SR84" s="575"/>
      <c r="SS84" s="575"/>
      <c r="ST84" s="575"/>
      <c r="SU84" s="575"/>
      <c r="SV84" s="575"/>
      <c r="SW84" s="575"/>
      <c r="SX84" s="575"/>
      <c r="SY84" s="575"/>
      <c r="SZ84" s="575"/>
      <c r="TA84" s="575"/>
      <c r="TB84" s="575"/>
      <c r="TC84" s="575"/>
      <c r="TD84" s="575"/>
      <c r="TE84" s="575"/>
      <c r="TF84" s="575"/>
      <c r="TG84" s="575"/>
      <c r="TH84" s="575"/>
      <c r="TI84" s="575"/>
      <c r="TJ84" s="575"/>
      <c r="TK84" s="575"/>
      <c r="TL84" s="575"/>
      <c r="TM84" s="575"/>
      <c r="TN84" s="575"/>
      <c r="TO84" s="575"/>
      <c r="TP84" s="575"/>
      <c r="TQ84" s="575"/>
      <c r="TR84" s="575"/>
      <c r="TS84" s="575"/>
      <c r="TT84" s="575"/>
      <c r="TU84" s="575"/>
      <c r="TV84" s="575"/>
      <c r="TW84" s="575"/>
      <c r="TX84" s="575"/>
      <c r="TY84" s="575"/>
      <c r="TZ84" s="575"/>
      <c r="UA84" s="575"/>
      <c r="UB84" s="575"/>
      <c r="UC84" s="575"/>
      <c r="UD84" s="575"/>
      <c r="UE84" s="575"/>
      <c r="UF84" s="575"/>
      <c r="UG84" s="575"/>
      <c r="UH84" s="575"/>
      <c r="UI84" s="575"/>
      <c r="UJ84" s="575"/>
      <c r="UK84" s="575"/>
      <c r="UL84" s="575"/>
      <c r="UM84" s="575"/>
      <c r="UN84" s="575"/>
      <c r="UO84" s="575"/>
      <c r="UP84" s="575"/>
      <c r="UQ84" s="575"/>
      <c r="UR84" s="575"/>
      <c r="US84" s="575"/>
      <c r="UT84" s="575"/>
      <c r="UU84" s="575"/>
      <c r="UV84" s="575"/>
      <c r="UW84" s="575"/>
      <c r="UX84" s="575"/>
      <c r="UY84" s="575"/>
      <c r="UZ84" s="575"/>
      <c r="VA84" s="575"/>
      <c r="VB84" s="575"/>
      <c r="VC84" s="575"/>
      <c r="VD84" s="575"/>
      <c r="VE84" s="575"/>
      <c r="VF84" s="575"/>
      <c r="VG84" s="575"/>
      <c r="VH84" s="575"/>
      <c r="VI84" s="575"/>
      <c r="VJ84" s="575"/>
      <c r="VK84" s="575"/>
      <c r="VL84" s="575"/>
      <c r="VM84" s="575"/>
      <c r="VN84" s="575"/>
      <c r="VO84" s="575"/>
      <c r="VP84" s="575"/>
      <c r="VQ84" s="575"/>
      <c r="VR84" s="575"/>
      <c r="VS84" s="575"/>
      <c r="VT84" s="575"/>
      <c r="VU84" s="575"/>
      <c r="VV84" s="575"/>
      <c r="VW84" s="575"/>
      <c r="VX84" s="575"/>
      <c r="VY84" s="575"/>
      <c r="VZ84" s="575"/>
      <c r="WA84" s="575"/>
      <c r="WB84" s="575"/>
      <c r="WC84" s="575"/>
      <c r="WD84" s="575"/>
      <c r="WE84" s="575"/>
      <c r="WF84" s="575"/>
      <c r="WG84" s="575"/>
      <c r="WH84" s="575"/>
      <c r="WI84" s="575"/>
      <c r="WJ84" s="575"/>
      <c r="WK84" s="575"/>
      <c r="WL84" s="575"/>
      <c r="WM84" s="575"/>
      <c r="WN84" s="575"/>
      <c r="WO84" s="575"/>
      <c r="WP84" s="575"/>
      <c r="WQ84" s="575"/>
      <c r="WR84" s="575"/>
      <c r="WS84" s="575"/>
      <c r="WT84" s="575"/>
      <c r="WU84" s="575"/>
      <c r="WV84" s="575"/>
      <c r="WW84" s="575"/>
      <c r="WX84" s="575"/>
      <c r="WY84" s="575"/>
      <c r="WZ84" s="575"/>
      <c r="XA84" s="575"/>
      <c r="XB84" s="575"/>
      <c r="XC84" s="575"/>
      <c r="XD84" s="575"/>
      <c r="XE84" s="575"/>
      <c r="XF84" s="575"/>
      <c r="XG84" s="575"/>
      <c r="XH84" s="575"/>
      <c r="XI84" s="575"/>
      <c r="XJ84" s="575"/>
      <c r="XK84" s="575"/>
      <c r="XL84" s="575"/>
      <c r="XM84" s="575"/>
      <c r="XN84" s="575"/>
      <c r="XO84" s="575"/>
      <c r="XP84" s="575"/>
      <c r="XQ84" s="575"/>
      <c r="XR84" s="575"/>
      <c r="XS84" s="575"/>
      <c r="XT84" s="575"/>
      <c r="XU84" s="575"/>
      <c r="XV84" s="575"/>
      <c r="XW84" s="575"/>
      <c r="XX84" s="575"/>
      <c r="XY84" s="575"/>
      <c r="XZ84" s="575"/>
      <c r="YA84" s="575"/>
      <c r="YB84" s="575"/>
      <c r="YC84" s="575"/>
      <c r="YD84" s="575"/>
      <c r="YE84" s="575"/>
      <c r="YF84" s="575"/>
      <c r="YG84" s="575"/>
      <c r="YH84" s="575"/>
      <c r="YI84" s="575"/>
      <c r="YJ84" s="575"/>
      <c r="YK84" s="575"/>
      <c r="YL84" s="575"/>
      <c r="YM84" s="575"/>
      <c r="YN84" s="575"/>
      <c r="YO84" s="575"/>
      <c r="YP84" s="575"/>
      <c r="YQ84" s="575"/>
      <c r="YR84" s="575"/>
      <c r="YS84" s="575"/>
      <c r="YT84" s="575"/>
      <c r="YU84" s="575"/>
      <c r="YV84" s="575"/>
      <c r="YW84" s="575"/>
      <c r="YX84" s="575"/>
      <c r="YY84" s="575"/>
      <c r="YZ84" s="575"/>
      <c r="ZA84" s="575"/>
      <c r="ZB84" s="575"/>
      <c r="ZC84" s="575"/>
      <c r="ZD84" s="575"/>
      <c r="ZE84" s="575"/>
      <c r="ZF84" s="575"/>
      <c r="ZG84" s="575"/>
      <c r="ZH84" s="575"/>
      <c r="ZI84" s="575"/>
      <c r="ZJ84" s="575"/>
      <c r="ZK84" s="575"/>
      <c r="ZL84" s="575"/>
      <c r="ZM84" s="575"/>
      <c r="ZN84" s="575"/>
      <c r="ZO84" s="575"/>
      <c r="ZP84" s="575"/>
      <c r="ZQ84" s="575"/>
      <c r="ZR84" s="575"/>
      <c r="ZS84" s="575"/>
      <c r="ZT84" s="575"/>
      <c r="ZU84" s="575"/>
      <c r="ZV84" s="575"/>
      <c r="ZW84" s="575"/>
      <c r="ZX84" s="575"/>
      <c r="ZY84" s="575"/>
      <c r="ZZ84" s="575"/>
      <c r="AAA84" s="575"/>
      <c r="AAB84" s="575"/>
      <c r="AAC84" s="575"/>
      <c r="AAD84" s="575"/>
      <c r="AAE84" s="575"/>
      <c r="AAF84" s="575"/>
      <c r="AAG84" s="575"/>
      <c r="AAH84" s="575"/>
      <c r="AAI84" s="575"/>
      <c r="AAJ84" s="575"/>
      <c r="AAK84" s="575"/>
      <c r="AAL84" s="575"/>
      <c r="AAM84" s="575"/>
      <c r="AAN84" s="575"/>
      <c r="AAO84" s="575"/>
      <c r="AAP84" s="575"/>
      <c r="AAQ84" s="575"/>
      <c r="AAR84" s="575"/>
      <c r="AAS84" s="575"/>
      <c r="AAT84" s="575"/>
      <c r="AAU84" s="575"/>
      <c r="AAV84" s="575"/>
      <c r="AAW84" s="575"/>
      <c r="AAX84" s="575"/>
      <c r="AAY84" s="575"/>
      <c r="AAZ84" s="575"/>
      <c r="ABA84" s="575"/>
      <c r="ABB84" s="575"/>
      <c r="ABC84" s="575"/>
      <c r="ABD84" s="575"/>
      <c r="ABE84" s="575"/>
      <c r="ABF84" s="575"/>
      <c r="ABG84" s="575"/>
      <c r="ABH84" s="575"/>
      <c r="ABI84" s="575"/>
      <c r="ABJ84" s="575"/>
      <c r="ABK84" s="575"/>
      <c r="ABL84" s="575"/>
      <c r="ABM84" s="575"/>
      <c r="ABN84" s="575"/>
      <c r="ABO84" s="575"/>
      <c r="ABP84" s="575"/>
      <c r="ABQ84" s="575"/>
      <c r="ABR84" s="575"/>
      <c r="ABS84" s="575"/>
      <c r="ABT84" s="575"/>
      <c r="ABU84" s="575"/>
      <c r="ABV84" s="575"/>
      <c r="ABW84" s="575"/>
      <c r="ABX84" s="575"/>
      <c r="ABY84" s="575"/>
      <c r="ABZ84" s="575"/>
      <c r="ACA84" s="575"/>
      <c r="ACB84" s="575"/>
      <c r="ACC84" s="575"/>
      <c r="ACD84" s="575"/>
      <c r="ACE84" s="575"/>
      <c r="ACF84" s="575"/>
      <c r="ACG84" s="575"/>
      <c r="ACH84" s="575"/>
      <c r="ACI84" s="575"/>
      <c r="ACJ84" s="575"/>
      <c r="ACK84" s="575"/>
      <c r="ACL84" s="575"/>
      <c r="ACM84" s="575"/>
      <c r="ACN84" s="575"/>
      <c r="ACO84" s="575"/>
      <c r="ACP84" s="575"/>
      <c r="ACQ84" s="575"/>
      <c r="ACR84" s="575"/>
      <c r="ACS84" s="575"/>
      <c r="ACT84" s="575"/>
      <c r="ACU84" s="575"/>
      <c r="ACV84" s="575"/>
      <c r="ACW84" s="575"/>
      <c r="ACX84" s="575"/>
      <c r="ACY84" s="575"/>
      <c r="ACZ84" s="575"/>
      <c r="ADA84" s="575"/>
      <c r="ADB84" s="575"/>
      <c r="ADC84" s="575"/>
      <c r="ADD84" s="575"/>
      <c r="ADE84" s="575"/>
      <c r="ADF84" s="575"/>
      <c r="ADG84" s="575"/>
      <c r="ADH84" s="575"/>
      <c r="ADI84" s="575"/>
      <c r="ADJ84" s="575"/>
      <c r="ADK84" s="575"/>
      <c r="ADL84" s="575"/>
      <c r="ADM84" s="575"/>
      <c r="ADN84" s="575"/>
      <c r="ADO84" s="575"/>
      <c r="ADP84" s="575"/>
      <c r="ADQ84" s="575"/>
      <c r="ADR84" s="575"/>
      <c r="ADS84" s="575"/>
      <c r="ADT84" s="575"/>
      <c r="ADU84" s="575"/>
      <c r="ADV84" s="575"/>
      <c r="ADW84" s="575"/>
      <c r="ADX84" s="575"/>
      <c r="ADY84" s="575"/>
      <c r="ADZ84" s="575"/>
      <c r="AEA84" s="575"/>
      <c r="AEB84" s="575"/>
      <c r="AEC84" s="575"/>
      <c r="AED84" s="575"/>
      <c r="AEE84" s="575"/>
      <c r="AEF84" s="575"/>
      <c r="AEG84" s="575"/>
      <c r="AEH84" s="575"/>
      <c r="AEI84" s="575"/>
      <c r="AEJ84" s="575"/>
      <c r="AEK84" s="575"/>
      <c r="AEL84" s="575"/>
      <c r="AEM84" s="575"/>
      <c r="AEN84" s="575"/>
      <c r="AEO84" s="575"/>
      <c r="AEP84" s="575"/>
      <c r="AEQ84" s="575"/>
      <c r="AER84" s="575"/>
      <c r="AES84" s="575"/>
      <c r="AET84" s="575"/>
      <c r="AEU84" s="575"/>
      <c r="AEV84" s="575"/>
      <c r="AEW84" s="575"/>
      <c r="AEX84" s="575"/>
      <c r="AEY84" s="575"/>
      <c r="AEZ84" s="575"/>
      <c r="AFA84" s="575"/>
      <c r="AFB84" s="575"/>
      <c r="AFC84" s="575"/>
      <c r="AFD84" s="575"/>
      <c r="AFE84" s="575"/>
      <c r="AFF84" s="575"/>
      <c r="AFG84" s="575"/>
      <c r="AFH84" s="575"/>
      <c r="AFI84" s="575"/>
      <c r="AFJ84" s="575"/>
      <c r="AFK84" s="575"/>
      <c r="AFL84" s="575"/>
      <c r="AFM84" s="575"/>
      <c r="AFN84" s="575"/>
      <c r="AFO84" s="575"/>
      <c r="AFP84" s="575"/>
      <c r="AFQ84" s="575"/>
      <c r="AFR84" s="575"/>
      <c r="AFS84" s="575"/>
      <c r="AFT84" s="575"/>
      <c r="AFU84" s="575"/>
      <c r="AFV84" s="575"/>
      <c r="AFW84" s="575"/>
      <c r="AFX84" s="575"/>
      <c r="AFY84" s="575"/>
      <c r="AFZ84" s="575"/>
      <c r="AGA84" s="575"/>
      <c r="AGB84" s="575"/>
      <c r="AGC84" s="575"/>
      <c r="AGD84" s="575"/>
      <c r="AGE84" s="575"/>
      <c r="AGF84" s="575"/>
      <c r="AGG84" s="575"/>
      <c r="AGH84" s="575"/>
      <c r="AGI84" s="575"/>
      <c r="AGJ84" s="575"/>
      <c r="AGK84" s="575"/>
      <c r="AGL84" s="575"/>
      <c r="AGM84" s="575"/>
      <c r="AGN84" s="575"/>
      <c r="AGO84" s="575"/>
      <c r="AGP84" s="575"/>
      <c r="AGQ84" s="575"/>
      <c r="AGR84" s="575"/>
      <c r="AGS84" s="575"/>
      <c r="AGT84" s="575"/>
      <c r="AGU84" s="575"/>
      <c r="AGV84" s="575"/>
      <c r="AGW84" s="575"/>
      <c r="AGX84" s="575"/>
      <c r="AGY84" s="575"/>
      <c r="AGZ84" s="575"/>
      <c r="AHA84" s="575"/>
      <c r="AHB84" s="575"/>
      <c r="AHC84" s="575"/>
      <c r="AHD84" s="575"/>
      <c r="AHE84" s="575"/>
      <c r="AHF84" s="575"/>
      <c r="AHG84" s="575"/>
      <c r="AHH84" s="575"/>
      <c r="AHI84" s="575"/>
      <c r="AHJ84" s="575"/>
      <c r="AHK84" s="575"/>
      <c r="AHL84" s="575"/>
      <c r="AHM84" s="575"/>
      <c r="AHN84" s="575"/>
      <c r="AHO84" s="575"/>
      <c r="AHP84" s="575"/>
      <c r="AHQ84" s="575"/>
      <c r="AHR84" s="575"/>
      <c r="AHS84" s="575"/>
      <c r="AHT84" s="575"/>
      <c r="AHU84" s="575"/>
      <c r="AHV84" s="575"/>
      <c r="AHW84" s="575"/>
      <c r="AHX84" s="575"/>
      <c r="AHY84" s="575"/>
      <c r="AHZ84" s="575"/>
      <c r="AIA84" s="575"/>
      <c r="AIB84" s="575"/>
      <c r="AIC84" s="575"/>
      <c r="AID84" s="575"/>
      <c r="AIE84" s="575"/>
      <c r="AIF84" s="575"/>
      <c r="AIG84" s="575"/>
      <c r="AIH84" s="575"/>
      <c r="AII84" s="575"/>
      <c r="AIJ84" s="575"/>
      <c r="AIK84" s="575"/>
      <c r="AIL84" s="575"/>
      <c r="AIM84" s="575"/>
      <c r="AIN84" s="575"/>
      <c r="AIO84" s="575"/>
      <c r="AIP84" s="575"/>
      <c r="AIQ84" s="575"/>
      <c r="AIR84" s="575"/>
      <c r="AIS84" s="575"/>
      <c r="AIT84" s="575"/>
      <c r="AIU84" s="575"/>
      <c r="AIV84" s="575"/>
      <c r="AIW84" s="575"/>
      <c r="AIX84" s="575"/>
      <c r="AIY84" s="575"/>
      <c r="AIZ84" s="575"/>
      <c r="AJA84" s="575"/>
      <c r="AJB84" s="575"/>
      <c r="AJC84" s="575"/>
      <c r="AJD84" s="575"/>
      <c r="AJE84" s="575"/>
      <c r="AJF84" s="575"/>
      <c r="AJG84" s="575"/>
      <c r="AJH84" s="575"/>
      <c r="AJI84" s="575"/>
      <c r="AJJ84" s="575"/>
      <c r="AJK84" s="575"/>
      <c r="AJL84" s="575"/>
      <c r="AJM84" s="575"/>
      <c r="AJN84" s="575"/>
      <c r="AJO84" s="575"/>
      <c r="AJP84" s="575"/>
      <c r="AJQ84" s="575"/>
      <c r="AJR84" s="575"/>
      <c r="AJS84" s="575"/>
      <c r="AJT84" s="575"/>
      <c r="AJU84" s="575"/>
      <c r="AJV84" s="575"/>
      <c r="AJW84" s="575"/>
      <c r="AJX84" s="575"/>
      <c r="AJY84" s="575"/>
      <c r="AJZ84" s="575"/>
      <c r="AKA84" s="575"/>
      <c r="AKB84" s="575"/>
      <c r="AKC84" s="575"/>
      <c r="AKD84" s="575"/>
      <c r="AKE84" s="575"/>
      <c r="AKF84" s="575"/>
      <c r="AKG84" s="575"/>
      <c r="AKH84" s="575"/>
      <c r="AKI84" s="575"/>
      <c r="AKJ84" s="575"/>
      <c r="AKK84" s="575"/>
      <c r="AKL84" s="575"/>
      <c r="AKM84" s="575"/>
      <c r="AKN84" s="575"/>
      <c r="AKO84" s="575"/>
      <c r="AKP84" s="575"/>
      <c r="AKQ84" s="575"/>
      <c r="AKR84" s="575"/>
      <c r="AKS84" s="575"/>
      <c r="AKT84" s="575"/>
      <c r="AKU84" s="575"/>
      <c r="AKV84" s="575"/>
      <c r="AKW84" s="575"/>
      <c r="AKX84" s="575"/>
      <c r="AKY84" s="575"/>
      <c r="AKZ84" s="575"/>
      <c r="ALA84" s="575"/>
      <c r="ALB84" s="575"/>
      <c r="ALC84" s="575"/>
      <c r="ALD84" s="575"/>
      <c r="ALE84" s="575"/>
      <c r="ALF84" s="575"/>
      <c r="ALG84" s="575"/>
      <c r="ALH84" s="575"/>
      <c r="ALI84" s="575"/>
      <c r="ALJ84" s="575"/>
      <c r="ALK84" s="575"/>
      <c r="ALL84" s="575"/>
      <c r="ALM84" s="575"/>
      <c r="ALN84" s="575"/>
      <c r="ALO84" s="575"/>
      <c r="ALP84" s="575"/>
      <c r="ALQ84" s="575"/>
      <c r="ALR84" s="575"/>
      <c r="ALS84" s="575"/>
      <c r="ALT84" s="575"/>
      <c r="ALU84" s="575"/>
      <c r="ALV84" s="575"/>
      <c r="ALW84" s="575"/>
      <c r="ALX84" s="575"/>
      <c r="ALY84" s="575"/>
      <c r="ALZ84" s="575"/>
      <c r="AMA84" s="575"/>
      <c r="AMB84" s="575"/>
      <c r="AMC84" s="575"/>
      <c r="AMD84" s="575"/>
      <c r="AME84" s="575"/>
      <c r="AMF84" s="575"/>
      <c r="AMG84" s="575"/>
      <c r="AMH84" s="575"/>
      <c r="AMI84" s="575"/>
      <c r="AMJ84" s="575"/>
      <c r="AMK84" s="575"/>
      <c r="AML84" s="575"/>
      <c r="AMM84" s="575"/>
      <c r="AMN84" s="575"/>
      <c r="AMO84" s="575"/>
      <c r="AMP84" s="575"/>
      <c r="AMQ84" s="575"/>
      <c r="AMR84" s="575"/>
      <c r="AMS84" s="575"/>
      <c r="AMT84" s="575"/>
      <c r="AMU84" s="575"/>
      <c r="AMV84" s="575"/>
      <c r="AMW84" s="575"/>
      <c r="AMX84" s="575"/>
      <c r="AMY84" s="575"/>
      <c r="AMZ84" s="575"/>
      <c r="ANA84" s="575"/>
      <c r="ANB84" s="575"/>
      <c r="ANC84" s="575"/>
      <c r="AND84" s="575"/>
      <c r="ANE84" s="575"/>
      <c r="ANF84" s="575"/>
      <c r="ANG84" s="575"/>
      <c r="ANH84" s="575"/>
      <c r="ANI84" s="575"/>
      <c r="ANJ84" s="575"/>
      <c r="ANK84" s="575"/>
      <c r="ANL84" s="575"/>
      <c r="ANM84" s="575"/>
      <c r="ANN84" s="575"/>
      <c r="ANO84" s="575"/>
      <c r="ANP84" s="575"/>
      <c r="ANQ84" s="575"/>
      <c r="ANR84" s="575"/>
      <c r="ANS84" s="575"/>
      <c r="ANT84" s="575"/>
      <c r="ANU84" s="575"/>
      <c r="ANV84" s="575"/>
      <c r="ANW84" s="575"/>
      <c r="ANX84" s="575"/>
      <c r="ANY84" s="575"/>
      <c r="ANZ84" s="575"/>
      <c r="AOA84" s="575"/>
      <c r="AOB84" s="575"/>
      <c r="AOC84" s="575"/>
      <c r="AOD84" s="575"/>
      <c r="AOE84" s="575"/>
      <c r="AOF84" s="575"/>
      <c r="AOG84" s="575"/>
      <c r="AOH84" s="575"/>
      <c r="AOI84" s="575"/>
      <c r="AOJ84" s="575"/>
      <c r="AOK84" s="575"/>
      <c r="AOL84" s="575"/>
      <c r="AOM84" s="575"/>
      <c r="AON84" s="575"/>
      <c r="AOO84" s="575"/>
      <c r="AOP84" s="575"/>
      <c r="AOQ84" s="575"/>
      <c r="AOR84" s="575"/>
      <c r="AOS84" s="575"/>
      <c r="AOT84" s="575"/>
      <c r="AOU84" s="575"/>
      <c r="AOV84" s="575"/>
      <c r="AOW84" s="575"/>
      <c r="AOX84" s="575"/>
      <c r="AOY84" s="575"/>
      <c r="AOZ84" s="575"/>
      <c r="APA84" s="575"/>
      <c r="APB84" s="575"/>
      <c r="APC84" s="575"/>
      <c r="APD84" s="575"/>
      <c r="APE84" s="575"/>
      <c r="APF84" s="575"/>
      <c r="APG84" s="575"/>
      <c r="APH84" s="575"/>
      <c r="API84" s="575"/>
      <c r="APJ84" s="575"/>
      <c r="APK84" s="575"/>
      <c r="APL84" s="575"/>
      <c r="APM84" s="575"/>
      <c r="APN84" s="575"/>
      <c r="APO84" s="575"/>
      <c r="APP84" s="575"/>
      <c r="APQ84" s="575"/>
      <c r="APR84" s="575"/>
      <c r="APS84" s="575"/>
      <c r="APT84" s="575"/>
      <c r="APU84" s="575"/>
      <c r="APV84" s="575"/>
      <c r="APW84" s="575"/>
      <c r="APX84" s="575"/>
      <c r="APY84" s="575"/>
      <c r="APZ84" s="575"/>
      <c r="AQA84" s="575"/>
      <c r="AQB84" s="575"/>
      <c r="AQC84" s="575"/>
      <c r="AQD84" s="575"/>
      <c r="AQE84" s="575"/>
      <c r="AQF84" s="575"/>
      <c r="AQG84" s="575"/>
      <c r="AQH84" s="575"/>
      <c r="AQI84" s="575"/>
      <c r="AQJ84" s="575"/>
      <c r="AQK84" s="575"/>
      <c r="AQL84" s="575"/>
      <c r="AQM84" s="575"/>
      <c r="AQN84" s="575"/>
      <c r="AQO84" s="575"/>
      <c r="AQP84" s="575"/>
      <c r="AQQ84" s="575"/>
      <c r="AQR84" s="575"/>
      <c r="AQS84" s="575"/>
      <c r="AQT84" s="575"/>
      <c r="AQU84" s="575"/>
      <c r="AQV84" s="575"/>
      <c r="AQW84" s="575"/>
      <c r="AQX84" s="575"/>
      <c r="AQY84" s="575"/>
      <c r="AQZ84" s="575"/>
      <c r="ARA84" s="575"/>
      <c r="ARB84" s="575"/>
      <c r="ARC84" s="575"/>
      <c r="ARD84" s="575"/>
      <c r="ARE84" s="575"/>
      <c r="ARF84" s="575"/>
      <c r="ARG84" s="575"/>
      <c r="ARH84" s="575"/>
      <c r="ARI84" s="575"/>
      <c r="ARJ84" s="575"/>
      <c r="ARK84" s="575"/>
      <c r="ARL84" s="575"/>
      <c r="ARM84" s="575"/>
      <c r="ARN84" s="575"/>
      <c r="ARO84" s="575"/>
      <c r="ARP84" s="575"/>
      <c r="ARQ84" s="575"/>
      <c r="ARR84" s="575"/>
      <c r="ARS84" s="575"/>
      <c r="ART84" s="575"/>
      <c r="ARU84" s="575"/>
      <c r="ARV84" s="575"/>
      <c r="ARW84" s="575"/>
      <c r="ARX84" s="575"/>
      <c r="ARY84" s="575"/>
      <c r="ARZ84" s="575"/>
      <c r="ASA84" s="575"/>
      <c r="ASB84" s="575"/>
      <c r="ASC84" s="575"/>
      <c r="ASD84" s="575"/>
      <c r="ASE84" s="575"/>
      <c r="ASF84" s="575"/>
      <c r="ASG84" s="575"/>
      <c r="ASH84" s="575"/>
      <c r="ASI84" s="575"/>
      <c r="ASJ84" s="575"/>
      <c r="ASK84" s="575"/>
      <c r="ASL84" s="575"/>
      <c r="ASM84" s="575"/>
      <c r="ASN84" s="575"/>
      <c r="ASO84" s="575"/>
      <c r="ASP84" s="575"/>
      <c r="ASQ84" s="575"/>
      <c r="ASR84" s="575"/>
      <c r="ASS84" s="575"/>
      <c r="AST84" s="575"/>
      <c r="ASU84" s="575"/>
      <c r="ASV84" s="575"/>
      <c r="ASW84" s="575"/>
      <c r="ASX84" s="575"/>
      <c r="ASY84" s="575"/>
      <c r="ASZ84" s="575"/>
      <c r="ATA84" s="575"/>
      <c r="ATB84" s="575"/>
      <c r="ATC84" s="575"/>
      <c r="ATD84" s="575"/>
      <c r="ATE84" s="575"/>
      <c r="ATF84" s="575"/>
      <c r="ATG84" s="575"/>
      <c r="ATH84" s="575"/>
      <c r="ATI84" s="575"/>
      <c r="ATJ84" s="575"/>
      <c r="ATK84" s="575"/>
      <c r="ATL84" s="575"/>
      <c r="ATM84" s="575"/>
      <c r="ATN84" s="575"/>
      <c r="ATO84" s="575"/>
      <c r="ATP84" s="575"/>
      <c r="ATQ84" s="575"/>
      <c r="ATR84" s="575"/>
      <c r="ATS84" s="575"/>
      <c r="ATT84" s="575"/>
      <c r="ATU84" s="575"/>
      <c r="ATV84" s="575"/>
      <c r="ATW84" s="575"/>
      <c r="ATX84" s="575"/>
      <c r="ATY84" s="575"/>
      <c r="ATZ84" s="575"/>
      <c r="AUA84" s="575"/>
      <c r="AUB84" s="575"/>
      <c r="AUC84" s="575"/>
      <c r="AUD84" s="575"/>
      <c r="AUE84" s="575"/>
      <c r="AUF84" s="575"/>
      <c r="AUG84" s="575"/>
      <c r="AUH84" s="575"/>
      <c r="AUI84" s="575"/>
      <c r="AUJ84" s="575"/>
      <c r="AUK84" s="575"/>
      <c r="AUL84" s="575"/>
      <c r="AUM84" s="575"/>
      <c r="AUN84" s="575"/>
      <c r="AUO84" s="575"/>
      <c r="AUP84" s="575"/>
      <c r="AUQ84" s="575"/>
      <c r="AUR84" s="575"/>
      <c r="AUS84" s="575"/>
      <c r="AUT84" s="575"/>
      <c r="AUU84" s="575"/>
      <c r="AUV84" s="575"/>
      <c r="AUW84" s="575"/>
      <c r="AUX84" s="575"/>
      <c r="AUY84" s="575"/>
      <c r="AUZ84" s="575"/>
      <c r="AVA84" s="575"/>
      <c r="AVB84" s="575"/>
      <c r="AVC84" s="575"/>
      <c r="AVD84" s="575"/>
      <c r="AVE84" s="575"/>
      <c r="AVF84" s="575"/>
      <c r="AVG84" s="575"/>
      <c r="AVH84" s="575"/>
      <c r="AVI84" s="575"/>
      <c r="AVJ84" s="575"/>
      <c r="AVK84" s="575"/>
      <c r="AVL84" s="575"/>
      <c r="AVM84" s="575"/>
      <c r="AVN84" s="575"/>
      <c r="AVO84" s="575"/>
      <c r="AVP84" s="575"/>
      <c r="AVQ84" s="575"/>
      <c r="AVR84" s="575"/>
      <c r="AVS84" s="575"/>
      <c r="AVT84" s="575"/>
      <c r="AVU84" s="575"/>
      <c r="AVV84" s="575"/>
      <c r="AVW84" s="575"/>
      <c r="AVX84" s="575"/>
      <c r="AVY84" s="575"/>
      <c r="AVZ84" s="575"/>
      <c r="AWA84" s="575"/>
      <c r="AWB84" s="575"/>
      <c r="AWC84" s="575"/>
      <c r="AWD84" s="575"/>
      <c r="AWE84" s="575"/>
      <c r="AWF84" s="575"/>
      <c r="AWG84" s="575"/>
      <c r="AWH84" s="575"/>
      <c r="AWI84" s="575"/>
      <c r="AWJ84" s="575"/>
      <c r="AWK84" s="575"/>
      <c r="AWL84" s="575"/>
      <c r="AWM84" s="575"/>
      <c r="AWN84" s="575"/>
      <c r="AWO84" s="575"/>
      <c r="AWP84" s="575"/>
      <c r="AWQ84" s="575"/>
      <c r="AWR84" s="575"/>
      <c r="AWS84" s="575"/>
      <c r="AWT84" s="575"/>
      <c r="AWU84" s="575"/>
      <c r="AWV84" s="575"/>
      <c r="AWW84" s="575"/>
      <c r="AWX84" s="575"/>
      <c r="AWY84" s="575"/>
      <c r="AWZ84" s="575"/>
      <c r="AXA84" s="575"/>
      <c r="AXB84" s="575"/>
      <c r="AXC84" s="575"/>
      <c r="AXD84" s="575"/>
      <c r="AXE84" s="575"/>
      <c r="AXF84" s="575"/>
      <c r="AXG84" s="575"/>
      <c r="AXH84" s="575"/>
      <c r="AXI84" s="575"/>
      <c r="AXJ84" s="575"/>
      <c r="AXK84" s="575"/>
      <c r="AXL84" s="575"/>
      <c r="AXM84" s="575"/>
      <c r="AXN84" s="575"/>
      <c r="AXO84" s="575"/>
      <c r="AXP84" s="575"/>
      <c r="AXQ84" s="575"/>
      <c r="AXR84" s="575"/>
      <c r="AXS84" s="575"/>
      <c r="AXT84" s="575"/>
      <c r="AXU84" s="575"/>
      <c r="AXV84" s="575"/>
      <c r="AXW84" s="575"/>
      <c r="AXX84" s="575"/>
      <c r="AXY84" s="575"/>
      <c r="AXZ84" s="575"/>
      <c r="AYA84" s="575"/>
      <c r="AYB84" s="575"/>
      <c r="AYC84" s="575"/>
      <c r="AYD84" s="575"/>
      <c r="AYE84" s="575"/>
      <c r="AYF84" s="575"/>
      <c r="AYG84" s="575"/>
      <c r="AYH84" s="575"/>
      <c r="AYI84" s="575"/>
      <c r="AYJ84" s="575"/>
      <c r="AYK84" s="575"/>
      <c r="AYL84" s="575"/>
      <c r="AYM84" s="575"/>
      <c r="AYN84" s="575"/>
      <c r="AYO84" s="575"/>
      <c r="AYP84" s="575"/>
      <c r="AYQ84" s="575"/>
      <c r="AYR84" s="575"/>
      <c r="AYS84" s="575"/>
      <c r="AYT84" s="575"/>
      <c r="AYU84" s="575"/>
      <c r="AYV84" s="575"/>
      <c r="AYW84" s="575"/>
      <c r="AYX84" s="575"/>
      <c r="AYY84" s="575"/>
      <c r="AYZ84" s="575"/>
      <c r="AZA84" s="575"/>
      <c r="AZB84" s="575"/>
      <c r="AZC84" s="575"/>
      <c r="AZD84" s="575"/>
      <c r="AZE84" s="575"/>
      <c r="AZF84" s="575"/>
      <c r="AZG84" s="575"/>
      <c r="AZH84" s="575"/>
      <c r="AZI84" s="575"/>
      <c r="AZJ84" s="575"/>
      <c r="AZK84" s="575"/>
      <c r="AZL84" s="575"/>
      <c r="AZM84" s="575"/>
      <c r="AZN84" s="575"/>
      <c r="AZO84" s="575"/>
      <c r="AZP84" s="575"/>
      <c r="AZQ84" s="575"/>
      <c r="AZR84" s="575"/>
      <c r="AZS84" s="575"/>
      <c r="AZT84" s="575"/>
      <c r="AZU84" s="575"/>
      <c r="AZV84" s="575"/>
      <c r="AZW84" s="575"/>
      <c r="AZX84" s="575"/>
      <c r="AZY84" s="575"/>
      <c r="AZZ84" s="575"/>
      <c r="BAA84" s="575"/>
      <c r="BAB84" s="575"/>
      <c r="BAC84" s="575"/>
      <c r="BAD84" s="575"/>
      <c r="BAE84" s="575"/>
      <c r="BAF84" s="575"/>
      <c r="BAG84" s="575"/>
      <c r="BAH84" s="575"/>
      <c r="BAI84" s="575"/>
      <c r="BAJ84" s="575"/>
      <c r="BAK84" s="575"/>
      <c r="BAL84" s="575"/>
      <c r="BAM84" s="575"/>
      <c r="BAN84" s="575"/>
      <c r="BAO84" s="575"/>
      <c r="BAP84" s="575"/>
      <c r="BAQ84" s="575"/>
      <c r="BAR84" s="575"/>
      <c r="BAS84" s="575"/>
      <c r="BAT84" s="575"/>
      <c r="BAU84" s="575"/>
      <c r="BAV84" s="575"/>
      <c r="BAW84" s="575"/>
      <c r="BAX84" s="575"/>
      <c r="BAY84" s="575"/>
      <c r="BAZ84" s="575"/>
      <c r="BBA84" s="575"/>
      <c r="BBB84" s="575"/>
      <c r="BBC84" s="575"/>
      <c r="BBD84" s="575"/>
      <c r="BBE84" s="575"/>
      <c r="BBF84" s="575"/>
      <c r="BBG84" s="575"/>
      <c r="BBH84" s="575"/>
      <c r="BBI84" s="575"/>
      <c r="BBJ84" s="575"/>
      <c r="BBK84" s="575"/>
      <c r="BBL84" s="575"/>
      <c r="BBM84" s="575"/>
      <c r="BBN84" s="575"/>
      <c r="BBO84" s="575"/>
      <c r="BBP84" s="575"/>
      <c r="BBQ84" s="575"/>
      <c r="BBR84" s="575"/>
      <c r="BBS84" s="575"/>
      <c r="BBT84" s="575"/>
      <c r="BBU84" s="575"/>
      <c r="BBV84" s="575"/>
      <c r="BBW84" s="575"/>
      <c r="BBX84" s="575"/>
      <c r="BBY84" s="575"/>
      <c r="BBZ84" s="575"/>
      <c r="BCA84" s="575"/>
      <c r="BCB84" s="575"/>
      <c r="BCC84" s="575"/>
      <c r="BCD84" s="575"/>
      <c r="BCE84" s="575"/>
      <c r="BCF84" s="575"/>
      <c r="BCG84" s="575"/>
      <c r="BCH84" s="575"/>
      <c r="BCI84" s="575"/>
      <c r="BCJ84" s="575"/>
      <c r="BCK84" s="575"/>
      <c r="BCL84" s="575"/>
      <c r="BCM84" s="575"/>
      <c r="BCN84" s="575"/>
      <c r="BCO84" s="575"/>
      <c r="BCP84" s="575"/>
      <c r="BCQ84" s="575"/>
      <c r="BCR84" s="575"/>
      <c r="BCS84" s="575"/>
      <c r="BCT84" s="575"/>
      <c r="BCU84" s="575"/>
      <c r="BCV84" s="575"/>
      <c r="BCW84" s="575"/>
      <c r="BCX84" s="575"/>
      <c r="BCY84" s="575"/>
      <c r="BCZ84" s="575"/>
      <c r="BDA84" s="575"/>
      <c r="BDB84" s="575"/>
      <c r="BDC84" s="575"/>
      <c r="BDD84" s="575"/>
      <c r="BDE84" s="575"/>
      <c r="BDF84" s="575"/>
      <c r="BDG84" s="575"/>
      <c r="BDH84" s="575"/>
      <c r="BDI84" s="575"/>
      <c r="BDJ84" s="575"/>
      <c r="BDK84" s="575"/>
      <c r="BDL84" s="575"/>
      <c r="BDM84" s="575"/>
      <c r="BDN84" s="575"/>
      <c r="BDO84" s="575"/>
      <c r="BDP84" s="575"/>
      <c r="BDQ84" s="575"/>
      <c r="BDR84" s="575"/>
      <c r="BDS84" s="575"/>
      <c r="BDT84" s="575"/>
    </row>
    <row r="85" spans="1:1476" s="632" customFormat="1" x14ac:dyDescent="0.25">
      <c r="A85" s="608">
        <v>5537</v>
      </c>
      <c r="B85" s="609" t="s">
        <v>30</v>
      </c>
      <c r="C85" s="610">
        <v>2369122.64</v>
      </c>
      <c r="D85" s="610">
        <v>297524.75</v>
      </c>
      <c r="E85" s="610"/>
      <c r="F85" s="611">
        <v>7530</v>
      </c>
      <c r="G85" s="610">
        <v>58472.65</v>
      </c>
      <c r="H85" s="610">
        <v>2025.25</v>
      </c>
      <c r="I85" s="610"/>
      <c r="J85" s="610">
        <v>29419.040000000001</v>
      </c>
      <c r="K85" s="610">
        <v>6680.75</v>
      </c>
      <c r="L85" s="610">
        <v>259696.7</v>
      </c>
      <c r="M85" s="434">
        <f t="shared" si="4"/>
        <v>3030471.7800000003</v>
      </c>
      <c r="N85" s="612">
        <v>0</v>
      </c>
      <c r="O85" s="612">
        <v>144.6</v>
      </c>
      <c r="P85" s="612">
        <v>65983.199999999997</v>
      </c>
      <c r="Q85" s="612">
        <v>8713.3700000000008</v>
      </c>
      <c r="R85" s="612">
        <v>63523.4</v>
      </c>
      <c r="S85" s="610">
        <v>6322.34</v>
      </c>
      <c r="T85" s="543">
        <f t="shared" si="5"/>
        <v>3175158.6900000004</v>
      </c>
      <c r="U85" s="575">
        <v>-67184.789999999994</v>
      </c>
      <c r="V85" s="612"/>
      <c r="W85" s="612">
        <v>-1955.37</v>
      </c>
      <c r="X85" s="624">
        <v>76</v>
      </c>
      <c r="Y85" s="631">
        <v>1</v>
      </c>
      <c r="Z85" s="628">
        <f>VLOOKUP(A85,'[2]2022 toutes communes'!$B$9:$D$317,3,FALSE)</f>
        <v>1308</v>
      </c>
      <c r="AA85" s="617"/>
      <c r="AB85" s="618">
        <v>98273</v>
      </c>
      <c r="AC85" s="547">
        <f>AB85/VPI!R85</f>
        <v>2.5093502151832849</v>
      </c>
      <c r="AD85" s="548">
        <f t="shared" si="6"/>
        <v>126324</v>
      </c>
      <c r="AE85" s="547">
        <f>AD85/VPI!R85</f>
        <v>3.2256179884893434</v>
      </c>
      <c r="AF85" s="618">
        <v>224597</v>
      </c>
      <c r="AG85" s="618">
        <v>76508</v>
      </c>
      <c r="AH85" s="618">
        <v>115887</v>
      </c>
      <c r="AI85" s="627"/>
      <c r="AJ85" s="628">
        <v>0</v>
      </c>
      <c r="AK85" s="547">
        <f>AJ85/VPI!R85</f>
        <v>0</v>
      </c>
      <c r="AL85" s="548">
        <f t="shared" si="7"/>
        <v>20517</v>
      </c>
      <c r="AM85" s="547">
        <f>AL85/VPI!R85</f>
        <v>0.52389098088910946</v>
      </c>
      <c r="AN85" s="628">
        <v>20517</v>
      </c>
      <c r="AO85" s="627"/>
      <c r="AP85" s="629">
        <v>14.212772660585706</v>
      </c>
      <c r="AQ85" s="575"/>
      <c r="AR85" s="630">
        <v>0</v>
      </c>
      <c r="AS85" s="575"/>
      <c r="AT85" s="575"/>
      <c r="AU85" s="575"/>
      <c r="AV85" s="575"/>
      <c r="AW85" s="575"/>
      <c r="AX85" s="575"/>
      <c r="AY85" s="575"/>
      <c r="AZ85" s="575"/>
      <c r="BA85" s="575"/>
      <c r="BB85" s="575"/>
      <c r="BC85" s="575"/>
      <c r="BD85" s="575"/>
      <c r="BE85" s="575"/>
      <c r="BF85" s="575"/>
      <c r="BG85" s="575"/>
      <c r="BH85" s="575"/>
      <c r="BI85" s="575"/>
      <c r="BJ85" s="575"/>
      <c r="BK85" s="575"/>
      <c r="BL85" s="575"/>
      <c r="BM85" s="575"/>
      <c r="BN85" s="575"/>
      <c r="BO85" s="575"/>
      <c r="BP85" s="575"/>
      <c r="BQ85" s="575"/>
      <c r="BR85" s="575"/>
      <c r="BS85" s="575"/>
      <c r="BT85" s="575"/>
      <c r="BU85" s="575"/>
      <c r="BV85" s="575"/>
      <c r="BW85" s="575"/>
      <c r="BX85" s="575"/>
      <c r="BY85" s="575"/>
      <c r="BZ85" s="575"/>
      <c r="CA85" s="575"/>
      <c r="CB85" s="575"/>
      <c r="CC85" s="575"/>
      <c r="CD85" s="575"/>
      <c r="CE85" s="575"/>
      <c r="CF85" s="575"/>
      <c r="CG85" s="575"/>
      <c r="CH85" s="575"/>
      <c r="CI85" s="575"/>
      <c r="CJ85" s="575"/>
      <c r="CK85" s="575"/>
      <c r="CL85" s="575"/>
      <c r="CM85" s="575"/>
      <c r="CN85" s="575"/>
      <c r="CO85" s="575"/>
      <c r="CP85" s="575"/>
      <c r="CQ85" s="575"/>
      <c r="CR85" s="575"/>
      <c r="CS85" s="575"/>
      <c r="CT85" s="575"/>
      <c r="CU85" s="575"/>
      <c r="CV85" s="575"/>
      <c r="CW85" s="575"/>
      <c r="CX85" s="575"/>
      <c r="CY85" s="575"/>
      <c r="CZ85" s="575"/>
      <c r="DA85" s="575"/>
      <c r="DB85" s="575"/>
      <c r="DC85" s="575"/>
      <c r="DD85" s="575"/>
      <c r="DE85" s="575"/>
      <c r="DF85" s="575"/>
      <c r="DG85" s="575"/>
      <c r="DH85" s="575"/>
      <c r="DI85" s="575"/>
      <c r="DJ85" s="575"/>
      <c r="DK85" s="575"/>
      <c r="DL85" s="575"/>
      <c r="DM85" s="575"/>
      <c r="DN85" s="575"/>
      <c r="DO85" s="575"/>
      <c r="DP85" s="575"/>
      <c r="DQ85" s="575"/>
      <c r="DR85" s="575"/>
      <c r="DS85" s="575"/>
      <c r="DT85" s="575"/>
      <c r="DU85" s="575"/>
      <c r="DV85" s="575"/>
      <c r="DW85" s="575"/>
      <c r="DX85" s="575"/>
      <c r="DY85" s="575"/>
      <c r="DZ85" s="575"/>
      <c r="EA85" s="575"/>
      <c r="EB85" s="575"/>
      <c r="EC85" s="575"/>
      <c r="ED85" s="575"/>
      <c r="EE85" s="575"/>
      <c r="EF85" s="575"/>
      <c r="EG85" s="575"/>
      <c r="EH85" s="575"/>
      <c r="EI85" s="575"/>
      <c r="EJ85" s="575"/>
      <c r="EK85" s="575"/>
      <c r="EL85" s="575"/>
      <c r="EM85" s="575"/>
      <c r="EN85" s="575"/>
      <c r="EO85" s="575"/>
      <c r="EP85" s="575"/>
      <c r="EQ85" s="575"/>
      <c r="ER85" s="575"/>
      <c r="ES85" s="575"/>
      <c r="ET85" s="575"/>
      <c r="EU85" s="575"/>
      <c r="EV85" s="575"/>
      <c r="EW85" s="575"/>
      <c r="EX85" s="575"/>
      <c r="EY85" s="575"/>
      <c r="EZ85" s="575"/>
      <c r="FA85" s="575"/>
      <c r="FB85" s="575"/>
      <c r="FC85" s="575"/>
      <c r="FD85" s="575"/>
      <c r="FE85" s="575"/>
      <c r="FF85" s="575"/>
      <c r="FG85" s="575"/>
      <c r="FH85" s="575"/>
      <c r="FI85" s="575"/>
      <c r="FJ85" s="575"/>
      <c r="FK85" s="575"/>
      <c r="FL85" s="575"/>
      <c r="FM85" s="575"/>
      <c r="FN85" s="575"/>
      <c r="FO85" s="575"/>
      <c r="FP85" s="575"/>
      <c r="FQ85" s="575"/>
      <c r="FR85" s="575"/>
      <c r="FS85" s="575"/>
      <c r="FT85" s="575"/>
      <c r="FU85" s="575"/>
      <c r="FV85" s="575"/>
      <c r="FW85" s="575"/>
      <c r="FX85" s="575"/>
      <c r="FY85" s="575"/>
      <c r="FZ85" s="575"/>
      <c r="GA85" s="575"/>
      <c r="GB85" s="575"/>
      <c r="GC85" s="575"/>
      <c r="GD85" s="575"/>
      <c r="GE85" s="575"/>
      <c r="GF85" s="575"/>
      <c r="GG85" s="575"/>
      <c r="GH85" s="575"/>
      <c r="GI85" s="575"/>
      <c r="GJ85" s="575"/>
      <c r="GK85" s="575"/>
      <c r="GL85" s="575"/>
      <c r="GM85" s="575"/>
      <c r="GN85" s="575"/>
      <c r="GO85" s="575"/>
      <c r="GP85" s="575"/>
      <c r="GQ85" s="575"/>
      <c r="GR85" s="575"/>
      <c r="GS85" s="575"/>
      <c r="GT85" s="575"/>
      <c r="GU85" s="575"/>
      <c r="GV85" s="575"/>
      <c r="GW85" s="575"/>
      <c r="GX85" s="575"/>
      <c r="GY85" s="575"/>
      <c r="GZ85" s="575"/>
      <c r="HA85" s="575"/>
      <c r="HB85" s="575"/>
      <c r="HC85" s="575"/>
      <c r="HD85" s="575"/>
      <c r="HE85" s="575"/>
      <c r="HF85" s="575"/>
      <c r="HG85" s="575"/>
      <c r="HH85" s="575"/>
      <c r="HI85" s="575"/>
      <c r="HJ85" s="575"/>
      <c r="HK85" s="575"/>
      <c r="HL85" s="575"/>
      <c r="HM85" s="575"/>
      <c r="HN85" s="575"/>
      <c r="HO85" s="575"/>
      <c r="HP85" s="575"/>
      <c r="HQ85" s="575"/>
      <c r="HR85" s="575"/>
      <c r="HS85" s="575"/>
      <c r="HT85" s="575"/>
      <c r="HU85" s="575"/>
      <c r="HV85" s="575"/>
      <c r="HW85" s="575"/>
      <c r="HX85" s="575"/>
      <c r="HY85" s="575"/>
      <c r="HZ85" s="575"/>
      <c r="IA85" s="575"/>
      <c r="IB85" s="575"/>
      <c r="IC85" s="575"/>
      <c r="ID85" s="575"/>
      <c r="IE85" s="575"/>
      <c r="IF85" s="575"/>
      <c r="IG85" s="575"/>
      <c r="IH85" s="575"/>
      <c r="II85" s="575"/>
      <c r="IJ85" s="575"/>
      <c r="IK85" s="575"/>
      <c r="IL85" s="575"/>
      <c r="IM85" s="575"/>
      <c r="IN85" s="575"/>
      <c r="IO85" s="575"/>
      <c r="IP85" s="575"/>
      <c r="IQ85" s="575"/>
      <c r="IR85" s="575"/>
      <c r="IS85" s="575"/>
      <c r="IT85" s="575"/>
      <c r="IU85" s="575"/>
      <c r="IV85" s="575"/>
      <c r="IW85" s="575"/>
      <c r="IX85" s="575"/>
      <c r="IY85" s="575"/>
      <c r="IZ85" s="575"/>
      <c r="JA85" s="575"/>
      <c r="JB85" s="575"/>
      <c r="JC85" s="575"/>
      <c r="JD85" s="575"/>
      <c r="JE85" s="575"/>
      <c r="JF85" s="575"/>
      <c r="JG85" s="575"/>
      <c r="JH85" s="575"/>
      <c r="JI85" s="575"/>
      <c r="JJ85" s="575"/>
      <c r="JK85" s="575"/>
      <c r="JL85" s="575"/>
      <c r="JM85" s="575"/>
      <c r="JN85" s="575"/>
      <c r="JO85" s="575"/>
      <c r="JP85" s="575"/>
      <c r="JQ85" s="575"/>
      <c r="JR85" s="575"/>
      <c r="JS85" s="575"/>
      <c r="JT85" s="575"/>
      <c r="JU85" s="575"/>
      <c r="JV85" s="575"/>
      <c r="JW85" s="575"/>
      <c r="JX85" s="575"/>
      <c r="JY85" s="575"/>
      <c r="JZ85" s="575"/>
      <c r="KA85" s="575"/>
      <c r="KB85" s="575"/>
      <c r="KC85" s="575"/>
      <c r="KD85" s="575"/>
      <c r="KE85" s="575"/>
      <c r="KF85" s="575"/>
      <c r="KG85" s="575"/>
      <c r="KH85" s="575"/>
      <c r="KI85" s="575"/>
      <c r="KJ85" s="575"/>
      <c r="KK85" s="575"/>
      <c r="KL85" s="575"/>
      <c r="KM85" s="575"/>
      <c r="KN85" s="575"/>
      <c r="KO85" s="575"/>
      <c r="KP85" s="575"/>
      <c r="KQ85" s="575"/>
      <c r="KR85" s="575"/>
      <c r="KS85" s="575"/>
      <c r="KT85" s="575"/>
      <c r="KU85" s="575"/>
      <c r="KV85" s="575"/>
      <c r="KW85" s="575"/>
      <c r="KX85" s="575"/>
      <c r="KY85" s="575"/>
      <c r="KZ85" s="575"/>
      <c r="LA85" s="575"/>
      <c r="LB85" s="575"/>
      <c r="LC85" s="575"/>
      <c r="LD85" s="575"/>
      <c r="LE85" s="575"/>
      <c r="LF85" s="575"/>
      <c r="LG85" s="575"/>
      <c r="LH85" s="575"/>
      <c r="LI85" s="575"/>
      <c r="LJ85" s="575"/>
      <c r="LK85" s="575"/>
      <c r="LL85" s="575"/>
      <c r="LM85" s="575"/>
      <c r="LN85" s="575"/>
      <c r="LO85" s="575"/>
      <c r="LP85" s="575"/>
      <c r="LQ85" s="575"/>
      <c r="LR85" s="575"/>
      <c r="LS85" s="575"/>
      <c r="LT85" s="575"/>
      <c r="LU85" s="575"/>
      <c r="LV85" s="575"/>
      <c r="LW85" s="575"/>
      <c r="LX85" s="575"/>
      <c r="LY85" s="575"/>
      <c r="LZ85" s="575"/>
      <c r="MA85" s="575"/>
      <c r="MB85" s="575"/>
      <c r="MC85" s="575"/>
      <c r="MD85" s="575"/>
      <c r="ME85" s="575"/>
      <c r="MF85" s="575"/>
      <c r="MG85" s="575"/>
      <c r="MH85" s="575"/>
      <c r="MI85" s="575"/>
      <c r="MJ85" s="575"/>
      <c r="MK85" s="575"/>
      <c r="ML85" s="575"/>
      <c r="MM85" s="575"/>
      <c r="MN85" s="575"/>
      <c r="MO85" s="575"/>
      <c r="MP85" s="575"/>
      <c r="MQ85" s="575"/>
      <c r="MR85" s="575"/>
      <c r="MS85" s="575"/>
      <c r="MT85" s="575"/>
      <c r="MU85" s="575"/>
      <c r="MV85" s="575"/>
      <c r="MW85" s="575"/>
      <c r="MX85" s="575"/>
      <c r="MY85" s="575"/>
      <c r="MZ85" s="575"/>
      <c r="NA85" s="575"/>
      <c r="NB85" s="575"/>
      <c r="NC85" s="575"/>
      <c r="ND85" s="575"/>
      <c r="NE85" s="575"/>
      <c r="NF85" s="575"/>
      <c r="NG85" s="575"/>
      <c r="NH85" s="575"/>
      <c r="NI85" s="575"/>
      <c r="NJ85" s="575"/>
      <c r="NK85" s="575"/>
      <c r="NL85" s="575"/>
      <c r="NM85" s="575"/>
      <c r="NN85" s="575"/>
      <c r="NO85" s="575"/>
      <c r="NP85" s="575"/>
      <c r="NQ85" s="575"/>
      <c r="NR85" s="575"/>
      <c r="NS85" s="575"/>
      <c r="NT85" s="575"/>
      <c r="NU85" s="575"/>
      <c r="NV85" s="575"/>
      <c r="NW85" s="575"/>
      <c r="NX85" s="575"/>
      <c r="NY85" s="575"/>
      <c r="NZ85" s="575"/>
      <c r="OA85" s="575"/>
      <c r="OB85" s="575"/>
      <c r="OC85" s="575"/>
      <c r="OD85" s="575"/>
      <c r="OE85" s="575"/>
      <c r="OF85" s="575"/>
      <c r="OG85" s="575"/>
      <c r="OH85" s="575"/>
      <c r="OI85" s="575"/>
      <c r="OJ85" s="575"/>
      <c r="OK85" s="575"/>
      <c r="OL85" s="575"/>
      <c r="OM85" s="575"/>
      <c r="ON85" s="575"/>
      <c r="OO85" s="575"/>
      <c r="OP85" s="575"/>
      <c r="OQ85" s="575"/>
      <c r="OR85" s="575"/>
      <c r="OS85" s="575"/>
      <c r="OT85" s="575"/>
      <c r="OU85" s="575"/>
      <c r="OV85" s="575"/>
      <c r="OW85" s="575"/>
      <c r="OX85" s="575"/>
      <c r="OY85" s="575"/>
      <c r="OZ85" s="575"/>
      <c r="PA85" s="575"/>
      <c r="PB85" s="575"/>
      <c r="PC85" s="575"/>
      <c r="PD85" s="575"/>
      <c r="PE85" s="575"/>
      <c r="PF85" s="575"/>
      <c r="PG85" s="575"/>
      <c r="PH85" s="575"/>
      <c r="PI85" s="575"/>
      <c r="PJ85" s="575"/>
      <c r="PK85" s="575"/>
      <c r="PL85" s="575"/>
      <c r="PM85" s="575"/>
      <c r="PN85" s="575"/>
      <c r="PO85" s="575"/>
      <c r="PP85" s="575"/>
      <c r="PQ85" s="575"/>
      <c r="PR85" s="575"/>
      <c r="PS85" s="575"/>
      <c r="PT85" s="575"/>
      <c r="PU85" s="575"/>
      <c r="PV85" s="575"/>
      <c r="PW85" s="575"/>
      <c r="PX85" s="575"/>
      <c r="PY85" s="575"/>
      <c r="PZ85" s="575"/>
      <c r="QA85" s="575"/>
      <c r="QB85" s="575"/>
      <c r="QC85" s="575"/>
      <c r="QD85" s="575"/>
      <c r="QE85" s="575"/>
      <c r="QF85" s="575"/>
      <c r="QG85" s="575"/>
      <c r="QH85" s="575"/>
      <c r="QI85" s="575"/>
      <c r="QJ85" s="575"/>
      <c r="QK85" s="575"/>
      <c r="QL85" s="575"/>
      <c r="QM85" s="575"/>
      <c r="QN85" s="575"/>
      <c r="QO85" s="575"/>
      <c r="QP85" s="575"/>
      <c r="QQ85" s="575"/>
      <c r="QR85" s="575"/>
      <c r="QS85" s="575"/>
      <c r="QT85" s="575"/>
      <c r="QU85" s="575"/>
      <c r="QV85" s="575"/>
      <c r="QW85" s="575"/>
      <c r="QX85" s="575"/>
      <c r="QY85" s="575"/>
      <c r="QZ85" s="575"/>
      <c r="RA85" s="575"/>
      <c r="RB85" s="575"/>
      <c r="RC85" s="575"/>
      <c r="RD85" s="575"/>
      <c r="RE85" s="575"/>
      <c r="RF85" s="575"/>
      <c r="RG85" s="575"/>
      <c r="RH85" s="575"/>
      <c r="RI85" s="575"/>
      <c r="RJ85" s="575"/>
      <c r="RK85" s="575"/>
      <c r="RL85" s="575"/>
      <c r="RM85" s="575"/>
      <c r="RN85" s="575"/>
      <c r="RO85" s="575"/>
      <c r="RP85" s="575"/>
      <c r="RQ85" s="575"/>
      <c r="RR85" s="575"/>
      <c r="RS85" s="575"/>
      <c r="RT85" s="575"/>
      <c r="RU85" s="575"/>
      <c r="RV85" s="575"/>
      <c r="RW85" s="575"/>
      <c r="RX85" s="575"/>
      <c r="RY85" s="575"/>
      <c r="RZ85" s="575"/>
      <c r="SA85" s="575"/>
      <c r="SB85" s="575"/>
      <c r="SC85" s="575"/>
      <c r="SD85" s="575"/>
      <c r="SE85" s="575"/>
      <c r="SF85" s="575"/>
      <c r="SG85" s="575"/>
      <c r="SH85" s="575"/>
      <c r="SI85" s="575"/>
      <c r="SJ85" s="575"/>
      <c r="SK85" s="575"/>
      <c r="SL85" s="575"/>
      <c r="SM85" s="575"/>
      <c r="SN85" s="575"/>
      <c r="SO85" s="575"/>
      <c r="SP85" s="575"/>
      <c r="SQ85" s="575"/>
      <c r="SR85" s="575"/>
      <c r="SS85" s="575"/>
      <c r="ST85" s="575"/>
      <c r="SU85" s="575"/>
      <c r="SV85" s="575"/>
      <c r="SW85" s="575"/>
      <c r="SX85" s="575"/>
      <c r="SY85" s="575"/>
      <c r="SZ85" s="575"/>
      <c r="TA85" s="575"/>
      <c r="TB85" s="575"/>
      <c r="TC85" s="575"/>
      <c r="TD85" s="575"/>
      <c r="TE85" s="575"/>
      <c r="TF85" s="575"/>
      <c r="TG85" s="575"/>
      <c r="TH85" s="575"/>
      <c r="TI85" s="575"/>
      <c r="TJ85" s="575"/>
      <c r="TK85" s="575"/>
      <c r="TL85" s="575"/>
      <c r="TM85" s="575"/>
      <c r="TN85" s="575"/>
      <c r="TO85" s="575"/>
      <c r="TP85" s="575"/>
      <c r="TQ85" s="575"/>
      <c r="TR85" s="575"/>
      <c r="TS85" s="575"/>
      <c r="TT85" s="575"/>
      <c r="TU85" s="575"/>
      <c r="TV85" s="575"/>
      <c r="TW85" s="575"/>
      <c r="TX85" s="575"/>
      <c r="TY85" s="575"/>
      <c r="TZ85" s="575"/>
      <c r="UA85" s="575"/>
      <c r="UB85" s="575"/>
      <c r="UC85" s="575"/>
      <c r="UD85" s="575"/>
      <c r="UE85" s="575"/>
      <c r="UF85" s="575"/>
      <c r="UG85" s="575"/>
      <c r="UH85" s="575"/>
      <c r="UI85" s="575"/>
      <c r="UJ85" s="575"/>
      <c r="UK85" s="575"/>
      <c r="UL85" s="575"/>
      <c r="UM85" s="575"/>
      <c r="UN85" s="575"/>
      <c r="UO85" s="575"/>
      <c r="UP85" s="575"/>
      <c r="UQ85" s="575"/>
      <c r="UR85" s="575"/>
      <c r="US85" s="575"/>
      <c r="UT85" s="575"/>
      <c r="UU85" s="575"/>
      <c r="UV85" s="575"/>
      <c r="UW85" s="575"/>
      <c r="UX85" s="575"/>
      <c r="UY85" s="575"/>
      <c r="UZ85" s="575"/>
      <c r="VA85" s="575"/>
      <c r="VB85" s="575"/>
      <c r="VC85" s="575"/>
      <c r="VD85" s="575"/>
      <c r="VE85" s="575"/>
      <c r="VF85" s="575"/>
      <c r="VG85" s="575"/>
      <c r="VH85" s="575"/>
      <c r="VI85" s="575"/>
      <c r="VJ85" s="575"/>
      <c r="VK85" s="575"/>
      <c r="VL85" s="575"/>
      <c r="VM85" s="575"/>
      <c r="VN85" s="575"/>
      <c r="VO85" s="575"/>
      <c r="VP85" s="575"/>
      <c r="VQ85" s="575"/>
      <c r="VR85" s="575"/>
      <c r="VS85" s="575"/>
      <c r="VT85" s="575"/>
      <c r="VU85" s="575"/>
      <c r="VV85" s="575"/>
      <c r="VW85" s="575"/>
      <c r="VX85" s="575"/>
      <c r="VY85" s="575"/>
      <c r="VZ85" s="575"/>
      <c r="WA85" s="575"/>
      <c r="WB85" s="575"/>
      <c r="WC85" s="575"/>
      <c r="WD85" s="575"/>
      <c r="WE85" s="575"/>
      <c r="WF85" s="575"/>
      <c r="WG85" s="575"/>
      <c r="WH85" s="575"/>
      <c r="WI85" s="575"/>
      <c r="WJ85" s="575"/>
      <c r="WK85" s="575"/>
      <c r="WL85" s="575"/>
      <c r="WM85" s="575"/>
      <c r="WN85" s="575"/>
      <c r="WO85" s="575"/>
      <c r="WP85" s="575"/>
      <c r="WQ85" s="575"/>
      <c r="WR85" s="575"/>
      <c r="WS85" s="575"/>
      <c r="WT85" s="575"/>
      <c r="WU85" s="575"/>
      <c r="WV85" s="575"/>
      <c r="WW85" s="575"/>
      <c r="WX85" s="575"/>
      <c r="WY85" s="575"/>
      <c r="WZ85" s="575"/>
      <c r="XA85" s="575"/>
      <c r="XB85" s="575"/>
      <c r="XC85" s="575"/>
      <c r="XD85" s="575"/>
      <c r="XE85" s="575"/>
      <c r="XF85" s="575"/>
      <c r="XG85" s="575"/>
      <c r="XH85" s="575"/>
      <c r="XI85" s="575"/>
      <c r="XJ85" s="575"/>
      <c r="XK85" s="575"/>
      <c r="XL85" s="575"/>
      <c r="XM85" s="575"/>
      <c r="XN85" s="575"/>
      <c r="XO85" s="575"/>
      <c r="XP85" s="575"/>
      <c r="XQ85" s="575"/>
      <c r="XR85" s="575"/>
      <c r="XS85" s="575"/>
      <c r="XT85" s="575"/>
      <c r="XU85" s="575"/>
      <c r="XV85" s="575"/>
      <c r="XW85" s="575"/>
      <c r="XX85" s="575"/>
      <c r="XY85" s="575"/>
      <c r="XZ85" s="575"/>
      <c r="YA85" s="575"/>
      <c r="YB85" s="575"/>
      <c r="YC85" s="575"/>
      <c r="YD85" s="575"/>
      <c r="YE85" s="575"/>
      <c r="YF85" s="575"/>
      <c r="YG85" s="575"/>
      <c r="YH85" s="575"/>
      <c r="YI85" s="575"/>
      <c r="YJ85" s="575"/>
      <c r="YK85" s="575"/>
      <c r="YL85" s="575"/>
      <c r="YM85" s="575"/>
      <c r="YN85" s="575"/>
      <c r="YO85" s="575"/>
      <c r="YP85" s="575"/>
      <c r="YQ85" s="575"/>
      <c r="YR85" s="575"/>
      <c r="YS85" s="575"/>
      <c r="YT85" s="575"/>
      <c r="YU85" s="575"/>
      <c r="YV85" s="575"/>
      <c r="YW85" s="575"/>
      <c r="YX85" s="575"/>
      <c r="YY85" s="575"/>
      <c r="YZ85" s="575"/>
      <c r="ZA85" s="575"/>
      <c r="ZB85" s="575"/>
      <c r="ZC85" s="575"/>
      <c r="ZD85" s="575"/>
      <c r="ZE85" s="575"/>
      <c r="ZF85" s="575"/>
      <c r="ZG85" s="575"/>
      <c r="ZH85" s="575"/>
      <c r="ZI85" s="575"/>
      <c r="ZJ85" s="575"/>
      <c r="ZK85" s="575"/>
      <c r="ZL85" s="575"/>
      <c r="ZM85" s="575"/>
      <c r="ZN85" s="575"/>
      <c r="ZO85" s="575"/>
      <c r="ZP85" s="575"/>
      <c r="ZQ85" s="575"/>
      <c r="ZR85" s="575"/>
      <c r="ZS85" s="575"/>
      <c r="ZT85" s="575"/>
      <c r="ZU85" s="575"/>
      <c r="ZV85" s="575"/>
      <c r="ZW85" s="575"/>
      <c r="ZX85" s="575"/>
      <c r="ZY85" s="575"/>
      <c r="ZZ85" s="575"/>
      <c r="AAA85" s="575"/>
      <c r="AAB85" s="575"/>
      <c r="AAC85" s="575"/>
      <c r="AAD85" s="575"/>
      <c r="AAE85" s="575"/>
      <c r="AAF85" s="575"/>
      <c r="AAG85" s="575"/>
      <c r="AAH85" s="575"/>
      <c r="AAI85" s="575"/>
      <c r="AAJ85" s="575"/>
      <c r="AAK85" s="575"/>
      <c r="AAL85" s="575"/>
      <c r="AAM85" s="575"/>
      <c r="AAN85" s="575"/>
      <c r="AAO85" s="575"/>
      <c r="AAP85" s="575"/>
      <c r="AAQ85" s="575"/>
      <c r="AAR85" s="575"/>
      <c r="AAS85" s="575"/>
      <c r="AAT85" s="575"/>
      <c r="AAU85" s="575"/>
      <c r="AAV85" s="575"/>
      <c r="AAW85" s="575"/>
      <c r="AAX85" s="575"/>
      <c r="AAY85" s="575"/>
      <c r="AAZ85" s="575"/>
      <c r="ABA85" s="575"/>
      <c r="ABB85" s="575"/>
      <c r="ABC85" s="575"/>
      <c r="ABD85" s="575"/>
      <c r="ABE85" s="575"/>
      <c r="ABF85" s="575"/>
      <c r="ABG85" s="575"/>
      <c r="ABH85" s="575"/>
      <c r="ABI85" s="575"/>
      <c r="ABJ85" s="575"/>
      <c r="ABK85" s="575"/>
      <c r="ABL85" s="575"/>
      <c r="ABM85" s="575"/>
      <c r="ABN85" s="575"/>
      <c r="ABO85" s="575"/>
      <c r="ABP85" s="575"/>
      <c r="ABQ85" s="575"/>
      <c r="ABR85" s="575"/>
      <c r="ABS85" s="575"/>
      <c r="ABT85" s="575"/>
      <c r="ABU85" s="575"/>
      <c r="ABV85" s="575"/>
      <c r="ABW85" s="575"/>
      <c r="ABX85" s="575"/>
      <c r="ABY85" s="575"/>
      <c r="ABZ85" s="575"/>
      <c r="ACA85" s="575"/>
      <c r="ACB85" s="575"/>
      <c r="ACC85" s="575"/>
      <c r="ACD85" s="575"/>
      <c r="ACE85" s="575"/>
      <c r="ACF85" s="575"/>
      <c r="ACG85" s="575"/>
      <c r="ACH85" s="575"/>
      <c r="ACI85" s="575"/>
      <c r="ACJ85" s="575"/>
      <c r="ACK85" s="575"/>
      <c r="ACL85" s="575"/>
      <c r="ACM85" s="575"/>
      <c r="ACN85" s="575"/>
      <c r="ACO85" s="575"/>
      <c r="ACP85" s="575"/>
      <c r="ACQ85" s="575"/>
      <c r="ACR85" s="575"/>
      <c r="ACS85" s="575"/>
      <c r="ACT85" s="575"/>
      <c r="ACU85" s="575"/>
      <c r="ACV85" s="575"/>
      <c r="ACW85" s="575"/>
      <c r="ACX85" s="575"/>
      <c r="ACY85" s="575"/>
      <c r="ACZ85" s="575"/>
      <c r="ADA85" s="575"/>
      <c r="ADB85" s="575"/>
      <c r="ADC85" s="575"/>
      <c r="ADD85" s="575"/>
      <c r="ADE85" s="575"/>
      <c r="ADF85" s="575"/>
      <c r="ADG85" s="575"/>
      <c r="ADH85" s="575"/>
      <c r="ADI85" s="575"/>
      <c r="ADJ85" s="575"/>
      <c r="ADK85" s="575"/>
      <c r="ADL85" s="575"/>
      <c r="ADM85" s="575"/>
      <c r="ADN85" s="575"/>
      <c r="ADO85" s="575"/>
      <c r="ADP85" s="575"/>
      <c r="ADQ85" s="575"/>
      <c r="ADR85" s="575"/>
      <c r="ADS85" s="575"/>
      <c r="ADT85" s="575"/>
      <c r="ADU85" s="575"/>
      <c r="ADV85" s="575"/>
      <c r="ADW85" s="575"/>
      <c r="ADX85" s="575"/>
      <c r="ADY85" s="575"/>
      <c r="ADZ85" s="575"/>
      <c r="AEA85" s="575"/>
      <c r="AEB85" s="575"/>
      <c r="AEC85" s="575"/>
      <c r="AED85" s="575"/>
      <c r="AEE85" s="575"/>
      <c r="AEF85" s="575"/>
      <c r="AEG85" s="575"/>
      <c r="AEH85" s="575"/>
      <c r="AEI85" s="575"/>
      <c r="AEJ85" s="575"/>
      <c r="AEK85" s="575"/>
      <c r="AEL85" s="575"/>
      <c r="AEM85" s="575"/>
      <c r="AEN85" s="575"/>
      <c r="AEO85" s="575"/>
      <c r="AEP85" s="575"/>
      <c r="AEQ85" s="575"/>
      <c r="AER85" s="575"/>
      <c r="AES85" s="575"/>
      <c r="AET85" s="575"/>
      <c r="AEU85" s="575"/>
      <c r="AEV85" s="575"/>
      <c r="AEW85" s="575"/>
      <c r="AEX85" s="575"/>
      <c r="AEY85" s="575"/>
      <c r="AEZ85" s="575"/>
      <c r="AFA85" s="575"/>
      <c r="AFB85" s="575"/>
      <c r="AFC85" s="575"/>
      <c r="AFD85" s="575"/>
      <c r="AFE85" s="575"/>
      <c r="AFF85" s="575"/>
      <c r="AFG85" s="575"/>
      <c r="AFH85" s="575"/>
      <c r="AFI85" s="575"/>
      <c r="AFJ85" s="575"/>
      <c r="AFK85" s="575"/>
      <c r="AFL85" s="575"/>
      <c r="AFM85" s="575"/>
      <c r="AFN85" s="575"/>
      <c r="AFO85" s="575"/>
      <c r="AFP85" s="575"/>
      <c r="AFQ85" s="575"/>
      <c r="AFR85" s="575"/>
      <c r="AFS85" s="575"/>
      <c r="AFT85" s="575"/>
      <c r="AFU85" s="575"/>
      <c r="AFV85" s="575"/>
      <c r="AFW85" s="575"/>
      <c r="AFX85" s="575"/>
      <c r="AFY85" s="575"/>
      <c r="AFZ85" s="575"/>
      <c r="AGA85" s="575"/>
      <c r="AGB85" s="575"/>
      <c r="AGC85" s="575"/>
      <c r="AGD85" s="575"/>
      <c r="AGE85" s="575"/>
      <c r="AGF85" s="575"/>
      <c r="AGG85" s="575"/>
      <c r="AGH85" s="575"/>
      <c r="AGI85" s="575"/>
      <c r="AGJ85" s="575"/>
      <c r="AGK85" s="575"/>
      <c r="AGL85" s="575"/>
      <c r="AGM85" s="575"/>
      <c r="AGN85" s="575"/>
      <c r="AGO85" s="575"/>
      <c r="AGP85" s="575"/>
      <c r="AGQ85" s="575"/>
      <c r="AGR85" s="575"/>
      <c r="AGS85" s="575"/>
      <c r="AGT85" s="575"/>
      <c r="AGU85" s="575"/>
      <c r="AGV85" s="575"/>
      <c r="AGW85" s="575"/>
      <c r="AGX85" s="575"/>
      <c r="AGY85" s="575"/>
      <c r="AGZ85" s="575"/>
      <c r="AHA85" s="575"/>
      <c r="AHB85" s="575"/>
      <c r="AHC85" s="575"/>
      <c r="AHD85" s="575"/>
      <c r="AHE85" s="575"/>
      <c r="AHF85" s="575"/>
      <c r="AHG85" s="575"/>
      <c r="AHH85" s="575"/>
      <c r="AHI85" s="575"/>
      <c r="AHJ85" s="575"/>
      <c r="AHK85" s="575"/>
      <c r="AHL85" s="575"/>
      <c r="AHM85" s="575"/>
      <c r="AHN85" s="575"/>
      <c r="AHO85" s="575"/>
      <c r="AHP85" s="575"/>
      <c r="AHQ85" s="575"/>
      <c r="AHR85" s="575"/>
      <c r="AHS85" s="575"/>
      <c r="AHT85" s="575"/>
      <c r="AHU85" s="575"/>
      <c r="AHV85" s="575"/>
      <c r="AHW85" s="575"/>
      <c r="AHX85" s="575"/>
      <c r="AHY85" s="575"/>
      <c r="AHZ85" s="575"/>
      <c r="AIA85" s="575"/>
      <c r="AIB85" s="575"/>
      <c r="AIC85" s="575"/>
      <c r="AID85" s="575"/>
      <c r="AIE85" s="575"/>
      <c r="AIF85" s="575"/>
      <c r="AIG85" s="575"/>
      <c r="AIH85" s="575"/>
      <c r="AII85" s="575"/>
      <c r="AIJ85" s="575"/>
      <c r="AIK85" s="575"/>
      <c r="AIL85" s="575"/>
      <c r="AIM85" s="575"/>
      <c r="AIN85" s="575"/>
      <c r="AIO85" s="575"/>
      <c r="AIP85" s="575"/>
      <c r="AIQ85" s="575"/>
      <c r="AIR85" s="575"/>
      <c r="AIS85" s="575"/>
      <c r="AIT85" s="575"/>
      <c r="AIU85" s="575"/>
      <c r="AIV85" s="575"/>
      <c r="AIW85" s="575"/>
      <c r="AIX85" s="575"/>
      <c r="AIY85" s="575"/>
      <c r="AIZ85" s="575"/>
      <c r="AJA85" s="575"/>
      <c r="AJB85" s="575"/>
      <c r="AJC85" s="575"/>
      <c r="AJD85" s="575"/>
      <c r="AJE85" s="575"/>
      <c r="AJF85" s="575"/>
      <c r="AJG85" s="575"/>
      <c r="AJH85" s="575"/>
      <c r="AJI85" s="575"/>
      <c r="AJJ85" s="575"/>
      <c r="AJK85" s="575"/>
      <c r="AJL85" s="575"/>
      <c r="AJM85" s="575"/>
      <c r="AJN85" s="575"/>
      <c r="AJO85" s="575"/>
      <c r="AJP85" s="575"/>
      <c r="AJQ85" s="575"/>
      <c r="AJR85" s="575"/>
      <c r="AJS85" s="575"/>
      <c r="AJT85" s="575"/>
      <c r="AJU85" s="575"/>
      <c r="AJV85" s="575"/>
      <c r="AJW85" s="575"/>
      <c r="AJX85" s="575"/>
      <c r="AJY85" s="575"/>
      <c r="AJZ85" s="575"/>
      <c r="AKA85" s="575"/>
      <c r="AKB85" s="575"/>
      <c r="AKC85" s="575"/>
      <c r="AKD85" s="575"/>
      <c r="AKE85" s="575"/>
      <c r="AKF85" s="575"/>
      <c r="AKG85" s="575"/>
      <c r="AKH85" s="575"/>
      <c r="AKI85" s="575"/>
      <c r="AKJ85" s="575"/>
      <c r="AKK85" s="575"/>
      <c r="AKL85" s="575"/>
      <c r="AKM85" s="575"/>
      <c r="AKN85" s="575"/>
      <c r="AKO85" s="575"/>
      <c r="AKP85" s="575"/>
      <c r="AKQ85" s="575"/>
      <c r="AKR85" s="575"/>
      <c r="AKS85" s="575"/>
      <c r="AKT85" s="575"/>
      <c r="AKU85" s="575"/>
      <c r="AKV85" s="575"/>
      <c r="AKW85" s="575"/>
      <c r="AKX85" s="575"/>
      <c r="AKY85" s="575"/>
      <c r="AKZ85" s="575"/>
      <c r="ALA85" s="575"/>
      <c r="ALB85" s="575"/>
      <c r="ALC85" s="575"/>
      <c r="ALD85" s="575"/>
      <c r="ALE85" s="575"/>
      <c r="ALF85" s="575"/>
      <c r="ALG85" s="575"/>
      <c r="ALH85" s="575"/>
      <c r="ALI85" s="575"/>
      <c r="ALJ85" s="575"/>
      <c r="ALK85" s="575"/>
      <c r="ALL85" s="575"/>
      <c r="ALM85" s="575"/>
      <c r="ALN85" s="575"/>
      <c r="ALO85" s="575"/>
      <c r="ALP85" s="575"/>
      <c r="ALQ85" s="575"/>
      <c r="ALR85" s="575"/>
      <c r="ALS85" s="575"/>
      <c r="ALT85" s="575"/>
      <c r="ALU85" s="575"/>
      <c r="ALV85" s="575"/>
      <c r="ALW85" s="575"/>
      <c r="ALX85" s="575"/>
      <c r="ALY85" s="575"/>
      <c r="ALZ85" s="575"/>
      <c r="AMA85" s="575"/>
      <c r="AMB85" s="575"/>
      <c r="AMC85" s="575"/>
      <c r="AMD85" s="575"/>
      <c r="AME85" s="575"/>
      <c r="AMF85" s="575"/>
      <c r="AMG85" s="575"/>
      <c r="AMH85" s="575"/>
      <c r="AMI85" s="575"/>
      <c r="AMJ85" s="575"/>
      <c r="AMK85" s="575"/>
      <c r="AML85" s="575"/>
      <c r="AMM85" s="575"/>
      <c r="AMN85" s="575"/>
      <c r="AMO85" s="575"/>
      <c r="AMP85" s="575"/>
      <c r="AMQ85" s="575"/>
      <c r="AMR85" s="575"/>
      <c r="AMS85" s="575"/>
      <c r="AMT85" s="575"/>
      <c r="AMU85" s="575"/>
      <c r="AMV85" s="575"/>
      <c r="AMW85" s="575"/>
      <c r="AMX85" s="575"/>
      <c r="AMY85" s="575"/>
      <c r="AMZ85" s="575"/>
      <c r="ANA85" s="575"/>
      <c r="ANB85" s="575"/>
      <c r="ANC85" s="575"/>
      <c r="AND85" s="575"/>
      <c r="ANE85" s="575"/>
      <c r="ANF85" s="575"/>
      <c r="ANG85" s="575"/>
      <c r="ANH85" s="575"/>
      <c r="ANI85" s="575"/>
      <c r="ANJ85" s="575"/>
      <c r="ANK85" s="575"/>
      <c r="ANL85" s="575"/>
      <c r="ANM85" s="575"/>
      <c r="ANN85" s="575"/>
      <c r="ANO85" s="575"/>
      <c r="ANP85" s="575"/>
      <c r="ANQ85" s="575"/>
      <c r="ANR85" s="575"/>
      <c r="ANS85" s="575"/>
      <c r="ANT85" s="575"/>
      <c r="ANU85" s="575"/>
      <c r="ANV85" s="575"/>
      <c r="ANW85" s="575"/>
      <c r="ANX85" s="575"/>
      <c r="ANY85" s="575"/>
      <c r="ANZ85" s="575"/>
      <c r="AOA85" s="575"/>
      <c r="AOB85" s="575"/>
      <c r="AOC85" s="575"/>
      <c r="AOD85" s="575"/>
      <c r="AOE85" s="575"/>
      <c r="AOF85" s="575"/>
      <c r="AOG85" s="575"/>
      <c r="AOH85" s="575"/>
      <c r="AOI85" s="575"/>
      <c r="AOJ85" s="575"/>
      <c r="AOK85" s="575"/>
      <c r="AOL85" s="575"/>
      <c r="AOM85" s="575"/>
      <c r="AON85" s="575"/>
      <c r="AOO85" s="575"/>
      <c r="AOP85" s="575"/>
      <c r="AOQ85" s="575"/>
      <c r="AOR85" s="575"/>
      <c r="AOS85" s="575"/>
      <c r="AOT85" s="575"/>
      <c r="AOU85" s="575"/>
      <c r="AOV85" s="575"/>
      <c r="AOW85" s="575"/>
      <c r="AOX85" s="575"/>
      <c r="AOY85" s="575"/>
      <c r="AOZ85" s="575"/>
      <c r="APA85" s="575"/>
      <c r="APB85" s="575"/>
      <c r="APC85" s="575"/>
      <c r="APD85" s="575"/>
      <c r="APE85" s="575"/>
      <c r="APF85" s="575"/>
      <c r="APG85" s="575"/>
      <c r="APH85" s="575"/>
      <c r="API85" s="575"/>
      <c r="APJ85" s="575"/>
      <c r="APK85" s="575"/>
      <c r="APL85" s="575"/>
      <c r="APM85" s="575"/>
      <c r="APN85" s="575"/>
      <c r="APO85" s="575"/>
      <c r="APP85" s="575"/>
      <c r="APQ85" s="575"/>
      <c r="APR85" s="575"/>
      <c r="APS85" s="575"/>
      <c r="APT85" s="575"/>
      <c r="APU85" s="575"/>
      <c r="APV85" s="575"/>
      <c r="APW85" s="575"/>
      <c r="APX85" s="575"/>
      <c r="APY85" s="575"/>
      <c r="APZ85" s="575"/>
      <c r="AQA85" s="575"/>
      <c r="AQB85" s="575"/>
      <c r="AQC85" s="575"/>
      <c r="AQD85" s="575"/>
      <c r="AQE85" s="575"/>
      <c r="AQF85" s="575"/>
      <c r="AQG85" s="575"/>
      <c r="AQH85" s="575"/>
      <c r="AQI85" s="575"/>
      <c r="AQJ85" s="575"/>
      <c r="AQK85" s="575"/>
      <c r="AQL85" s="575"/>
      <c r="AQM85" s="575"/>
      <c r="AQN85" s="575"/>
      <c r="AQO85" s="575"/>
      <c r="AQP85" s="575"/>
      <c r="AQQ85" s="575"/>
      <c r="AQR85" s="575"/>
      <c r="AQS85" s="575"/>
      <c r="AQT85" s="575"/>
      <c r="AQU85" s="575"/>
      <c r="AQV85" s="575"/>
      <c r="AQW85" s="575"/>
      <c r="AQX85" s="575"/>
      <c r="AQY85" s="575"/>
      <c r="AQZ85" s="575"/>
      <c r="ARA85" s="575"/>
      <c r="ARB85" s="575"/>
      <c r="ARC85" s="575"/>
      <c r="ARD85" s="575"/>
      <c r="ARE85" s="575"/>
      <c r="ARF85" s="575"/>
      <c r="ARG85" s="575"/>
      <c r="ARH85" s="575"/>
      <c r="ARI85" s="575"/>
      <c r="ARJ85" s="575"/>
      <c r="ARK85" s="575"/>
      <c r="ARL85" s="575"/>
      <c r="ARM85" s="575"/>
      <c r="ARN85" s="575"/>
      <c r="ARO85" s="575"/>
      <c r="ARP85" s="575"/>
      <c r="ARQ85" s="575"/>
      <c r="ARR85" s="575"/>
      <c r="ARS85" s="575"/>
      <c r="ART85" s="575"/>
      <c r="ARU85" s="575"/>
      <c r="ARV85" s="575"/>
      <c r="ARW85" s="575"/>
      <c r="ARX85" s="575"/>
      <c r="ARY85" s="575"/>
      <c r="ARZ85" s="575"/>
      <c r="ASA85" s="575"/>
      <c r="ASB85" s="575"/>
      <c r="ASC85" s="575"/>
      <c r="ASD85" s="575"/>
      <c r="ASE85" s="575"/>
      <c r="ASF85" s="575"/>
      <c r="ASG85" s="575"/>
      <c r="ASH85" s="575"/>
      <c r="ASI85" s="575"/>
      <c r="ASJ85" s="575"/>
      <c r="ASK85" s="575"/>
      <c r="ASL85" s="575"/>
      <c r="ASM85" s="575"/>
      <c r="ASN85" s="575"/>
      <c r="ASO85" s="575"/>
      <c r="ASP85" s="575"/>
      <c r="ASQ85" s="575"/>
      <c r="ASR85" s="575"/>
      <c r="ASS85" s="575"/>
      <c r="AST85" s="575"/>
      <c r="ASU85" s="575"/>
      <c r="ASV85" s="575"/>
      <c r="ASW85" s="575"/>
      <c r="ASX85" s="575"/>
      <c r="ASY85" s="575"/>
      <c r="ASZ85" s="575"/>
      <c r="ATA85" s="575"/>
      <c r="ATB85" s="575"/>
      <c r="ATC85" s="575"/>
      <c r="ATD85" s="575"/>
      <c r="ATE85" s="575"/>
      <c r="ATF85" s="575"/>
      <c r="ATG85" s="575"/>
      <c r="ATH85" s="575"/>
      <c r="ATI85" s="575"/>
      <c r="ATJ85" s="575"/>
      <c r="ATK85" s="575"/>
      <c r="ATL85" s="575"/>
      <c r="ATM85" s="575"/>
      <c r="ATN85" s="575"/>
      <c r="ATO85" s="575"/>
      <c r="ATP85" s="575"/>
      <c r="ATQ85" s="575"/>
      <c r="ATR85" s="575"/>
      <c r="ATS85" s="575"/>
      <c r="ATT85" s="575"/>
      <c r="ATU85" s="575"/>
      <c r="ATV85" s="575"/>
      <c r="ATW85" s="575"/>
      <c r="ATX85" s="575"/>
      <c r="ATY85" s="575"/>
      <c r="ATZ85" s="575"/>
      <c r="AUA85" s="575"/>
      <c r="AUB85" s="575"/>
      <c r="AUC85" s="575"/>
      <c r="AUD85" s="575"/>
      <c r="AUE85" s="575"/>
      <c r="AUF85" s="575"/>
      <c r="AUG85" s="575"/>
      <c r="AUH85" s="575"/>
      <c r="AUI85" s="575"/>
      <c r="AUJ85" s="575"/>
      <c r="AUK85" s="575"/>
      <c r="AUL85" s="575"/>
      <c r="AUM85" s="575"/>
      <c r="AUN85" s="575"/>
      <c r="AUO85" s="575"/>
      <c r="AUP85" s="575"/>
      <c r="AUQ85" s="575"/>
      <c r="AUR85" s="575"/>
      <c r="AUS85" s="575"/>
      <c r="AUT85" s="575"/>
      <c r="AUU85" s="575"/>
      <c r="AUV85" s="575"/>
      <c r="AUW85" s="575"/>
      <c r="AUX85" s="575"/>
      <c r="AUY85" s="575"/>
      <c r="AUZ85" s="575"/>
      <c r="AVA85" s="575"/>
      <c r="AVB85" s="575"/>
      <c r="AVC85" s="575"/>
      <c r="AVD85" s="575"/>
      <c r="AVE85" s="575"/>
      <c r="AVF85" s="575"/>
      <c r="AVG85" s="575"/>
      <c r="AVH85" s="575"/>
      <c r="AVI85" s="575"/>
      <c r="AVJ85" s="575"/>
      <c r="AVK85" s="575"/>
      <c r="AVL85" s="575"/>
      <c r="AVM85" s="575"/>
      <c r="AVN85" s="575"/>
      <c r="AVO85" s="575"/>
      <c r="AVP85" s="575"/>
      <c r="AVQ85" s="575"/>
      <c r="AVR85" s="575"/>
      <c r="AVS85" s="575"/>
      <c r="AVT85" s="575"/>
      <c r="AVU85" s="575"/>
      <c r="AVV85" s="575"/>
      <c r="AVW85" s="575"/>
      <c r="AVX85" s="575"/>
      <c r="AVY85" s="575"/>
      <c r="AVZ85" s="575"/>
      <c r="AWA85" s="575"/>
      <c r="AWB85" s="575"/>
      <c r="AWC85" s="575"/>
      <c r="AWD85" s="575"/>
      <c r="AWE85" s="575"/>
      <c r="AWF85" s="575"/>
      <c r="AWG85" s="575"/>
      <c r="AWH85" s="575"/>
      <c r="AWI85" s="575"/>
      <c r="AWJ85" s="575"/>
      <c r="AWK85" s="575"/>
      <c r="AWL85" s="575"/>
      <c r="AWM85" s="575"/>
      <c r="AWN85" s="575"/>
      <c r="AWO85" s="575"/>
      <c r="AWP85" s="575"/>
      <c r="AWQ85" s="575"/>
      <c r="AWR85" s="575"/>
      <c r="AWS85" s="575"/>
      <c r="AWT85" s="575"/>
      <c r="AWU85" s="575"/>
      <c r="AWV85" s="575"/>
      <c r="AWW85" s="575"/>
      <c r="AWX85" s="575"/>
      <c r="AWY85" s="575"/>
      <c r="AWZ85" s="575"/>
      <c r="AXA85" s="575"/>
      <c r="AXB85" s="575"/>
      <c r="AXC85" s="575"/>
      <c r="AXD85" s="575"/>
      <c r="AXE85" s="575"/>
      <c r="AXF85" s="575"/>
      <c r="AXG85" s="575"/>
      <c r="AXH85" s="575"/>
      <c r="AXI85" s="575"/>
      <c r="AXJ85" s="575"/>
      <c r="AXK85" s="575"/>
      <c r="AXL85" s="575"/>
      <c r="AXM85" s="575"/>
      <c r="AXN85" s="575"/>
      <c r="AXO85" s="575"/>
      <c r="AXP85" s="575"/>
      <c r="AXQ85" s="575"/>
      <c r="AXR85" s="575"/>
      <c r="AXS85" s="575"/>
      <c r="AXT85" s="575"/>
      <c r="AXU85" s="575"/>
      <c r="AXV85" s="575"/>
      <c r="AXW85" s="575"/>
      <c r="AXX85" s="575"/>
      <c r="AXY85" s="575"/>
      <c r="AXZ85" s="575"/>
      <c r="AYA85" s="575"/>
      <c r="AYB85" s="575"/>
      <c r="AYC85" s="575"/>
      <c r="AYD85" s="575"/>
      <c r="AYE85" s="575"/>
      <c r="AYF85" s="575"/>
      <c r="AYG85" s="575"/>
      <c r="AYH85" s="575"/>
      <c r="AYI85" s="575"/>
      <c r="AYJ85" s="575"/>
      <c r="AYK85" s="575"/>
      <c r="AYL85" s="575"/>
      <c r="AYM85" s="575"/>
      <c r="AYN85" s="575"/>
      <c r="AYO85" s="575"/>
      <c r="AYP85" s="575"/>
      <c r="AYQ85" s="575"/>
      <c r="AYR85" s="575"/>
      <c r="AYS85" s="575"/>
      <c r="AYT85" s="575"/>
      <c r="AYU85" s="575"/>
      <c r="AYV85" s="575"/>
      <c r="AYW85" s="575"/>
      <c r="AYX85" s="575"/>
      <c r="AYY85" s="575"/>
      <c r="AYZ85" s="575"/>
      <c r="AZA85" s="575"/>
      <c r="AZB85" s="575"/>
      <c r="AZC85" s="575"/>
      <c r="AZD85" s="575"/>
      <c r="AZE85" s="575"/>
      <c r="AZF85" s="575"/>
      <c r="AZG85" s="575"/>
      <c r="AZH85" s="575"/>
      <c r="AZI85" s="575"/>
      <c r="AZJ85" s="575"/>
      <c r="AZK85" s="575"/>
      <c r="AZL85" s="575"/>
      <c r="AZM85" s="575"/>
      <c r="AZN85" s="575"/>
      <c r="AZO85" s="575"/>
      <c r="AZP85" s="575"/>
      <c r="AZQ85" s="575"/>
      <c r="AZR85" s="575"/>
      <c r="AZS85" s="575"/>
      <c r="AZT85" s="575"/>
      <c r="AZU85" s="575"/>
      <c r="AZV85" s="575"/>
      <c r="AZW85" s="575"/>
      <c r="AZX85" s="575"/>
      <c r="AZY85" s="575"/>
      <c r="AZZ85" s="575"/>
      <c r="BAA85" s="575"/>
      <c r="BAB85" s="575"/>
      <c r="BAC85" s="575"/>
      <c r="BAD85" s="575"/>
      <c r="BAE85" s="575"/>
      <c r="BAF85" s="575"/>
      <c r="BAG85" s="575"/>
      <c r="BAH85" s="575"/>
      <c r="BAI85" s="575"/>
      <c r="BAJ85" s="575"/>
      <c r="BAK85" s="575"/>
      <c r="BAL85" s="575"/>
      <c r="BAM85" s="575"/>
      <c r="BAN85" s="575"/>
      <c r="BAO85" s="575"/>
      <c r="BAP85" s="575"/>
      <c r="BAQ85" s="575"/>
      <c r="BAR85" s="575"/>
      <c r="BAS85" s="575"/>
      <c r="BAT85" s="575"/>
      <c r="BAU85" s="575"/>
      <c r="BAV85" s="575"/>
      <c r="BAW85" s="575"/>
      <c r="BAX85" s="575"/>
      <c r="BAY85" s="575"/>
      <c r="BAZ85" s="575"/>
      <c r="BBA85" s="575"/>
      <c r="BBB85" s="575"/>
      <c r="BBC85" s="575"/>
      <c r="BBD85" s="575"/>
      <c r="BBE85" s="575"/>
      <c r="BBF85" s="575"/>
      <c r="BBG85" s="575"/>
      <c r="BBH85" s="575"/>
      <c r="BBI85" s="575"/>
      <c r="BBJ85" s="575"/>
      <c r="BBK85" s="575"/>
      <c r="BBL85" s="575"/>
      <c r="BBM85" s="575"/>
      <c r="BBN85" s="575"/>
      <c r="BBO85" s="575"/>
      <c r="BBP85" s="575"/>
      <c r="BBQ85" s="575"/>
      <c r="BBR85" s="575"/>
      <c r="BBS85" s="575"/>
      <c r="BBT85" s="575"/>
      <c r="BBU85" s="575"/>
      <c r="BBV85" s="575"/>
      <c r="BBW85" s="575"/>
      <c r="BBX85" s="575"/>
      <c r="BBY85" s="575"/>
      <c r="BBZ85" s="575"/>
      <c r="BCA85" s="575"/>
      <c r="BCB85" s="575"/>
      <c r="BCC85" s="575"/>
      <c r="BCD85" s="575"/>
      <c r="BCE85" s="575"/>
      <c r="BCF85" s="575"/>
      <c r="BCG85" s="575"/>
      <c r="BCH85" s="575"/>
      <c r="BCI85" s="575"/>
      <c r="BCJ85" s="575"/>
      <c r="BCK85" s="575"/>
      <c r="BCL85" s="575"/>
      <c r="BCM85" s="575"/>
      <c r="BCN85" s="575"/>
      <c r="BCO85" s="575"/>
      <c r="BCP85" s="575"/>
      <c r="BCQ85" s="575"/>
      <c r="BCR85" s="575"/>
      <c r="BCS85" s="575"/>
      <c r="BCT85" s="575"/>
      <c r="BCU85" s="575"/>
      <c r="BCV85" s="575"/>
      <c r="BCW85" s="575"/>
      <c r="BCX85" s="575"/>
      <c r="BCY85" s="575"/>
      <c r="BCZ85" s="575"/>
      <c r="BDA85" s="575"/>
      <c r="BDB85" s="575"/>
      <c r="BDC85" s="575"/>
      <c r="BDD85" s="575"/>
      <c r="BDE85" s="575"/>
      <c r="BDF85" s="575"/>
      <c r="BDG85" s="575"/>
      <c r="BDH85" s="575"/>
      <c r="BDI85" s="575"/>
      <c r="BDJ85" s="575"/>
      <c r="BDK85" s="575"/>
      <c r="BDL85" s="575"/>
      <c r="BDM85" s="575"/>
      <c r="BDN85" s="575"/>
      <c r="BDO85" s="575"/>
      <c r="BDP85" s="575"/>
      <c r="BDQ85" s="575"/>
      <c r="BDR85" s="575"/>
      <c r="BDS85" s="575"/>
      <c r="BDT85" s="575"/>
    </row>
    <row r="86" spans="1:1476" x14ac:dyDescent="0.25">
      <c r="A86" s="608">
        <v>5539</v>
      </c>
      <c r="B86" s="609" t="s">
        <v>31</v>
      </c>
      <c r="C86" s="610">
        <v>2067627.51</v>
      </c>
      <c r="D86" s="610">
        <v>221892.14</v>
      </c>
      <c r="E86" s="610"/>
      <c r="F86" s="611"/>
      <c r="G86" s="610">
        <v>12850.7</v>
      </c>
      <c r="H86" s="610">
        <v>510.1</v>
      </c>
      <c r="I86" s="610"/>
      <c r="J86" s="610">
        <v>35091.480000000003</v>
      </c>
      <c r="K86" s="610">
        <v>6393.7</v>
      </c>
      <c r="L86" s="610">
        <v>161033.25</v>
      </c>
      <c r="M86" s="434">
        <f t="shared" si="4"/>
        <v>2505398.8800000004</v>
      </c>
      <c r="N86" s="612">
        <v>18487.849999999999</v>
      </c>
      <c r="O86" s="612">
        <v>4505.6000000000004</v>
      </c>
      <c r="P86" s="612">
        <v>94492.75</v>
      </c>
      <c r="Q86" s="612">
        <v>0</v>
      </c>
      <c r="R86" s="612">
        <v>102581.7</v>
      </c>
      <c r="S86" s="610">
        <v>1396.27</v>
      </c>
      <c r="T86" s="543">
        <f t="shared" si="5"/>
        <v>2726863.0500000007</v>
      </c>
      <c r="U86" s="575">
        <v>-15484.63</v>
      </c>
      <c r="V86" s="612"/>
      <c r="W86" s="612">
        <v>-48.1</v>
      </c>
      <c r="X86" s="624">
        <v>73.5</v>
      </c>
      <c r="Y86" s="631">
        <v>0.8</v>
      </c>
      <c r="Z86" s="628">
        <f>VLOOKUP(A86,'[2]2022 toutes communes'!$B$9:$D$317,3,FALSE)</f>
        <v>1106</v>
      </c>
      <c r="AA86" s="617"/>
      <c r="AB86" s="618">
        <v>79306</v>
      </c>
      <c r="AC86" s="547">
        <f>AB86/VPI!R86</f>
        <v>2.3025649860049091</v>
      </c>
      <c r="AD86" s="548">
        <f t="shared" si="6"/>
        <v>41670</v>
      </c>
      <c r="AE86" s="547">
        <f>AD86/VPI!R86</f>
        <v>1.2098439332058679</v>
      </c>
      <c r="AF86" s="618">
        <v>120976</v>
      </c>
      <c r="AG86" s="618">
        <v>63776</v>
      </c>
      <c r="AH86" s="618">
        <v>96602</v>
      </c>
      <c r="AI86" s="627"/>
      <c r="AJ86" s="628">
        <v>0</v>
      </c>
      <c r="AK86" s="547">
        <f>AJ86/VPI!R86</f>
        <v>0</v>
      </c>
      <c r="AL86" s="548">
        <f t="shared" si="7"/>
        <v>49692</v>
      </c>
      <c r="AM86" s="547">
        <f>AL86/VPI!R86</f>
        <v>1.4427541331621307</v>
      </c>
      <c r="AN86" s="628">
        <v>49692</v>
      </c>
      <c r="AO86" s="627"/>
      <c r="AP86" s="629">
        <v>14.695105594952672</v>
      </c>
      <c r="AR86" s="630">
        <v>0</v>
      </c>
    </row>
    <row r="87" spans="1:1476" x14ac:dyDescent="0.25">
      <c r="A87" s="608">
        <v>5540</v>
      </c>
      <c r="B87" s="609" t="s">
        <v>346</v>
      </c>
      <c r="C87" s="610">
        <v>3843319.6</v>
      </c>
      <c r="D87" s="610">
        <v>494011.47</v>
      </c>
      <c r="E87" s="610"/>
      <c r="F87" s="611"/>
      <c r="G87" s="610">
        <v>153893.95000000001</v>
      </c>
      <c r="H87" s="610">
        <v>4827.5</v>
      </c>
      <c r="I87" s="610"/>
      <c r="J87" s="610">
        <v>33186.449999999997</v>
      </c>
      <c r="K87" s="610">
        <v>13100.5</v>
      </c>
      <c r="L87" s="610">
        <v>286684.15000000002</v>
      </c>
      <c r="M87" s="434">
        <f t="shared" si="4"/>
        <v>4829023.620000001</v>
      </c>
      <c r="N87" s="612">
        <v>6525.8</v>
      </c>
      <c r="O87" s="612">
        <v>747.4</v>
      </c>
      <c r="P87" s="612">
        <v>115794.2</v>
      </c>
      <c r="Q87" s="612">
        <v>12910.21</v>
      </c>
      <c r="R87" s="612">
        <v>119438.75</v>
      </c>
      <c r="S87" s="610">
        <v>16587.21</v>
      </c>
      <c r="T87" s="543">
        <f t="shared" si="5"/>
        <v>5101027.1900000013</v>
      </c>
      <c r="U87" s="575">
        <v>-38954.339999999997</v>
      </c>
      <c r="V87" s="612"/>
      <c r="W87" s="612">
        <v>-63.83</v>
      </c>
      <c r="X87" s="624">
        <v>72.5</v>
      </c>
      <c r="Y87" s="631">
        <v>0.8</v>
      </c>
      <c r="Z87" s="628">
        <f>VLOOKUP(A87,'[2]2022 toutes communes'!$B$9:$D$317,3,FALSE)</f>
        <v>1895</v>
      </c>
      <c r="AA87" s="617"/>
      <c r="AB87" s="618">
        <v>122323</v>
      </c>
      <c r="AC87" s="547">
        <f>AB87/VPI!R87</f>
        <v>1.8131470415315627</v>
      </c>
      <c r="AD87" s="548">
        <f t="shared" si="6"/>
        <v>191342</v>
      </c>
      <c r="AE87" s="547">
        <f>AD87/VPI!R87</f>
        <v>2.8361892793729084</v>
      </c>
      <c r="AF87" s="618">
        <v>313665</v>
      </c>
      <c r="AG87" s="618">
        <v>182453</v>
      </c>
      <c r="AH87" s="618">
        <v>165817</v>
      </c>
      <c r="AI87" s="627"/>
      <c r="AJ87" s="628">
        <v>0</v>
      </c>
      <c r="AK87" s="547">
        <f>AJ87/VPI!R87</f>
        <v>0</v>
      </c>
      <c r="AL87" s="548">
        <f t="shared" si="7"/>
        <v>77720</v>
      </c>
      <c r="AM87" s="547">
        <f>AL87/VPI!R87</f>
        <v>1.1520138327856009</v>
      </c>
      <c r="AN87" s="628">
        <v>77720</v>
      </c>
      <c r="AO87" s="627"/>
      <c r="AP87" s="629">
        <v>14.792110038003772</v>
      </c>
      <c r="AR87" s="630">
        <v>0</v>
      </c>
    </row>
    <row r="88" spans="1:1476" x14ac:dyDescent="0.25">
      <c r="A88" s="608">
        <v>5541</v>
      </c>
      <c r="B88" s="609" t="s">
        <v>345</v>
      </c>
      <c r="C88" s="610">
        <v>2515538.9500000002</v>
      </c>
      <c r="D88" s="610">
        <v>348070.88</v>
      </c>
      <c r="E88" s="610"/>
      <c r="F88" s="611"/>
      <c r="G88" s="610">
        <v>28431.5</v>
      </c>
      <c r="H88" s="610">
        <v>4086.15</v>
      </c>
      <c r="I88" s="610"/>
      <c r="J88" s="610">
        <v>28662</v>
      </c>
      <c r="K88" s="610">
        <v>2455</v>
      </c>
      <c r="L88" s="610">
        <v>227276.85</v>
      </c>
      <c r="M88" s="434">
        <f t="shared" si="4"/>
        <v>3154521.33</v>
      </c>
      <c r="N88" s="612">
        <v>6812.1</v>
      </c>
      <c r="O88" s="612">
        <v>42367.199999999997</v>
      </c>
      <c r="P88" s="612">
        <v>150366.04999999999</v>
      </c>
      <c r="Q88" s="612">
        <v>5175.74</v>
      </c>
      <c r="R88" s="612">
        <v>78504.5</v>
      </c>
      <c r="S88" s="610">
        <v>3398.26</v>
      </c>
      <c r="T88" s="543">
        <f t="shared" si="5"/>
        <v>3441145.18</v>
      </c>
      <c r="U88" s="575">
        <v>-10617.18</v>
      </c>
      <c r="V88" s="612">
        <v>-1966</v>
      </c>
      <c r="W88" s="612">
        <v>-183.2</v>
      </c>
      <c r="X88" s="624">
        <v>75.5</v>
      </c>
      <c r="Y88" s="631">
        <v>1</v>
      </c>
      <c r="Z88" s="628">
        <f>VLOOKUP(A88,'[2]2022 toutes communes'!$B$9:$D$317,3,FALSE)</f>
        <v>1175</v>
      </c>
      <c r="AA88" s="617"/>
      <c r="AB88" s="618">
        <v>32016</v>
      </c>
      <c r="AC88" s="547">
        <f>AB88/VPI!R88</f>
        <v>0.76728749231092197</v>
      </c>
      <c r="AD88" s="548">
        <f t="shared" si="6"/>
        <v>168621</v>
      </c>
      <c r="AE88" s="547">
        <f>AD88/VPI!R88</f>
        <v>4.04112894305847</v>
      </c>
      <c r="AF88" s="618">
        <v>200637</v>
      </c>
      <c r="AG88" s="618">
        <v>45192</v>
      </c>
      <c r="AH88" s="618">
        <v>102678</v>
      </c>
      <c r="AI88" s="627"/>
      <c r="AJ88" s="628">
        <v>0</v>
      </c>
      <c r="AK88" s="547">
        <f>AJ88/VPI!R88</f>
        <v>0</v>
      </c>
      <c r="AL88" s="548">
        <f t="shared" si="7"/>
        <v>-149724</v>
      </c>
      <c r="AM88" s="547">
        <f>AL88/VPI!R88</f>
        <v>-3.5882481415155074</v>
      </c>
      <c r="AN88" s="628">
        <v>-149724</v>
      </c>
      <c r="AO88" s="627"/>
      <c r="AP88" s="629">
        <v>18.072978523153857</v>
      </c>
      <c r="AR88" s="630">
        <v>0</v>
      </c>
    </row>
    <row r="89" spans="1:1476" x14ac:dyDescent="0.25">
      <c r="A89" s="608">
        <v>5551</v>
      </c>
      <c r="B89" s="609" t="s">
        <v>32</v>
      </c>
      <c r="C89" s="610">
        <v>738872.48</v>
      </c>
      <c r="D89" s="610">
        <v>126506.58</v>
      </c>
      <c r="E89" s="610"/>
      <c r="F89" s="611"/>
      <c r="G89" s="610">
        <v>23031.7</v>
      </c>
      <c r="H89" s="610">
        <v>16049.65</v>
      </c>
      <c r="I89" s="610"/>
      <c r="J89" s="610">
        <v>2503.13</v>
      </c>
      <c r="K89" s="610">
        <v>12146.7</v>
      </c>
      <c r="L89" s="610">
        <v>117540.4</v>
      </c>
      <c r="M89" s="434">
        <f t="shared" si="4"/>
        <v>1036650.6399999999</v>
      </c>
      <c r="N89" s="612">
        <v>4739.05</v>
      </c>
      <c r="O89" s="612">
        <v>287712.8</v>
      </c>
      <c r="P89" s="612">
        <v>49304.7</v>
      </c>
      <c r="Q89" s="612"/>
      <c r="R89" s="612">
        <v>13335</v>
      </c>
      <c r="S89" s="610">
        <v>4084.2</v>
      </c>
      <c r="T89" s="543">
        <f t="shared" si="5"/>
        <v>1395826.39</v>
      </c>
      <c r="U89" s="575">
        <v>-335.25</v>
      </c>
      <c r="V89" s="612"/>
      <c r="W89" s="612">
        <v>-198.3</v>
      </c>
      <c r="X89" s="624">
        <v>56</v>
      </c>
      <c r="Y89" s="631">
        <v>1</v>
      </c>
      <c r="Z89" s="628">
        <f>VLOOKUP(A89,'[2]2022 toutes communes'!$B$9:$D$317,3,FALSE)</f>
        <v>501</v>
      </c>
      <c r="AA89" s="617"/>
      <c r="AB89" s="618">
        <v>53951</v>
      </c>
      <c r="AC89" s="547">
        <f>AB89/VPI!R89</f>
        <v>2.9044916873733166</v>
      </c>
      <c r="AD89" s="548">
        <f t="shared" si="6"/>
        <v>123400</v>
      </c>
      <c r="AE89" s="547">
        <f>AD89/VPI!R89</f>
        <v>6.6433295809506268</v>
      </c>
      <c r="AF89" s="618">
        <v>177351</v>
      </c>
      <c r="AG89" s="618">
        <v>34480</v>
      </c>
      <c r="AH89" s="618">
        <v>71280</v>
      </c>
      <c r="AI89" s="627"/>
      <c r="AJ89" s="628">
        <v>0</v>
      </c>
      <c r="AK89" s="547">
        <f>AJ89/VPI!R89</f>
        <v>0</v>
      </c>
      <c r="AL89" s="548">
        <f t="shared" si="7"/>
        <v>39433</v>
      </c>
      <c r="AM89" s="547">
        <f>AL89/VPI!R89</f>
        <v>2.1229045005318157</v>
      </c>
      <c r="AN89" s="628">
        <v>39433</v>
      </c>
      <c r="AO89" s="627"/>
      <c r="AP89" s="629">
        <v>24.693537925540927</v>
      </c>
      <c r="AR89" s="630">
        <v>0</v>
      </c>
    </row>
    <row r="90" spans="1:1476" x14ac:dyDescent="0.25">
      <c r="A90" s="608">
        <v>5552</v>
      </c>
      <c r="B90" s="609" t="s">
        <v>33</v>
      </c>
      <c r="C90" s="610">
        <v>956207.03</v>
      </c>
      <c r="D90" s="610">
        <v>214322.37</v>
      </c>
      <c r="E90" s="610"/>
      <c r="F90" s="611"/>
      <c r="G90" s="610">
        <v>38071.199999999997</v>
      </c>
      <c r="H90" s="610">
        <v>1169.4000000000001</v>
      </c>
      <c r="I90" s="610"/>
      <c r="J90" s="610">
        <v>14739.84</v>
      </c>
      <c r="K90" s="610">
        <v>3777.6</v>
      </c>
      <c r="L90" s="610">
        <v>133958.45000000001</v>
      </c>
      <c r="M90" s="434">
        <f t="shared" si="4"/>
        <v>1362245.89</v>
      </c>
      <c r="N90" s="612">
        <v>75308.75</v>
      </c>
      <c r="O90" s="612">
        <v>22838.1</v>
      </c>
      <c r="P90" s="612">
        <v>54554.5</v>
      </c>
      <c r="Q90" s="612">
        <v>9961.92</v>
      </c>
      <c r="R90" s="612">
        <v>39873.75</v>
      </c>
      <c r="S90" s="610">
        <v>4100.84</v>
      </c>
      <c r="T90" s="543">
        <f t="shared" si="5"/>
        <v>1568883.75</v>
      </c>
      <c r="U90" s="575">
        <v>-15021.28</v>
      </c>
      <c r="V90" s="612"/>
      <c r="W90" s="612">
        <v>-2.29</v>
      </c>
      <c r="X90" s="624">
        <v>71.5</v>
      </c>
      <c r="Y90" s="631">
        <v>1</v>
      </c>
      <c r="Z90" s="628">
        <f>VLOOKUP(A90,'[2]2022 toutes communes'!$B$9:$D$317,3,FALSE)</f>
        <v>651</v>
      </c>
      <c r="AA90" s="617"/>
      <c r="AB90" s="618">
        <v>30422</v>
      </c>
      <c r="AC90" s="547">
        <f>AB90/VPI!R90</f>
        <v>1.5978820542130678</v>
      </c>
      <c r="AD90" s="548">
        <f t="shared" si="6"/>
        <v>382043</v>
      </c>
      <c r="AE90" s="547">
        <f>AD90/VPI!R90</f>
        <v>20.066387931027645</v>
      </c>
      <c r="AF90" s="618">
        <v>412465</v>
      </c>
      <c r="AG90" s="618">
        <v>47126</v>
      </c>
      <c r="AH90" s="618">
        <v>58399</v>
      </c>
      <c r="AI90" s="627"/>
      <c r="AJ90" s="628">
        <v>0</v>
      </c>
      <c r="AK90" s="547">
        <f>AJ90/VPI!R90</f>
        <v>0</v>
      </c>
      <c r="AL90" s="548">
        <f t="shared" si="7"/>
        <v>73208</v>
      </c>
      <c r="AM90" s="547">
        <f>AL90/VPI!R90</f>
        <v>3.8451695951886879</v>
      </c>
      <c r="AN90" s="628">
        <v>73208</v>
      </c>
      <c r="AO90" s="627"/>
      <c r="AP90" s="629">
        <v>13.968405211610726</v>
      </c>
      <c r="AR90" s="630">
        <v>0</v>
      </c>
    </row>
    <row r="91" spans="1:1476" x14ac:dyDescent="0.25">
      <c r="A91" s="608">
        <v>5553</v>
      </c>
      <c r="B91" s="609" t="s">
        <v>34</v>
      </c>
      <c r="C91" s="610">
        <v>1670358.88</v>
      </c>
      <c r="D91" s="610">
        <v>292792.2</v>
      </c>
      <c r="E91" s="610"/>
      <c r="F91" s="611"/>
      <c r="G91" s="610">
        <v>165139.25</v>
      </c>
      <c r="H91" s="610">
        <v>39296.800000000003</v>
      </c>
      <c r="I91" s="610"/>
      <c r="J91" s="610">
        <v>66654.95</v>
      </c>
      <c r="K91" s="610">
        <v>26028.55</v>
      </c>
      <c r="L91" s="610">
        <v>233983.15</v>
      </c>
      <c r="M91" s="434">
        <f t="shared" si="4"/>
        <v>2494253.7799999998</v>
      </c>
      <c r="N91" s="612">
        <v>163610.25</v>
      </c>
      <c r="O91" s="612">
        <v>19108.099999999999</v>
      </c>
      <c r="P91" s="612">
        <v>114053.25</v>
      </c>
      <c r="Q91" s="612">
        <v>253.76</v>
      </c>
      <c r="R91" s="612">
        <v>26499.15</v>
      </c>
      <c r="S91" s="610">
        <v>21364.62</v>
      </c>
      <c r="T91" s="543">
        <f t="shared" si="5"/>
        <v>2839142.9099999997</v>
      </c>
      <c r="U91" s="575">
        <v>-26753.1</v>
      </c>
      <c r="V91" s="612"/>
      <c r="W91" s="612">
        <v>-1972.26</v>
      </c>
      <c r="X91" s="624">
        <v>65</v>
      </c>
      <c r="Y91" s="631">
        <v>1</v>
      </c>
      <c r="Z91" s="628">
        <f>VLOOKUP(A91,'[2]2022 toutes communes'!$B$9:$D$317,3,FALSE)</f>
        <v>1077</v>
      </c>
      <c r="AA91" s="617"/>
      <c r="AB91" s="618">
        <v>84547</v>
      </c>
      <c r="AC91" s="547">
        <f>AB91/VPI!R91</f>
        <v>2.20958208015707</v>
      </c>
      <c r="AD91" s="548">
        <f t="shared" si="6"/>
        <v>368497</v>
      </c>
      <c r="AE91" s="547">
        <f>AD91/VPI!R91</f>
        <v>9.63043476163128</v>
      </c>
      <c r="AF91" s="618">
        <v>453044</v>
      </c>
      <c r="AG91" s="618">
        <v>77776</v>
      </c>
      <c r="AH91" s="618">
        <v>160651</v>
      </c>
      <c r="AI91" s="627"/>
      <c r="AJ91" s="628">
        <v>0</v>
      </c>
      <c r="AK91" s="547">
        <f>AJ91/VPI!R91</f>
        <v>0</v>
      </c>
      <c r="AL91" s="548">
        <f t="shared" si="7"/>
        <v>32531</v>
      </c>
      <c r="AM91" s="547">
        <f>AL91/VPI!R91</f>
        <v>0.85017699799625823</v>
      </c>
      <c r="AN91" s="628">
        <v>32531</v>
      </c>
      <c r="AO91" s="627"/>
      <c r="AP91" s="629">
        <v>21.772779428254662</v>
      </c>
      <c r="AR91" s="630">
        <v>0</v>
      </c>
    </row>
    <row r="92" spans="1:1476" x14ac:dyDescent="0.25">
      <c r="A92" s="608">
        <v>5554</v>
      </c>
      <c r="B92" s="609" t="s">
        <v>35</v>
      </c>
      <c r="C92" s="610">
        <v>1931166.54</v>
      </c>
      <c r="D92" s="610">
        <v>405653.67</v>
      </c>
      <c r="E92" s="610"/>
      <c r="F92" s="611"/>
      <c r="G92" s="610">
        <v>20880.650000000001</v>
      </c>
      <c r="H92" s="610">
        <v>1043.1500000000001</v>
      </c>
      <c r="I92" s="610"/>
      <c r="J92" s="610">
        <v>5118.55</v>
      </c>
      <c r="K92" s="610">
        <v>3396.8</v>
      </c>
      <c r="L92" s="610">
        <v>191268.35</v>
      </c>
      <c r="M92" s="434">
        <f t="shared" si="4"/>
        <v>2558527.7099999995</v>
      </c>
      <c r="N92" s="612">
        <v>12823.55</v>
      </c>
      <c r="O92" s="612">
        <v>3805.7</v>
      </c>
      <c r="P92" s="612">
        <v>127528.75</v>
      </c>
      <c r="Q92" s="612">
        <v>1324.54</v>
      </c>
      <c r="R92" s="612">
        <v>128234.75</v>
      </c>
      <c r="S92" s="610">
        <v>2291.15</v>
      </c>
      <c r="T92" s="543">
        <f t="shared" si="5"/>
        <v>2834536.1499999994</v>
      </c>
      <c r="U92" s="575">
        <v>-18521.689999999999</v>
      </c>
      <c r="V92" s="612"/>
      <c r="W92" s="612">
        <v>-584.26</v>
      </c>
      <c r="X92" s="624">
        <v>75</v>
      </c>
      <c r="Y92" s="631">
        <v>1</v>
      </c>
      <c r="Z92" s="628">
        <f>VLOOKUP(A92,'[2]2022 toutes communes'!$B$9:$D$317,3,FALSE)</f>
        <v>1002</v>
      </c>
      <c r="AA92" s="617"/>
      <c r="AB92" s="618">
        <v>126883</v>
      </c>
      <c r="AC92" s="547">
        <f>AB92/VPI!R92</f>
        <v>3.7420703340408923</v>
      </c>
      <c r="AD92" s="548">
        <f t="shared" si="6"/>
        <v>175494</v>
      </c>
      <c r="AE92" s="547">
        <f>AD92/VPI!R92</f>
        <v>5.175720082297647</v>
      </c>
      <c r="AF92" s="618">
        <v>302377</v>
      </c>
      <c r="AG92" s="618">
        <v>95960</v>
      </c>
      <c r="AH92" s="618">
        <v>143307</v>
      </c>
      <c r="AI92" s="627"/>
      <c r="AJ92" s="628">
        <v>0</v>
      </c>
      <c r="AK92" s="547">
        <f>AJ92/VPI!R92</f>
        <v>0</v>
      </c>
      <c r="AL92" s="548">
        <f t="shared" si="7"/>
        <v>25581</v>
      </c>
      <c r="AM92" s="547">
        <f>AL92/VPI!R92</f>
        <v>0.75444229104844673</v>
      </c>
      <c r="AN92" s="628">
        <v>25581</v>
      </c>
      <c r="AO92" s="627"/>
      <c r="AP92" s="629">
        <v>14.665463881614878</v>
      </c>
      <c r="AR92" s="630">
        <v>0</v>
      </c>
    </row>
    <row r="93" spans="1:1476" x14ac:dyDescent="0.25">
      <c r="A93" s="608">
        <v>5555</v>
      </c>
      <c r="B93" s="609" t="s">
        <v>36</v>
      </c>
      <c r="C93" s="610">
        <v>644343.49</v>
      </c>
      <c r="D93" s="610">
        <v>167047.5</v>
      </c>
      <c r="E93" s="610"/>
      <c r="F93" s="611"/>
      <c r="G93" s="610">
        <v>3319.9</v>
      </c>
      <c r="H93" s="610">
        <v>2024.85</v>
      </c>
      <c r="I93" s="610"/>
      <c r="J93" s="610">
        <v>15443.52</v>
      </c>
      <c r="K93" s="610">
        <v>2228.6999999999998</v>
      </c>
      <c r="L93" s="610">
        <v>98622.15</v>
      </c>
      <c r="M93" s="434">
        <f t="shared" si="4"/>
        <v>933030.11</v>
      </c>
      <c r="N93" s="612">
        <v>9002.75</v>
      </c>
      <c r="O93" s="612">
        <v>9137.7999999999993</v>
      </c>
      <c r="P93" s="612">
        <v>5384.5</v>
      </c>
      <c r="Q93" s="612">
        <v>17407.080000000002</v>
      </c>
      <c r="R93" s="612">
        <v>11032.25</v>
      </c>
      <c r="S93" s="610">
        <v>558.54999999999995</v>
      </c>
      <c r="T93" s="543">
        <f t="shared" si="5"/>
        <v>985553.04</v>
      </c>
      <c r="U93" s="575">
        <v>-24656.83</v>
      </c>
      <c r="V93" s="612"/>
      <c r="W93" s="612">
        <v>0</v>
      </c>
      <c r="X93" s="624">
        <v>69</v>
      </c>
      <c r="Y93" s="631">
        <v>1</v>
      </c>
      <c r="Z93" s="628">
        <f>VLOOKUP(A93,'[2]2022 toutes communes'!$B$9:$D$317,3,FALSE)</f>
        <v>412</v>
      </c>
      <c r="AA93" s="617"/>
      <c r="AB93" s="618">
        <v>126058</v>
      </c>
      <c r="AC93" s="547">
        <f>AB93/VPI!R93</f>
        <v>9.389654160160454</v>
      </c>
      <c r="AD93" s="548">
        <f t="shared" si="6"/>
        <v>110850</v>
      </c>
      <c r="AE93" s="547">
        <f>AD93/VPI!R93</f>
        <v>8.2568592525169855</v>
      </c>
      <c r="AF93" s="618">
        <v>236908</v>
      </c>
      <c r="AG93" s="618">
        <v>29892</v>
      </c>
      <c r="AH93" s="618">
        <v>58063</v>
      </c>
      <c r="AI93" s="627"/>
      <c r="AJ93" s="628">
        <v>0</v>
      </c>
      <c r="AK93" s="547">
        <f>AJ93/VPI!R93</f>
        <v>0</v>
      </c>
      <c r="AL93" s="548">
        <f t="shared" si="7"/>
        <v>23809</v>
      </c>
      <c r="AM93" s="547">
        <f>AL93/VPI!R93</f>
        <v>1.773455678332674</v>
      </c>
      <c r="AN93" s="628">
        <v>23809</v>
      </c>
      <c r="AO93" s="627"/>
      <c r="AP93" s="629">
        <v>18.470984384409142</v>
      </c>
      <c r="AR93" s="630">
        <v>0</v>
      </c>
    </row>
    <row r="94" spans="1:1476" x14ac:dyDescent="0.25">
      <c r="A94" s="608">
        <v>5556</v>
      </c>
      <c r="B94" s="609" t="s">
        <v>37</v>
      </c>
      <c r="C94" s="610">
        <v>740299.16</v>
      </c>
      <c r="D94" s="610">
        <v>89044.51</v>
      </c>
      <c r="E94" s="610"/>
      <c r="F94" s="611">
        <v>2510</v>
      </c>
      <c r="G94" s="610">
        <v>4733.05</v>
      </c>
      <c r="H94" s="610">
        <v>255.8</v>
      </c>
      <c r="I94" s="610"/>
      <c r="J94" s="610">
        <v>6416.69</v>
      </c>
      <c r="K94" s="610">
        <v>1271.6500000000001</v>
      </c>
      <c r="L94" s="610">
        <v>89401.36</v>
      </c>
      <c r="M94" s="434">
        <f t="shared" si="4"/>
        <v>933932.22000000009</v>
      </c>
      <c r="N94" s="612">
        <v>0</v>
      </c>
      <c r="O94" s="612">
        <v>48468.800000000003</v>
      </c>
      <c r="P94" s="612">
        <v>51975</v>
      </c>
      <c r="Q94" s="612"/>
      <c r="R94" s="612">
        <v>22794.15</v>
      </c>
      <c r="S94" s="610">
        <v>521.36</v>
      </c>
      <c r="T94" s="543">
        <f t="shared" si="5"/>
        <v>1057691.5300000003</v>
      </c>
      <c r="U94" s="575">
        <v>-1560.67</v>
      </c>
      <c r="V94" s="612"/>
      <c r="W94" s="612">
        <v>0</v>
      </c>
      <c r="X94" s="624">
        <v>69</v>
      </c>
      <c r="Y94" s="631">
        <v>1.2</v>
      </c>
      <c r="Z94" s="628">
        <f>VLOOKUP(A94,'[2]2022 toutes communes'!$B$9:$D$317,3,FALSE)</f>
        <v>436</v>
      </c>
      <c r="AA94" s="617"/>
      <c r="AB94" s="618">
        <v>27709</v>
      </c>
      <c r="AC94" s="547">
        <f>AB94/VPI!R94</f>
        <v>2.0827192141200981</v>
      </c>
      <c r="AD94" s="548">
        <f t="shared" si="6"/>
        <v>84296</v>
      </c>
      <c r="AE94" s="547">
        <f>AD94/VPI!R94</f>
        <v>6.3360243557496769</v>
      </c>
      <c r="AF94" s="618">
        <v>112005</v>
      </c>
      <c r="AG94" s="618">
        <v>21123</v>
      </c>
      <c r="AH94" s="618">
        <v>70255</v>
      </c>
      <c r="AI94" s="627"/>
      <c r="AJ94" s="628">
        <v>0</v>
      </c>
      <c r="AK94" s="547">
        <f>AJ94/VPI!R94</f>
        <v>0</v>
      </c>
      <c r="AL94" s="548">
        <f t="shared" si="7"/>
        <v>33064</v>
      </c>
      <c r="AM94" s="547">
        <f>AL94/VPI!R94</f>
        <v>2.4852224221612809</v>
      </c>
      <c r="AN94" s="628">
        <v>33064</v>
      </c>
      <c r="AO94" s="627"/>
      <c r="AP94" s="629">
        <v>18.185392867268714</v>
      </c>
      <c r="AR94" s="630">
        <v>0</v>
      </c>
    </row>
    <row r="95" spans="1:1476" s="632" customFormat="1" x14ac:dyDescent="0.25">
      <c r="A95" s="608">
        <v>5557</v>
      </c>
      <c r="B95" s="609" t="s">
        <v>38</v>
      </c>
      <c r="C95" s="610">
        <v>282840.09000000003</v>
      </c>
      <c r="D95" s="610">
        <v>23386.79</v>
      </c>
      <c r="E95" s="610"/>
      <c r="F95" s="611">
        <v>1060</v>
      </c>
      <c r="G95" s="610">
        <v>5329.5</v>
      </c>
      <c r="H95" s="610">
        <v>116</v>
      </c>
      <c r="I95" s="610"/>
      <c r="J95" s="610">
        <v>1290.47</v>
      </c>
      <c r="K95" s="610">
        <v>993.45</v>
      </c>
      <c r="L95" s="610">
        <v>36956.699999999997</v>
      </c>
      <c r="M95" s="434">
        <f t="shared" si="4"/>
        <v>351973</v>
      </c>
      <c r="N95" s="612">
        <v>0</v>
      </c>
      <c r="O95" s="612">
        <v>399.9</v>
      </c>
      <c r="P95" s="612">
        <v>17348.45</v>
      </c>
      <c r="Q95" s="612"/>
      <c r="R95" s="612"/>
      <c r="S95" s="610">
        <v>569.08000000000004</v>
      </c>
      <c r="T95" s="543">
        <f t="shared" si="5"/>
        <v>370290.43000000005</v>
      </c>
      <c r="U95" s="575">
        <v>-728.09</v>
      </c>
      <c r="V95" s="612"/>
      <c r="W95" s="612">
        <v>0</v>
      </c>
      <c r="X95" s="624">
        <v>69</v>
      </c>
      <c r="Y95" s="631">
        <v>1</v>
      </c>
      <c r="Z95" s="628">
        <f>VLOOKUP(A95,'[2]2022 toutes communes'!$B$9:$D$317,3,FALSE)</f>
        <v>214</v>
      </c>
      <c r="AA95" s="617"/>
      <c r="AB95" s="618">
        <v>467</v>
      </c>
      <c r="AC95" s="547">
        <f>AB95/VPI!R95</f>
        <v>9.1591013762698875E-2</v>
      </c>
      <c r="AD95" s="548">
        <f t="shared" si="6"/>
        <v>22629</v>
      </c>
      <c r="AE95" s="547">
        <f>AD95/VPI!R95</f>
        <v>4.4381435769509912</v>
      </c>
      <c r="AF95" s="618">
        <v>23096</v>
      </c>
      <c r="AG95" s="618">
        <v>10514</v>
      </c>
      <c r="AH95" s="618">
        <v>34766</v>
      </c>
      <c r="AI95" s="627"/>
      <c r="AJ95" s="628">
        <v>0</v>
      </c>
      <c r="AK95" s="547">
        <f>AJ95/VPI!R95</f>
        <v>0</v>
      </c>
      <c r="AL95" s="548">
        <f t="shared" si="7"/>
        <v>41823</v>
      </c>
      <c r="AM95" s="547">
        <f>AL95/VPI!R95</f>
        <v>8.2025930805082545</v>
      </c>
      <c r="AN95" s="628">
        <v>41823</v>
      </c>
      <c r="AO95" s="627"/>
      <c r="AP95" s="629">
        <v>-4.4415961528336343</v>
      </c>
      <c r="AQ95" s="575"/>
      <c r="AR95" s="630">
        <v>0</v>
      </c>
      <c r="AS95" s="575"/>
      <c r="AT95" s="575"/>
      <c r="AU95" s="575"/>
      <c r="AV95" s="575"/>
      <c r="AW95" s="575"/>
      <c r="AX95" s="575"/>
      <c r="AY95" s="575"/>
      <c r="AZ95" s="575"/>
      <c r="BA95" s="575"/>
      <c r="BB95" s="575"/>
      <c r="BC95" s="575"/>
      <c r="BD95" s="575"/>
      <c r="BE95" s="575"/>
      <c r="BF95" s="575"/>
      <c r="BG95" s="575"/>
      <c r="BH95" s="575"/>
      <c r="BI95" s="575"/>
      <c r="BJ95" s="575"/>
      <c r="BK95" s="575"/>
      <c r="BL95" s="575"/>
      <c r="BM95" s="575"/>
      <c r="BN95" s="575"/>
      <c r="BO95" s="575"/>
      <c r="BP95" s="575"/>
      <c r="BQ95" s="575"/>
      <c r="BR95" s="575"/>
      <c r="BS95" s="575"/>
      <c r="BT95" s="575"/>
      <c r="BU95" s="575"/>
      <c r="BV95" s="575"/>
      <c r="BW95" s="575"/>
      <c r="BX95" s="575"/>
      <c r="BY95" s="575"/>
      <c r="BZ95" s="575"/>
      <c r="CA95" s="575"/>
      <c r="CB95" s="575"/>
      <c r="CC95" s="575"/>
      <c r="CD95" s="575"/>
      <c r="CE95" s="575"/>
      <c r="CF95" s="575"/>
      <c r="CG95" s="575"/>
      <c r="CH95" s="575"/>
      <c r="CI95" s="575"/>
      <c r="CJ95" s="575"/>
      <c r="CK95" s="575"/>
      <c r="CL95" s="575"/>
      <c r="CM95" s="575"/>
      <c r="CN95" s="575"/>
      <c r="CO95" s="575"/>
      <c r="CP95" s="575"/>
      <c r="CQ95" s="575"/>
      <c r="CR95" s="575"/>
      <c r="CS95" s="575"/>
      <c r="CT95" s="575"/>
      <c r="CU95" s="575"/>
      <c r="CV95" s="575"/>
      <c r="CW95" s="575"/>
      <c r="CX95" s="575"/>
      <c r="CY95" s="575"/>
      <c r="CZ95" s="575"/>
      <c r="DA95" s="575"/>
      <c r="DB95" s="575"/>
      <c r="DC95" s="575"/>
      <c r="DD95" s="575"/>
      <c r="DE95" s="575"/>
      <c r="DF95" s="575"/>
      <c r="DG95" s="575"/>
      <c r="DH95" s="575"/>
      <c r="DI95" s="575"/>
      <c r="DJ95" s="575"/>
      <c r="DK95" s="575"/>
      <c r="DL95" s="575"/>
      <c r="DM95" s="575"/>
      <c r="DN95" s="575"/>
      <c r="DO95" s="575"/>
      <c r="DP95" s="575"/>
      <c r="DQ95" s="575"/>
      <c r="DR95" s="575"/>
      <c r="DS95" s="575"/>
      <c r="DT95" s="575"/>
      <c r="DU95" s="575"/>
      <c r="DV95" s="575"/>
      <c r="DW95" s="575"/>
      <c r="DX95" s="575"/>
      <c r="DY95" s="575"/>
      <c r="DZ95" s="575"/>
      <c r="EA95" s="575"/>
      <c r="EB95" s="575"/>
      <c r="EC95" s="575"/>
      <c r="ED95" s="575"/>
      <c r="EE95" s="575"/>
      <c r="EF95" s="575"/>
      <c r="EG95" s="575"/>
      <c r="EH95" s="575"/>
      <c r="EI95" s="575"/>
      <c r="EJ95" s="575"/>
      <c r="EK95" s="575"/>
      <c r="EL95" s="575"/>
      <c r="EM95" s="575"/>
      <c r="EN95" s="575"/>
      <c r="EO95" s="575"/>
      <c r="EP95" s="575"/>
      <c r="EQ95" s="575"/>
      <c r="ER95" s="575"/>
      <c r="ES95" s="575"/>
      <c r="ET95" s="575"/>
      <c r="EU95" s="575"/>
      <c r="EV95" s="575"/>
      <c r="EW95" s="575"/>
      <c r="EX95" s="575"/>
      <c r="EY95" s="575"/>
      <c r="EZ95" s="575"/>
      <c r="FA95" s="575"/>
      <c r="FB95" s="575"/>
      <c r="FC95" s="575"/>
      <c r="FD95" s="575"/>
      <c r="FE95" s="575"/>
      <c r="FF95" s="575"/>
      <c r="FG95" s="575"/>
      <c r="FH95" s="575"/>
      <c r="FI95" s="575"/>
      <c r="FJ95" s="575"/>
      <c r="FK95" s="575"/>
      <c r="FL95" s="575"/>
      <c r="FM95" s="575"/>
      <c r="FN95" s="575"/>
      <c r="FO95" s="575"/>
      <c r="FP95" s="575"/>
      <c r="FQ95" s="575"/>
      <c r="FR95" s="575"/>
      <c r="FS95" s="575"/>
      <c r="FT95" s="575"/>
      <c r="FU95" s="575"/>
      <c r="FV95" s="575"/>
      <c r="FW95" s="575"/>
      <c r="FX95" s="575"/>
      <c r="FY95" s="575"/>
      <c r="FZ95" s="575"/>
      <c r="GA95" s="575"/>
      <c r="GB95" s="575"/>
      <c r="GC95" s="575"/>
      <c r="GD95" s="575"/>
      <c r="GE95" s="575"/>
      <c r="GF95" s="575"/>
      <c r="GG95" s="575"/>
      <c r="GH95" s="575"/>
      <c r="GI95" s="575"/>
      <c r="GJ95" s="575"/>
      <c r="GK95" s="575"/>
      <c r="GL95" s="575"/>
      <c r="GM95" s="575"/>
      <c r="GN95" s="575"/>
      <c r="GO95" s="575"/>
      <c r="GP95" s="575"/>
      <c r="GQ95" s="575"/>
      <c r="GR95" s="575"/>
      <c r="GS95" s="575"/>
      <c r="GT95" s="575"/>
      <c r="GU95" s="575"/>
      <c r="GV95" s="575"/>
      <c r="GW95" s="575"/>
      <c r="GX95" s="575"/>
      <c r="GY95" s="575"/>
      <c r="GZ95" s="575"/>
      <c r="HA95" s="575"/>
      <c r="HB95" s="575"/>
      <c r="HC95" s="575"/>
      <c r="HD95" s="575"/>
      <c r="HE95" s="575"/>
      <c r="HF95" s="575"/>
      <c r="HG95" s="575"/>
      <c r="HH95" s="575"/>
      <c r="HI95" s="575"/>
      <c r="HJ95" s="575"/>
      <c r="HK95" s="575"/>
      <c r="HL95" s="575"/>
      <c r="HM95" s="575"/>
      <c r="HN95" s="575"/>
      <c r="HO95" s="575"/>
      <c r="HP95" s="575"/>
      <c r="HQ95" s="575"/>
      <c r="HR95" s="575"/>
      <c r="HS95" s="575"/>
      <c r="HT95" s="575"/>
      <c r="HU95" s="575"/>
      <c r="HV95" s="575"/>
      <c r="HW95" s="575"/>
      <c r="HX95" s="575"/>
      <c r="HY95" s="575"/>
      <c r="HZ95" s="575"/>
      <c r="IA95" s="575"/>
      <c r="IB95" s="575"/>
      <c r="IC95" s="575"/>
      <c r="ID95" s="575"/>
      <c r="IE95" s="575"/>
      <c r="IF95" s="575"/>
      <c r="IG95" s="575"/>
      <c r="IH95" s="575"/>
      <c r="II95" s="575"/>
      <c r="IJ95" s="575"/>
      <c r="IK95" s="575"/>
      <c r="IL95" s="575"/>
      <c r="IM95" s="575"/>
      <c r="IN95" s="575"/>
      <c r="IO95" s="575"/>
      <c r="IP95" s="575"/>
      <c r="IQ95" s="575"/>
      <c r="IR95" s="575"/>
      <c r="IS95" s="575"/>
      <c r="IT95" s="575"/>
      <c r="IU95" s="575"/>
      <c r="IV95" s="575"/>
      <c r="IW95" s="575"/>
      <c r="IX95" s="575"/>
      <c r="IY95" s="575"/>
      <c r="IZ95" s="575"/>
      <c r="JA95" s="575"/>
      <c r="JB95" s="575"/>
      <c r="JC95" s="575"/>
      <c r="JD95" s="575"/>
      <c r="JE95" s="575"/>
      <c r="JF95" s="575"/>
      <c r="JG95" s="575"/>
      <c r="JH95" s="575"/>
      <c r="JI95" s="575"/>
      <c r="JJ95" s="575"/>
      <c r="JK95" s="575"/>
      <c r="JL95" s="575"/>
      <c r="JM95" s="575"/>
      <c r="JN95" s="575"/>
      <c r="JO95" s="575"/>
      <c r="JP95" s="575"/>
      <c r="JQ95" s="575"/>
      <c r="JR95" s="575"/>
      <c r="JS95" s="575"/>
      <c r="JT95" s="575"/>
      <c r="JU95" s="575"/>
      <c r="JV95" s="575"/>
      <c r="JW95" s="575"/>
      <c r="JX95" s="575"/>
      <c r="JY95" s="575"/>
      <c r="JZ95" s="575"/>
      <c r="KA95" s="575"/>
      <c r="KB95" s="575"/>
      <c r="KC95" s="575"/>
      <c r="KD95" s="575"/>
      <c r="KE95" s="575"/>
      <c r="KF95" s="575"/>
      <c r="KG95" s="575"/>
      <c r="KH95" s="575"/>
      <c r="KI95" s="575"/>
      <c r="KJ95" s="575"/>
      <c r="KK95" s="575"/>
      <c r="KL95" s="575"/>
      <c r="KM95" s="575"/>
      <c r="KN95" s="575"/>
      <c r="KO95" s="575"/>
      <c r="KP95" s="575"/>
      <c r="KQ95" s="575"/>
      <c r="KR95" s="575"/>
      <c r="KS95" s="575"/>
      <c r="KT95" s="575"/>
      <c r="KU95" s="575"/>
      <c r="KV95" s="575"/>
      <c r="KW95" s="575"/>
      <c r="KX95" s="575"/>
      <c r="KY95" s="575"/>
      <c r="KZ95" s="575"/>
      <c r="LA95" s="575"/>
      <c r="LB95" s="575"/>
      <c r="LC95" s="575"/>
      <c r="LD95" s="575"/>
      <c r="LE95" s="575"/>
      <c r="LF95" s="575"/>
      <c r="LG95" s="575"/>
      <c r="LH95" s="575"/>
      <c r="LI95" s="575"/>
      <c r="LJ95" s="575"/>
      <c r="LK95" s="575"/>
      <c r="LL95" s="575"/>
      <c r="LM95" s="575"/>
      <c r="LN95" s="575"/>
      <c r="LO95" s="575"/>
      <c r="LP95" s="575"/>
      <c r="LQ95" s="575"/>
      <c r="LR95" s="575"/>
      <c r="LS95" s="575"/>
      <c r="LT95" s="575"/>
      <c r="LU95" s="575"/>
      <c r="LV95" s="575"/>
      <c r="LW95" s="575"/>
      <c r="LX95" s="575"/>
      <c r="LY95" s="575"/>
      <c r="LZ95" s="575"/>
      <c r="MA95" s="575"/>
      <c r="MB95" s="575"/>
      <c r="MC95" s="575"/>
      <c r="MD95" s="575"/>
      <c r="ME95" s="575"/>
      <c r="MF95" s="575"/>
      <c r="MG95" s="575"/>
      <c r="MH95" s="575"/>
      <c r="MI95" s="575"/>
      <c r="MJ95" s="575"/>
      <c r="MK95" s="575"/>
      <c r="ML95" s="575"/>
      <c r="MM95" s="575"/>
      <c r="MN95" s="575"/>
      <c r="MO95" s="575"/>
      <c r="MP95" s="575"/>
      <c r="MQ95" s="575"/>
      <c r="MR95" s="575"/>
      <c r="MS95" s="575"/>
      <c r="MT95" s="575"/>
      <c r="MU95" s="575"/>
      <c r="MV95" s="575"/>
      <c r="MW95" s="575"/>
      <c r="MX95" s="575"/>
      <c r="MY95" s="575"/>
      <c r="MZ95" s="575"/>
      <c r="NA95" s="575"/>
      <c r="NB95" s="575"/>
      <c r="NC95" s="575"/>
      <c r="ND95" s="575"/>
      <c r="NE95" s="575"/>
      <c r="NF95" s="575"/>
      <c r="NG95" s="575"/>
      <c r="NH95" s="575"/>
      <c r="NI95" s="575"/>
      <c r="NJ95" s="575"/>
      <c r="NK95" s="575"/>
      <c r="NL95" s="575"/>
      <c r="NM95" s="575"/>
      <c r="NN95" s="575"/>
      <c r="NO95" s="575"/>
      <c r="NP95" s="575"/>
      <c r="NQ95" s="575"/>
      <c r="NR95" s="575"/>
      <c r="NS95" s="575"/>
      <c r="NT95" s="575"/>
      <c r="NU95" s="575"/>
      <c r="NV95" s="575"/>
      <c r="NW95" s="575"/>
      <c r="NX95" s="575"/>
      <c r="NY95" s="575"/>
      <c r="NZ95" s="575"/>
      <c r="OA95" s="575"/>
      <c r="OB95" s="575"/>
      <c r="OC95" s="575"/>
      <c r="OD95" s="575"/>
      <c r="OE95" s="575"/>
      <c r="OF95" s="575"/>
      <c r="OG95" s="575"/>
      <c r="OH95" s="575"/>
      <c r="OI95" s="575"/>
      <c r="OJ95" s="575"/>
      <c r="OK95" s="575"/>
      <c r="OL95" s="575"/>
      <c r="OM95" s="575"/>
      <c r="ON95" s="575"/>
      <c r="OO95" s="575"/>
      <c r="OP95" s="575"/>
      <c r="OQ95" s="575"/>
      <c r="OR95" s="575"/>
      <c r="OS95" s="575"/>
      <c r="OT95" s="575"/>
      <c r="OU95" s="575"/>
      <c r="OV95" s="575"/>
      <c r="OW95" s="575"/>
      <c r="OX95" s="575"/>
      <c r="OY95" s="575"/>
      <c r="OZ95" s="575"/>
      <c r="PA95" s="575"/>
      <c r="PB95" s="575"/>
      <c r="PC95" s="575"/>
      <c r="PD95" s="575"/>
      <c r="PE95" s="575"/>
      <c r="PF95" s="575"/>
      <c r="PG95" s="575"/>
      <c r="PH95" s="575"/>
      <c r="PI95" s="575"/>
      <c r="PJ95" s="575"/>
      <c r="PK95" s="575"/>
      <c r="PL95" s="575"/>
      <c r="PM95" s="575"/>
      <c r="PN95" s="575"/>
      <c r="PO95" s="575"/>
      <c r="PP95" s="575"/>
      <c r="PQ95" s="575"/>
      <c r="PR95" s="575"/>
      <c r="PS95" s="575"/>
      <c r="PT95" s="575"/>
      <c r="PU95" s="575"/>
      <c r="PV95" s="575"/>
      <c r="PW95" s="575"/>
      <c r="PX95" s="575"/>
      <c r="PY95" s="575"/>
      <c r="PZ95" s="575"/>
      <c r="QA95" s="575"/>
      <c r="QB95" s="575"/>
      <c r="QC95" s="575"/>
      <c r="QD95" s="575"/>
      <c r="QE95" s="575"/>
      <c r="QF95" s="575"/>
      <c r="QG95" s="575"/>
      <c r="QH95" s="575"/>
      <c r="QI95" s="575"/>
      <c r="QJ95" s="575"/>
      <c r="QK95" s="575"/>
      <c r="QL95" s="575"/>
      <c r="QM95" s="575"/>
      <c r="QN95" s="575"/>
      <c r="QO95" s="575"/>
      <c r="QP95" s="575"/>
      <c r="QQ95" s="575"/>
      <c r="QR95" s="575"/>
      <c r="QS95" s="575"/>
      <c r="QT95" s="575"/>
      <c r="QU95" s="575"/>
      <c r="QV95" s="575"/>
      <c r="QW95" s="575"/>
      <c r="QX95" s="575"/>
      <c r="QY95" s="575"/>
      <c r="QZ95" s="575"/>
      <c r="RA95" s="575"/>
      <c r="RB95" s="575"/>
      <c r="RC95" s="575"/>
      <c r="RD95" s="575"/>
      <c r="RE95" s="575"/>
      <c r="RF95" s="575"/>
      <c r="RG95" s="575"/>
      <c r="RH95" s="575"/>
      <c r="RI95" s="575"/>
      <c r="RJ95" s="575"/>
      <c r="RK95" s="575"/>
      <c r="RL95" s="575"/>
      <c r="RM95" s="575"/>
      <c r="RN95" s="575"/>
      <c r="RO95" s="575"/>
      <c r="RP95" s="575"/>
      <c r="RQ95" s="575"/>
      <c r="RR95" s="575"/>
      <c r="RS95" s="575"/>
      <c r="RT95" s="575"/>
      <c r="RU95" s="575"/>
      <c r="RV95" s="575"/>
      <c r="RW95" s="575"/>
      <c r="RX95" s="575"/>
      <c r="RY95" s="575"/>
      <c r="RZ95" s="575"/>
      <c r="SA95" s="575"/>
      <c r="SB95" s="575"/>
      <c r="SC95" s="575"/>
      <c r="SD95" s="575"/>
      <c r="SE95" s="575"/>
      <c r="SF95" s="575"/>
      <c r="SG95" s="575"/>
      <c r="SH95" s="575"/>
      <c r="SI95" s="575"/>
      <c r="SJ95" s="575"/>
      <c r="SK95" s="575"/>
      <c r="SL95" s="575"/>
      <c r="SM95" s="575"/>
      <c r="SN95" s="575"/>
      <c r="SO95" s="575"/>
      <c r="SP95" s="575"/>
      <c r="SQ95" s="575"/>
      <c r="SR95" s="575"/>
      <c r="SS95" s="575"/>
      <c r="ST95" s="575"/>
      <c r="SU95" s="575"/>
      <c r="SV95" s="575"/>
      <c r="SW95" s="575"/>
      <c r="SX95" s="575"/>
      <c r="SY95" s="575"/>
      <c r="SZ95" s="575"/>
      <c r="TA95" s="575"/>
      <c r="TB95" s="575"/>
      <c r="TC95" s="575"/>
      <c r="TD95" s="575"/>
      <c r="TE95" s="575"/>
      <c r="TF95" s="575"/>
      <c r="TG95" s="575"/>
      <c r="TH95" s="575"/>
      <c r="TI95" s="575"/>
      <c r="TJ95" s="575"/>
      <c r="TK95" s="575"/>
      <c r="TL95" s="575"/>
      <c r="TM95" s="575"/>
      <c r="TN95" s="575"/>
      <c r="TO95" s="575"/>
      <c r="TP95" s="575"/>
      <c r="TQ95" s="575"/>
      <c r="TR95" s="575"/>
      <c r="TS95" s="575"/>
      <c r="TT95" s="575"/>
      <c r="TU95" s="575"/>
      <c r="TV95" s="575"/>
      <c r="TW95" s="575"/>
      <c r="TX95" s="575"/>
      <c r="TY95" s="575"/>
      <c r="TZ95" s="575"/>
      <c r="UA95" s="575"/>
      <c r="UB95" s="575"/>
      <c r="UC95" s="575"/>
      <c r="UD95" s="575"/>
      <c r="UE95" s="575"/>
      <c r="UF95" s="575"/>
      <c r="UG95" s="575"/>
      <c r="UH95" s="575"/>
      <c r="UI95" s="575"/>
      <c r="UJ95" s="575"/>
      <c r="UK95" s="575"/>
      <c r="UL95" s="575"/>
      <c r="UM95" s="575"/>
      <c r="UN95" s="575"/>
      <c r="UO95" s="575"/>
      <c r="UP95" s="575"/>
      <c r="UQ95" s="575"/>
      <c r="UR95" s="575"/>
      <c r="US95" s="575"/>
      <c r="UT95" s="575"/>
      <c r="UU95" s="575"/>
      <c r="UV95" s="575"/>
      <c r="UW95" s="575"/>
      <c r="UX95" s="575"/>
      <c r="UY95" s="575"/>
      <c r="UZ95" s="575"/>
      <c r="VA95" s="575"/>
      <c r="VB95" s="575"/>
      <c r="VC95" s="575"/>
      <c r="VD95" s="575"/>
      <c r="VE95" s="575"/>
      <c r="VF95" s="575"/>
      <c r="VG95" s="575"/>
      <c r="VH95" s="575"/>
      <c r="VI95" s="575"/>
      <c r="VJ95" s="575"/>
      <c r="VK95" s="575"/>
      <c r="VL95" s="575"/>
      <c r="VM95" s="575"/>
      <c r="VN95" s="575"/>
      <c r="VO95" s="575"/>
      <c r="VP95" s="575"/>
      <c r="VQ95" s="575"/>
      <c r="VR95" s="575"/>
      <c r="VS95" s="575"/>
      <c r="VT95" s="575"/>
      <c r="VU95" s="575"/>
      <c r="VV95" s="575"/>
      <c r="VW95" s="575"/>
      <c r="VX95" s="575"/>
      <c r="VY95" s="575"/>
      <c r="VZ95" s="575"/>
      <c r="WA95" s="575"/>
      <c r="WB95" s="575"/>
      <c r="WC95" s="575"/>
      <c r="WD95" s="575"/>
      <c r="WE95" s="575"/>
      <c r="WF95" s="575"/>
      <c r="WG95" s="575"/>
      <c r="WH95" s="575"/>
      <c r="WI95" s="575"/>
      <c r="WJ95" s="575"/>
      <c r="WK95" s="575"/>
      <c r="WL95" s="575"/>
      <c r="WM95" s="575"/>
      <c r="WN95" s="575"/>
      <c r="WO95" s="575"/>
      <c r="WP95" s="575"/>
      <c r="WQ95" s="575"/>
      <c r="WR95" s="575"/>
      <c r="WS95" s="575"/>
      <c r="WT95" s="575"/>
      <c r="WU95" s="575"/>
      <c r="WV95" s="575"/>
      <c r="WW95" s="575"/>
      <c r="WX95" s="575"/>
      <c r="WY95" s="575"/>
      <c r="WZ95" s="575"/>
      <c r="XA95" s="575"/>
      <c r="XB95" s="575"/>
      <c r="XC95" s="575"/>
      <c r="XD95" s="575"/>
      <c r="XE95" s="575"/>
      <c r="XF95" s="575"/>
      <c r="XG95" s="575"/>
      <c r="XH95" s="575"/>
      <c r="XI95" s="575"/>
      <c r="XJ95" s="575"/>
      <c r="XK95" s="575"/>
      <c r="XL95" s="575"/>
      <c r="XM95" s="575"/>
      <c r="XN95" s="575"/>
      <c r="XO95" s="575"/>
      <c r="XP95" s="575"/>
      <c r="XQ95" s="575"/>
      <c r="XR95" s="575"/>
      <c r="XS95" s="575"/>
      <c r="XT95" s="575"/>
      <c r="XU95" s="575"/>
      <c r="XV95" s="575"/>
      <c r="XW95" s="575"/>
      <c r="XX95" s="575"/>
      <c r="XY95" s="575"/>
      <c r="XZ95" s="575"/>
      <c r="YA95" s="575"/>
      <c r="YB95" s="575"/>
      <c r="YC95" s="575"/>
      <c r="YD95" s="575"/>
      <c r="YE95" s="575"/>
      <c r="YF95" s="575"/>
      <c r="YG95" s="575"/>
      <c r="YH95" s="575"/>
      <c r="YI95" s="575"/>
      <c r="YJ95" s="575"/>
      <c r="YK95" s="575"/>
      <c r="YL95" s="575"/>
      <c r="YM95" s="575"/>
      <c r="YN95" s="575"/>
      <c r="YO95" s="575"/>
      <c r="YP95" s="575"/>
      <c r="YQ95" s="575"/>
      <c r="YR95" s="575"/>
      <c r="YS95" s="575"/>
      <c r="YT95" s="575"/>
      <c r="YU95" s="575"/>
      <c r="YV95" s="575"/>
      <c r="YW95" s="575"/>
      <c r="YX95" s="575"/>
      <c r="YY95" s="575"/>
      <c r="YZ95" s="575"/>
      <c r="ZA95" s="575"/>
      <c r="ZB95" s="575"/>
      <c r="ZC95" s="575"/>
      <c r="ZD95" s="575"/>
      <c r="ZE95" s="575"/>
      <c r="ZF95" s="575"/>
      <c r="ZG95" s="575"/>
      <c r="ZH95" s="575"/>
      <c r="ZI95" s="575"/>
      <c r="ZJ95" s="575"/>
      <c r="ZK95" s="575"/>
      <c r="ZL95" s="575"/>
      <c r="ZM95" s="575"/>
      <c r="ZN95" s="575"/>
      <c r="ZO95" s="575"/>
      <c r="ZP95" s="575"/>
      <c r="ZQ95" s="575"/>
      <c r="ZR95" s="575"/>
      <c r="ZS95" s="575"/>
      <c r="ZT95" s="575"/>
      <c r="ZU95" s="575"/>
      <c r="ZV95" s="575"/>
      <c r="ZW95" s="575"/>
      <c r="ZX95" s="575"/>
      <c r="ZY95" s="575"/>
      <c r="ZZ95" s="575"/>
      <c r="AAA95" s="575"/>
      <c r="AAB95" s="575"/>
      <c r="AAC95" s="575"/>
      <c r="AAD95" s="575"/>
      <c r="AAE95" s="575"/>
      <c r="AAF95" s="575"/>
      <c r="AAG95" s="575"/>
      <c r="AAH95" s="575"/>
      <c r="AAI95" s="575"/>
      <c r="AAJ95" s="575"/>
      <c r="AAK95" s="575"/>
      <c r="AAL95" s="575"/>
      <c r="AAM95" s="575"/>
      <c r="AAN95" s="575"/>
      <c r="AAO95" s="575"/>
      <c r="AAP95" s="575"/>
      <c r="AAQ95" s="575"/>
      <c r="AAR95" s="575"/>
      <c r="AAS95" s="575"/>
      <c r="AAT95" s="575"/>
      <c r="AAU95" s="575"/>
      <c r="AAV95" s="575"/>
      <c r="AAW95" s="575"/>
      <c r="AAX95" s="575"/>
      <c r="AAY95" s="575"/>
      <c r="AAZ95" s="575"/>
      <c r="ABA95" s="575"/>
      <c r="ABB95" s="575"/>
      <c r="ABC95" s="575"/>
      <c r="ABD95" s="575"/>
      <c r="ABE95" s="575"/>
      <c r="ABF95" s="575"/>
      <c r="ABG95" s="575"/>
      <c r="ABH95" s="575"/>
      <c r="ABI95" s="575"/>
      <c r="ABJ95" s="575"/>
      <c r="ABK95" s="575"/>
      <c r="ABL95" s="575"/>
      <c r="ABM95" s="575"/>
      <c r="ABN95" s="575"/>
      <c r="ABO95" s="575"/>
      <c r="ABP95" s="575"/>
      <c r="ABQ95" s="575"/>
      <c r="ABR95" s="575"/>
      <c r="ABS95" s="575"/>
      <c r="ABT95" s="575"/>
      <c r="ABU95" s="575"/>
      <c r="ABV95" s="575"/>
      <c r="ABW95" s="575"/>
      <c r="ABX95" s="575"/>
      <c r="ABY95" s="575"/>
      <c r="ABZ95" s="575"/>
      <c r="ACA95" s="575"/>
      <c r="ACB95" s="575"/>
      <c r="ACC95" s="575"/>
      <c r="ACD95" s="575"/>
      <c r="ACE95" s="575"/>
      <c r="ACF95" s="575"/>
      <c r="ACG95" s="575"/>
      <c r="ACH95" s="575"/>
      <c r="ACI95" s="575"/>
      <c r="ACJ95" s="575"/>
      <c r="ACK95" s="575"/>
      <c r="ACL95" s="575"/>
      <c r="ACM95" s="575"/>
      <c r="ACN95" s="575"/>
      <c r="ACO95" s="575"/>
      <c r="ACP95" s="575"/>
      <c r="ACQ95" s="575"/>
      <c r="ACR95" s="575"/>
      <c r="ACS95" s="575"/>
      <c r="ACT95" s="575"/>
      <c r="ACU95" s="575"/>
      <c r="ACV95" s="575"/>
      <c r="ACW95" s="575"/>
      <c r="ACX95" s="575"/>
      <c r="ACY95" s="575"/>
      <c r="ACZ95" s="575"/>
      <c r="ADA95" s="575"/>
      <c r="ADB95" s="575"/>
      <c r="ADC95" s="575"/>
      <c r="ADD95" s="575"/>
      <c r="ADE95" s="575"/>
      <c r="ADF95" s="575"/>
      <c r="ADG95" s="575"/>
      <c r="ADH95" s="575"/>
      <c r="ADI95" s="575"/>
      <c r="ADJ95" s="575"/>
      <c r="ADK95" s="575"/>
      <c r="ADL95" s="575"/>
      <c r="ADM95" s="575"/>
      <c r="ADN95" s="575"/>
      <c r="ADO95" s="575"/>
      <c r="ADP95" s="575"/>
      <c r="ADQ95" s="575"/>
      <c r="ADR95" s="575"/>
      <c r="ADS95" s="575"/>
      <c r="ADT95" s="575"/>
      <c r="ADU95" s="575"/>
      <c r="ADV95" s="575"/>
      <c r="ADW95" s="575"/>
      <c r="ADX95" s="575"/>
      <c r="ADY95" s="575"/>
      <c r="ADZ95" s="575"/>
      <c r="AEA95" s="575"/>
      <c r="AEB95" s="575"/>
      <c r="AEC95" s="575"/>
      <c r="AED95" s="575"/>
      <c r="AEE95" s="575"/>
      <c r="AEF95" s="575"/>
      <c r="AEG95" s="575"/>
      <c r="AEH95" s="575"/>
      <c r="AEI95" s="575"/>
      <c r="AEJ95" s="575"/>
      <c r="AEK95" s="575"/>
      <c r="AEL95" s="575"/>
      <c r="AEM95" s="575"/>
      <c r="AEN95" s="575"/>
      <c r="AEO95" s="575"/>
      <c r="AEP95" s="575"/>
      <c r="AEQ95" s="575"/>
      <c r="AER95" s="575"/>
      <c r="AES95" s="575"/>
      <c r="AET95" s="575"/>
      <c r="AEU95" s="575"/>
      <c r="AEV95" s="575"/>
      <c r="AEW95" s="575"/>
      <c r="AEX95" s="575"/>
      <c r="AEY95" s="575"/>
      <c r="AEZ95" s="575"/>
      <c r="AFA95" s="575"/>
      <c r="AFB95" s="575"/>
      <c r="AFC95" s="575"/>
      <c r="AFD95" s="575"/>
      <c r="AFE95" s="575"/>
      <c r="AFF95" s="575"/>
      <c r="AFG95" s="575"/>
      <c r="AFH95" s="575"/>
      <c r="AFI95" s="575"/>
      <c r="AFJ95" s="575"/>
      <c r="AFK95" s="575"/>
      <c r="AFL95" s="575"/>
      <c r="AFM95" s="575"/>
      <c r="AFN95" s="575"/>
      <c r="AFO95" s="575"/>
      <c r="AFP95" s="575"/>
      <c r="AFQ95" s="575"/>
      <c r="AFR95" s="575"/>
      <c r="AFS95" s="575"/>
      <c r="AFT95" s="575"/>
      <c r="AFU95" s="575"/>
      <c r="AFV95" s="575"/>
      <c r="AFW95" s="575"/>
      <c r="AFX95" s="575"/>
      <c r="AFY95" s="575"/>
      <c r="AFZ95" s="575"/>
      <c r="AGA95" s="575"/>
      <c r="AGB95" s="575"/>
      <c r="AGC95" s="575"/>
      <c r="AGD95" s="575"/>
      <c r="AGE95" s="575"/>
      <c r="AGF95" s="575"/>
      <c r="AGG95" s="575"/>
      <c r="AGH95" s="575"/>
      <c r="AGI95" s="575"/>
      <c r="AGJ95" s="575"/>
      <c r="AGK95" s="575"/>
      <c r="AGL95" s="575"/>
      <c r="AGM95" s="575"/>
      <c r="AGN95" s="575"/>
      <c r="AGO95" s="575"/>
      <c r="AGP95" s="575"/>
      <c r="AGQ95" s="575"/>
      <c r="AGR95" s="575"/>
      <c r="AGS95" s="575"/>
      <c r="AGT95" s="575"/>
      <c r="AGU95" s="575"/>
      <c r="AGV95" s="575"/>
      <c r="AGW95" s="575"/>
      <c r="AGX95" s="575"/>
      <c r="AGY95" s="575"/>
      <c r="AGZ95" s="575"/>
      <c r="AHA95" s="575"/>
      <c r="AHB95" s="575"/>
      <c r="AHC95" s="575"/>
      <c r="AHD95" s="575"/>
      <c r="AHE95" s="575"/>
      <c r="AHF95" s="575"/>
      <c r="AHG95" s="575"/>
      <c r="AHH95" s="575"/>
      <c r="AHI95" s="575"/>
      <c r="AHJ95" s="575"/>
      <c r="AHK95" s="575"/>
      <c r="AHL95" s="575"/>
      <c r="AHM95" s="575"/>
      <c r="AHN95" s="575"/>
      <c r="AHO95" s="575"/>
      <c r="AHP95" s="575"/>
      <c r="AHQ95" s="575"/>
      <c r="AHR95" s="575"/>
      <c r="AHS95" s="575"/>
      <c r="AHT95" s="575"/>
      <c r="AHU95" s="575"/>
      <c r="AHV95" s="575"/>
      <c r="AHW95" s="575"/>
      <c r="AHX95" s="575"/>
      <c r="AHY95" s="575"/>
      <c r="AHZ95" s="575"/>
      <c r="AIA95" s="575"/>
      <c r="AIB95" s="575"/>
      <c r="AIC95" s="575"/>
      <c r="AID95" s="575"/>
      <c r="AIE95" s="575"/>
      <c r="AIF95" s="575"/>
      <c r="AIG95" s="575"/>
      <c r="AIH95" s="575"/>
      <c r="AII95" s="575"/>
      <c r="AIJ95" s="575"/>
      <c r="AIK95" s="575"/>
      <c r="AIL95" s="575"/>
      <c r="AIM95" s="575"/>
      <c r="AIN95" s="575"/>
      <c r="AIO95" s="575"/>
      <c r="AIP95" s="575"/>
      <c r="AIQ95" s="575"/>
      <c r="AIR95" s="575"/>
      <c r="AIS95" s="575"/>
      <c r="AIT95" s="575"/>
      <c r="AIU95" s="575"/>
      <c r="AIV95" s="575"/>
      <c r="AIW95" s="575"/>
      <c r="AIX95" s="575"/>
      <c r="AIY95" s="575"/>
      <c r="AIZ95" s="575"/>
      <c r="AJA95" s="575"/>
      <c r="AJB95" s="575"/>
      <c r="AJC95" s="575"/>
      <c r="AJD95" s="575"/>
      <c r="AJE95" s="575"/>
      <c r="AJF95" s="575"/>
      <c r="AJG95" s="575"/>
      <c r="AJH95" s="575"/>
      <c r="AJI95" s="575"/>
      <c r="AJJ95" s="575"/>
      <c r="AJK95" s="575"/>
      <c r="AJL95" s="575"/>
      <c r="AJM95" s="575"/>
      <c r="AJN95" s="575"/>
      <c r="AJO95" s="575"/>
      <c r="AJP95" s="575"/>
      <c r="AJQ95" s="575"/>
      <c r="AJR95" s="575"/>
      <c r="AJS95" s="575"/>
      <c r="AJT95" s="575"/>
      <c r="AJU95" s="575"/>
      <c r="AJV95" s="575"/>
      <c r="AJW95" s="575"/>
      <c r="AJX95" s="575"/>
      <c r="AJY95" s="575"/>
      <c r="AJZ95" s="575"/>
      <c r="AKA95" s="575"/>
      <c r="AKB95" s="575"/>
      <c r="AKC95" s="575"/>
      <c r="AKD95" s="575"/>
      <c r="AKE95" s="575"/>
      <c r="AKF95" s="575"/>
      <c r="AKG95" s="575"/>
      <c r="AKH95" s="575"/>
      <c r="AKI95" s="575"/>
      <c r="AKJ95" s="575"/>
      <c r="AKK95" s="575"/>
      <c r="AKL95" s="575"/>
      <c r="AKM95" s="575"/>
      <c r="AKN95" s="575"/>
      <c r="AKO95" s="575"/>
      <c r="AKP95" s="575"/>
      <c r="AKQ95" s="575"/>
      <c r="AKR95" s="575"/>
      <c r="AKS95" s="575"/>
      <c r="AKT95" s="575"/>
      <c r="AKU95" s="575"/>
      <c r="AKV95" s="575"/>
      <c r="AKW95" s="575"/>
      <c r="AKX95" s="575"/>
      <c r="AKY95" s="575"/>
      <c r="AKZ95" s="575"/>
      <c r="ALA95" s="575"/>
      <c r="ALB95" s="575"/>
      <c r="ALC95" s="575"/>
      <c r="ALD95" s="575"/>
      <c r="ALE95" s="575"/>
      <c r="ALF95" s="575"/>
      <c r="ALG95" s="575"/>
      <c r="ALH95" s="575"/>
      <c r="ALI95" s="575"/>
      <c r="ALJ95" s="575"/>
      <c r="ALK95" s="575"/>
      <c r="ALL95" s="575"/>
      <c r="ALM95" s="575"/>
      <c r="ALN95" s="575"/>
      <c r="ALO95" s="575"/>
      <c r="ALP95" s="575"/>
      <c r="ALQ95" s="575"/>
      <c r="ALR95" s="575"/>
      <c r="ALS95" s="575"/>
      <c r="ALT95" s="575"/>
      <c r="ALU95" s="575"/>
      <c r="ALV95" s="575"/>
      <c r="ALW95" s="575"/>
      <c r="ALX95" s="575"/>
      <c r="ALY95" s="575"/>
      <c r="ALZ95" s="575"/>
      <c r="AMA95" s="575"/>
      <c r="AMB95" s="575"/>
      <c r="AMC95" s="575"/>
      <c r="AMD95" s="575"/>
      <c r="AME95" s="575"/>
      <c r="AMF95" s="575"/>
      <c r="AMG95" s="575"/>
      <c r="AMH95" s="575"/>
      <c r="AMI95" s="575"/>
      <c r="AMJ95" s="575"/>
      <c r="AMK95" s="575"/>
      <c r="AML95" s="575"/>
      <c r="AMM95" s="575"/>
      <c r="AMN95" s="575"/>
      <c r="AMO95" s="575"/>
      <c r="AMP95" s="575"/>
      <c r="AMQ95" s="575"/>
      <c r="AMR95" s="575"/>
      <c r="AMS95" s="575"/>
      <c r="AMT95" s="575"/>
      <c r="AMU95" s="575"/>
      <c r="AMV95" s="575"/>
      <c r="AMW95" s="575"/>
      <c r="AMX95" s="575"/>
      <c r="AMY95" s="575"/>
      <c r="AMZ95" s="575"/>
      <c r="ANA95" s="575"/>
      <c r="ANB95" s="575"/>
      <c r="ANC95" s="575"/>
      <c r="AND95" s="575"/>
      <c r="ANE95" s="575"/>
      <c r="ANF95" s="575"/>
      <c r="ANG95" s="575"/>
      <c r="ANH95" s="575"/>
      <c r="ANI95" s="575"/>
      <c r="ANJ95" s="575"/>
      <c r="ANK95" s="575"/>
      <c r="ANL95" s="575"/>
      <c r="ANM95" s="575"/>
      <c r="ANN95" s="575"/>
      <c r="ANO95" s="575"/>
      <c r="ANP95" s="575"/>
      <c r="ANQ95" s="575"/>
      <c r="ANR95" s="575"/>
      <c r="ANS95" s="575"/>
      <c r="ANT95" s="575"/>
      <c r="ANU95" s="575"/>
      <c r="ANV95" s="575"/>
      <c r="ANW95" s="575"/>
      <c r="ANX95" s="575"/>
      <c r="ANY95" s="575"/>
      <c r="ANZ95" s="575"/>
      <c r="AOA95" s="575"/>
      <c r="AOB95" s="575"/>
      <c r="AOC95" s="575"/>
      <c r="AOD95" s="575"/>
      <c r="AOE95" s="575"/>
      <c r="AOF95" s="575"/>
      <c r="AOG95" s="575"/>
      <c r="AOH95" s="575"/>
      <c r="AOI95" s="575"/>
      <c r="AOJ95" s="575"/>
      <c r="AOK95" s="575"/>
      <c r="AOL95" s="575"/>
      <c r="AOM95" s="575"/>
      <c r="AON95" s="575"/>
      <c r="AOO95" s="575"/>
      <c r="AOP95" s="575"/>
      <c r="AOQ95" s="575"/>
      <c r="AOR95" s="575"/>
      <c r="AOS95" s="575"/>
      <c r="AOT95" s="575"/>
      <c r="AOU95" s="575"/>
      <c r="AOV95" s="575"/>
      <c r="AOW95" s="575"/>
      <c r="AOX95" s="575"/>
      <c r="AOY95" s="575"/>
      <c r="AOZ95" s="575"/>
      <c r="APA95" s="575"/>
      <c r="APB95" s="575"/>
      <c r="APC95" s="575"/>
      <c r="APD95" s="575"/>
      <c r="APE95" s="575"/>
      <c r="APF95" s="575"/>
      <c r="APG95" s="575"/>
      <c r="APH95" s="575"/>
      <c r="API95" s="575"/>
      <c r="APJ95" s="575"/>
      <c r="APK95" s="575"/>
      <c r="APL95" s="575"/>
      <c r="APM95" s="575"/>
      <c r="APN95" s="575"/>
      <c r="APO95" s="575"/>
      <c r="APP95" s="575"/>
      <c r="APQ95" s="575"/>
      <c r="APR95" s="575"/>
      <c r="APS95" s="575"/>
      <c r="APT95" s="575"/>
      <c r="APU95" s="575"/>
      <c r="APV95" s="575"/>
      <c r="APW95" s="575"/>
      <c r="APX95" s="575"/>
      <c r="APY95" s="575"/>
      <c r="APZ95" s="575"/>
      <c r="AQA95" s="575"/>
      <c r="AQB95" s="575"/>
      <c r="AQC95" s="575"/>
      <c r="AQD95" s="575"/>
      <c r="AQE95" s="575"/>
      <c r="AQF95" s="575"/>
      <c r="AQG95" s="575"/>
      <c r="AQH95" s="575"/>
      <c r="AQI95" s="575"/>
      <c r="AQJ95" s="575"/>
      <c r="AQK95" s="575"/>
      <c r="AQL95" s="575"/>
      <c r="AQM95" s="575"/>
      <c r="AQN95" s="575"/>
      <c r="AQO95" s="575"/>
      <c r="AQP95" s="575"/>
      <c r="AQQ95" s="575"/>
      <c r="AQR95" s="575"/>
      <c r="AQS95" s="575"/>
      <c r="AQT95" s="575"/>
      <c r="AQU95" s="575"/>
      <c r="AQV95" s="575"/>
      <c r="AQW95" s="575"/>
      <c r="AQX95" s="575"/>
      <c r="AQY95" s="575"/>
      <c r="AQZ95" s="575"/>
      <c r="ARA95" s="575"/>
      <c r="ARB95" s="575"/>
      <c r="ARC95" s="575"/>
      <c r="ARD95" s="575"/>
      <c r="ARE95" s="575"/>
      <c r="ARF95" s="575"/>
      <c r="ARG95" s="575"/>
      <c r="ARH95" s="575"/>
      <c r="ARI95" s="575"/>
      <c r="ARJ95" s="575"/>
      <c r="ARK95" s="575"/>
      <c r="ARL95" s="575"/>
      <c r="ARM95" s="575"/>
      <c r="ARN95" s="575"/>
      <c r="ARO95" s="575"/>
      <c r="ARP95" s="575"/>
      <c r="ARQ95" s="575"/>
      <c r="ARR95" s="575"/>
      <c r="ARS95" s="575"/>
      <c r="ART95" s="575"/>
      <c r="ARU95" s="575"/>
      <c r="ARV95" s="575"/>
      <c r="ARW95" s="575"/>
      <c r="ARX95" s="575"/>
      <c r="ARY95" s="575"/>
      <c r="ARZ95" s="575"/>
      <c r="ASA95" s="575"/>
      <c r="ASB95" s="575"/>
      <c r="ASC95" s="575"/>
      <c r="ASD95" s="575"/>
      <c r="ASE95" s="575"/>
      <c r="ASF95" s="575"/>
      <c r="ASG95" s="575"/>
      <c r="ASH95" s="575"/>
      <c r="ASI95" s="575"/>
      <c r="ASJ95" s="575"/>
      <c r="ASK95" s="575"/>
      <c r="ASL95" s="575"/>
      <c r="ASM95" s="575"/>
      <c r="ASN95" s="575"/>
      <c r="ASO95" s="575"/>
      <c r="ASP95" s="575"/>
      <c r="ASQ95" s="575"/>
      <c r="ASR95" s="575"/>
      <c r="ASS95" s="575"/>
      <c r="AST95" s="575"/>
      <c r="ASU95" s="575"/>
      <c r="ASV95" s="575"/>
      <c r="ASW95" s="575"/>
      <c r="ASX95" s="575"/>
      <c r="ASY95" s="575"/>
      <c r="ASZ95" s="575"/>
      <c r="ATA95" s="575"/>
      <c r="ATB95" s="575"/>
      <c r="ATC95" s="575"/>
      <c r="ATD95" s="575"/>
      <c r="ATE95" s="575"/>
      <c r="ATF95" s="575"/>
      <c r="ATG95" s="575"/>
      <c r="ATH95" s="575"/>
      <c r="ATI95" s="575"/>
      <c r="ATJ95" s="575"/>
      <c r="ATK95" s="575"/>
      <c r="ATL95" s="575"/>
      <c r="ATM95" s="575"/>
      <c r="ATN95" s="575"/>
      <c r="ATO95" s="575"/>
      <c r="ATP95" s="575"/>
      <c r="ATQ95" s="575"/>
      <c r="ATR95" s="575"/>
      <c r="ATS95" s="575"/>
      <c r="ATT95" s="575"/>
      <c r="ATU95" s="575"/>
      <c r="ATV95" s="575"/>
      <c r="ATW95" s="575"/>
      <c r="ATX95" s="575"/>
      <c r="ATY95" s="575"/>
      <c r="ATZ95" s="575"/>
      <c r="AUA95" s="575"/>
      <c r="AUB95" s="575"/>
      <c r="AUC95" s="575"/>
      <c r="AUD95" s="575"/>
      <c r="AUE95" s="575"/>
      <c r="AUF95" s="575"/>
      <c r="AUG95" s="575"/>
      <c r="AUH95" s="575"/>
      <c r="AUI95" s="575"/>
      <c r="AUJ95" s="575"/>
      <c r="AUK95" s="575"/>
      <c r="AUL95" s="575"/>
      <c r="AUM95" s="575"/>
      <c r="AUN95" s="575"/>
      <c r="AUO95" s="575"/>
      <c r="AUP95" s="575"/>
      <c r="AUQ95" s="575"/>
      <c r="AUR95" s="575"/>
      <c r="AUS95" s="575"/>
      <c r="AUT95" s="575"/>
      <c r="AUU95" s="575"/>
      <c r="AUV95" s="575"/>
      <c r="AUW95" s="575"/>
      <c r="AUX95" s="575"/>
      <c r="AUY95" s="575"/>
      <c r="AUZ95" s="575"/>
      <c r="AVA95" s="575"/>
      <c r="AVB95" s="575"/>
      <c r="AVC95" s="575"/>
      <c r="AVD95" s="575"/>
      <c r="AVE95" s="575"/>
      <c r="AVF95" s="575"/>
      <c r="AVG95" s="575"/>
      <c r="AVH95" s="575"/>
      <c r="AVI95" s="575"/>
      <c r="AVJ95" s="575"/>
      <c r="AVK95" s="575"/>
      <c r="AVL95" s="575"/>
      <c r="AVM95" s="575"/>
      <c r="AVN95" s="575"/>
      <c r="AVO95" s="575"/>
      <c r="AVP95" s="575"/>
      <c r="AVQ95" s="575"/>
      <c r="AVR95" s="575"/>
      <c r="AVS95" s="575"/>
      <c r="AVT95" s="575"/>
      <c r="AVU95" s="575"/>
      <c r="AVV95" s="575"/>
      <c r="AVW95" s="575"/>
      <c r="AVX95" s="575"/>
      <c r="AVY95" s="575"/>
      <c r="AVZ95" s="575"/>
      <c r="AWA95" s="575"/>
      <c r="AWB95" s="575"/>
      <c r="AWC95" s="575"/>
      <c r="AWD95" s="575"/>
      <c r="AWE95" s="575"/>
      <c r="AWF95" s="575"/>
      <c r="AWG95" s="575"/>
      <c r="AWH95" s="575"/>
      <c r="AWI95" s="575"/>
      <c r="AWJ95" s="575"/>
      <c r="AWK95" s="575"/>
      <c r="AWL95" s="575"/>
      <c r="AWM95" s="575"/>
      <c r="AWN95" s="575"/>
      <c r="AWO95" s="575"/>
      <c r="AWP95" s="575"/>
      <c r="AWQ95" s="575"/>
      <c r="AWR95" s="575"/>
      <c r="AWS95" s="575"/>
      <c r="AWT95" s="575"/>
      <c r="AWU95" s="575"/>
      <c r="AWV95" s="575"/>
      <c r="AWW95" s="575"/>
      <c r="AWX95" s="575"/>
      <c r="AWY95" s="575"/>
      <c r="AWZ95" s="575"/>
      <c r="AXA95" s="575"/>
      <c r="AXB95" s="575"/>
      <c r="AXC95" s="575"/>
      <c r="AXD95" s="575"/>
      <c r="AXE95" s="575"/>
      <c r="AXF95" s="575"/>
      <c r="AXG95" s="575"/>
      <c r="AXH95" s="575"/>
      <c r="AXI95" s="575"/>
      <c r="AXJ95" s="575"/>
      <c r="AXK95" s="575"/>
      <c r="AXL95" s="575"/>
      <c r="AXM95" s="575"/>
      <c r="AXN95" s="575"/>
      <c r="AXO95" s="575"/>
      <c r="AXP95" s="575"/>
      <c r="AXQ95" s="575"/>
      <c r="AXR95" s="575"/>
      <c r="AXS95" s="575"/>
      <c r="AXT95" s="575"/>
      <c r="AXU95" s="575"/>
      <c r="AXV95" s="575"/>
      <c r="AXW95" s="575"/>
      <c r="AXX95" s="575"/>
      <c r="AXY95" s="575"/>
      <c r="AXZ95" s="575"/>
      <c r="AYA95" s="575"/>
      <c r="AYB95" s="575"/>
      <c r="AYC95" s="575"/>
      <c r="AYD95" s="575"/>
      <c r="AYE95" s="575"/>
      <c r="AYF95" s="575"/>
      <c r="AYG95" s="575"/>
      <c r="AYH95" s="575"/>
      <c r="AYI95" s="575"/>
      <c r="AYJ95" s="575"/>
      <c r="AYK95" s="575"/>
      <c r="AYL95" s="575"/>
      <c r="AYM95" s="575"/>
      <c r="AYN95" s="575"/>
      <c r="AYO95" s="575"/>
      <c r="AYP95" s="575"/>
      <c r="AYQ95" s="575"/>
      <c r="AYR95" s="575"/>
      <c r="AYS95" s="575"/>
      <c r="AYT95" s="575"/>
      <c r="AYU95" s="575"/>
      <c r="AYV95" s="575"/>
      <c r="AYW95" s="575"/>
      <c r="AYX95" s="575"/>
      <c r="AYY95" s="575"/>
      <c r="AYZ95" s="575"/>
      <c r="AZA95" s="575"/>
      <c r="AZB95" s="575"/>
      <c r="AZC95" s="575"/>
      <c r="AZD95" s="575"/>
      <c r="AZE95" s="575"/>
      <c r="AZF95" s="575"/>
      <c r="AZG95" s="575"/>
      <c r="AZH95" s="575"/>
      <c r="AZI95" s="575"/>
      <c r="AZJ95" s="575"/>
      <c r="AZK95" s="575"/>
      <c r="AZL95" s="575"/>
      <c r="AZM95" s="575"/>
      <c r="AZN95" s="575"/>
      <c r="AZO95" s="575"/>
      <c r="AZP95" s="575"/>
      <c r="AZQ95" s="575"/>
      <c r="AZR95" s="575"/>
      <c r="AZS95" s="575"/>
      <c r="AZT95" s="575"/>
      <c r="AZU95" s="575"/>
      <c r="AZV95" s="575"/>
      <c r="AZW95" s="575"/>
      <c r="AZX95" s="575"/>
      <c r="AZY95" s="575"/>
      <c r="AZZ95" s="575"/>
      <c r="BAA95" s="575"/>
      <c r="BAB95" s="575"/>
      <c r="BAC95" s="575"/>
      <c r="BAD95" s="575"/>
      <c r="BAE95" s="575"/>
      <c r="BAF95" s="575"/>
      <c r="BAG95" s="575"/>
      <c r="BAH95" s="575"/>
      <c r="BAI95" s="575"/>
      <c r="BAJ95" s="575"/>
      <c r="BAK95" s="575"/>
      <c r="BAL95" s="575"/>
      <c r="BAM95" s="575"/>
      <c r="BAN95" s="575"/>
      <c r="BAO95" s="575"/>
      <c r="BAP95" s="575"/>
      <c r="BAQ95" s="575"/>
      <c r="BAR95" s="575"/>
      <c r="BAS95" s="575"/>
      <c r="BAT95" s="575"/>
      <c r="BAU95" s="575"/>
      <c r="BAV95" s="575"/>
      <c r="BAW95" s="575"/>
      <c r="BAX95" s="575"/>
      <c r="BAY95" s="575"/>
      <c r="BAZ95" s="575"/>
      <c r="BBA95" s="575"/>
      <c r="BBB95" s="575"/>
      <c r="BBC95" s="575"/>
      <c r="BBD95" s="575"/>
      <c r="BBE95" s="575"/>
      <c r="BBF95" s="575"/>
      <c r="BBG95" s="575"/>
      <c r="BBH95" s="575"/>
      <c r="BBI95" s="575"/>
      <c r="BBJ95" s="575"/>
      <c r="BBK95" s="575"/>
      <c r="BBL95" s="575"/>
      <c r="BBM95" s="575"/>
      <c r="BBN95" s="575"/>
      <c r="BBO95" s="575"/>
      <c r="BBP95" s="575"/>
      <c r="BBQ95" s="575"/>
      <c r="BBR95" s="575"/>
      <c r="BBS95" s="575"/>
      <c r="BBT95" s="575"/>
      <c r="BBU95" s="575"/>
      <c r="BBV95" s="575"/>
      <c r="BBW95" s="575"/>
      <c r="BBX95" s="575"/>
      <c r="BBY95" s="575"/>
      <c r="BBZ95" s="575"/>
      <c r="BCA95" s="575"/>
      <c r="BCB95" s="575"/>
      <c r="BCC95" s="575"/>
      <c r="BCD95" s="575"/>
      <c r="BCE95" s="575"/>
      <c r="BCF95" s="575"/>
      <c r="BCG95" s="575"/>
      <c r="BCH95" s="575"/>
      <c r="BCI95" s="575"/>
      <c r="BCJ95" s="575"/>
      <c r="BCK95" s="575"/>
      <c r="BCL95" s="575"/>
      <c r="BCM95" s="575"/>
      <c r="BCN95" s="575"/>
      <c r="BCO95" s="575"/>
      <c r="BCP95" s="575"/>
      <c r="BCQ95" s="575"/>
      <c r="BCR95" s="575"/>
      <c r="BCS95" s="575"/>
      <c r="BCT95" s="575"/>
      <c r="BCU95" s="575"/>
      <c r="BCV95" s="575"/>
      <c r="BCW95" s="575"/>
      <c r="BCX95" s="575"/>
      <c r="BCY95" s="575"/>
      <c r="BCZ95" s="575"/>
      <c r="BDA95" s="575"/>
      <c r="BDB95" s="575"/>
      <c r="BDC95" s="575"/>
      <c r="BDD95" s="575"/>
      <c r="BDE95" s="575"/>
      <c r="BDF95" s="575"/>
      <c r="BDG95" s="575"/>
      <c r="BDH95" s="575"/>
      <c r="BDI95" s="575"/>
      <c r="BDJ95" s="575"/>
      <c r="BDK95" s="575"/>
      <c r="BDL95" s="575"/>
      <c r="BDM95" s="575"/>
      <c r="BDN95" s="575"/>
      <c r="BDO95" s="575"/>
      <c r="BDP95" s="575"/>
      <c r="BDQ95" s="575"/>
      <c r="BDR95" s="575"/>
      <c r="BDS95" s="575"/>
      <c r="BDT95" s="575"/>
    </row>
    <row r="96" spans="1:1476" x14ac:dyDescent="0.25">
      <c r="A96" s="608">
        <v>5559</v>
      </c>
      <c r="B96" s="609" t="s">
        <v>39</v>
      </c>
      <c r="C96" s="610">
        <v>933397.48</v>
      </c>
      <c r="D96" s="610">
        <v>262686.89</v>
      </c>
      <c r="E96" s="610"/>
      <c r="F96" s="611"/>
      <c r="G96" s="610">
        <v>117252.7</v>
      </c>
      <c r="H96" s="610">
        <v>-7556.8</v>
      </c>
      <c r="I96" s="610"/>
      <c r="J96" s="610">
        <v>1236.3800000000001</v>
      </c>
      <c r="K96" s="610">
        <v>3482</v>
      </c>
      <c r="L96" s="610">
        <v>91808.1</v>
      </c>
      <c r="M96" s="434">
        <f t="shared" si="4"/>
        <v>1402306.75</v>
      </c>
      <c r="N96" s="612">
        <v>6024.7</v>
      </c>
      <c r="O96" s="612">
        <v>6411.1</v>
      </c>
      <c r="P96" s="612">
        <v>70279</v>
      </c>
      <c r="Q96" s="612"/>
      <c r="R96" s="612">
        <v>43469.95</v>
      </c>
      <c r="S96" s="610">
        <v>11463.78</v>
      </c>
      <c r="T96" s="543">
        <f t="shared" si="5"/>
        <v>1539955.28</v>
      </c>
      <c r="U96" s="575">
        <v>-25975.56</v>
      </c>
      <c r="V96" s="612"/>
      <c r="W96" s="612">
        <v>-1066.95</v>
      </c>
      <c r="X96" s="624">
        <v>66</v>
      </c>
      <c r="Y96" s="631">
        <v>1</v>
      </c>
      <c r="Z96" s="628">
        <f>VLOOKUP(A96,'[2]2022 toutes communes'!$B$9:$D$317,3,FALSE)</f>
        <v>450</v>
      </c>
      <c r="AA96" s="617"/>
      <c r="AB96" s="618">
        <v>38845</v>
      </c>
      <c r="AC96" s="547">
        <f>AB96/VPI!R96</f>
        <v>1.8487907960495382</v>
      </c>
      <c r="AD96" s="548">
        <f t="shared" si="6"/>
        <v>74859</v>
      </c>
      <c r="AE96" s="547">
        <f>AD96/VPI!R96</f>
        <v>3.56284284210252</v>
      </c>
      <c r="AF96" s="618">
        <v>113704</v>
      </c>
      <c r="AG96" s="618">
        <v>21170</v>
      </c>
      <c r="AH96" s="618">
        <v>58181</v>
      </c>
      <c r="AI96" s="627"/>
      <c r="AJ96" s="628">
        <v>0</v>
      </c>
      <c r="AK96" s="547">
        <f>AJ96/VPI!R96</f>
        <v>0</v>
      </c>
      <c r="AL96" s="548">
        <f t="shared" si="7"/>
        <v>13610</v>
      </c>
      <c r="AM96" s="547">
        <f>AL96/VPI!R96</f>
        <v>0.64775499380188484</v>
      </c>
      <c r="AN96" s="628">
        <v>13610</v>
      </c>
      <c r="AO96" s="627"/>
      <c r="AP96" s="629">
        <v>29.61977603186622</v>
      </c>
      <c r="AR96" s="630">
        <v>0</v>
      </c>
    </row>
    <row r="97" spans="1:1476" x14ac:dyDescent="0.25">
      <c r="A97" s="608">
        <v>5560</v>
      </c>
      <c r="B97" s="609" t="s">
        <v>40</v>
      </c>
      <c r="C97" s="610">
        <v>519910.96</v>
      </c>
      <c r="D97" s="610">
        <v>53106.58</v>
      </c>
      <c r="E97" s="610"/>
      <c r="F97" s="611"/>
      <c r="G97" s="610">
        <v>3264.7</v>
      </c>
      <c r="H97" s="610">
        <v>193.1</v>
      </c>
      <c r="I97" s="610"/>
      <c r="J97" s="610">
        <v>15847.25</v>
      </c>
      <c r="K97" s="610">
        <v>848</v>
      </c>
      <c r="L97" s="610">
        <v>44238.45</v>
      </c>
      <c r="M97" s="434">
        <f t="shared" si="4"/>
        <v>637409.03999999992</v>
      </c>
      <c r="N97" s="612">
        <v>0</v>
      </c>
      <c r="O97" s="612">
        <v>276.10000000000002</v>
      </c>
      <c r="P97" s="612">
        <v>19579.2</v>
      </c>
      <c r="Q97" s="612">
        <v>1592.27</v>
      </c>
      <c r="R97" s="612">
        <v>33441.699999999997</v>
      </c>
      <c r="S97" s="610">
        <v>361.36</v>
      </c>
      <c r="T97" s="543">
        <f t="shared" si="5"/>
        <v>692659.66999999981</v>
      </c>
      <c r="U97" s="575">
        <v>-636.38</v>
      </c>
      <c r="V97" s="612"/>
      <c r="W97" s="612">
        <v>0</v>
      </c>
      <c r="X97" s="624">
        <v>71</v>
      </c>
      <c r="Y97" s="631">
        <v>1</v>
      </c>
      <c r="Z97" s="628">
        <f>VLOOKUP(A97,'[2]2022 toutes communes'!$B$9:$D$317,3,FALSE)</f>
        <v>237</v>
      </c>
      <c r="AA97" s="617"/>
      <c r="AB97" s="618">
        <v>0</v>
      </c>
      <c r="AC97" s="547">
        <f>AB97/VPI!R97</f>
        <v>0</v>
      </c>
      <c r="AD97" s="548">
        <f t="shared" si="6"/>
        <v>19639</v>
      </c>
      <c r="AE97" s="547">
        <f>AD97/VPI!R97</f>
        <v>2.1830461996483654</v>
      </c>
      <c r="AF97" s="618">
        <v>19639</v>
      </c>
      <c r="AG97" s="618">
        <v>11374</v>
      </c>
      <c r="AH97" s="618">
        <v>34882</v>
      </c>
      <c r="AI97" s="627"/>
      <c r="AJ97" s="628">
        <v>0</v>
      </c>
      <c r="AK97" s="547">
        <f>AJ97/VPI!R97</f>
        <v>0</v>
      </c>
      <c r="AL97" s="548">
        <f t="shared" si="7"/>
        <v>18126</v>
      </c>
      <c r="AM97" s="547">
        <f>AL97/VPI!R97</f>
        <v>2.0148630487716419</v>
      </c>
      <c r="AN97" s="628">
        <v>18126</v>
      </c>
      <c r="AO97" s="627"/>
      <c r="AP97" s="629">
        <v>14.712205279572171</v>
      </c>
      <c r="AR97" s="630">
        <v>0</v>
      </c>
    </row>
    <row r="98" spans="1:1476" x14ac:dyDescent="0.25">
      <c r="A98" s="608">
        <v>5561</v>
      </c>
      <c r="B98" s="609" t="s">
        <v>41</v>
      </c>
      <c r="C98" s="610">
        <v>6397417.0499999998</v>
      </c>
      <c r="D98" s="610">
        <v>1775420.39</v>
      </c>
      <c r="E98" s="610"/>
      <c r="F98" s="611"/>
      <c r="G98" s="610">
        <v>224410.45</v>
      </c>
      <c r="H98" s="610">
        <v>8389.1</v>
      </c>
      <c r="I98" s="610"/>
      <c r="J98" s="610">
        <v>117291.84</v>
      </c>
      <c r="K98" s="610">
        <v>51810.55</v>
      </c>
      <c r="L98" s="610">
        <v>653055.30000000005</v>
      </c>
      <c r="M98" s="434">
        <f t="shared" si="4"/>
        <v>9227794.6799999997</v>
      </c>
      <c r="N98" s="612">
        <v>389122</v>
      </c>
      <c r="O98" s="612">
        <v>190582.8</v>
      </c>
      <c r="P98" s="612">
        <v>246820.6</v>
      </c>
      <c r="Q98" s="612">
        <v>22316.87</v>
      </c>
      <c r="R98" s="612">
        <v>212566.15</v>
      </c>
      <c r="S98" s="610">
        <v>24328.75</v>
      </c>
      <c r="T98" s="543">
        <f t="shared" si="5"/>
        <v>10313531.85</v>
      </c>
      <c r="U98" s="575">
        <v>-139695.73000000001</v>
      </c>
      <c r="V98" s="612"/>
      <c r="W98" s="612">
        <v>-794.64</v>
      </c>
      <c r="X98" s="624">
        <v>69</v>
      </c>
      <c r="Y98" s="631">
        <v>1</v>
      </c>
      <c r="Z98" s="628">
        <f>VLOOKUP(A98,'[2]2022 toutes communes'!$B$9:$D$317,3,FALSE)</f>
        <v>3358</v>
      </c>
      <c r="AA98" s="617"/>
      <c r="AB98" s="618">
        <v>533489</v>
      </c>
      <c r="AC98" s="547">
        <f>AB98/VPI!R98</f>
        <v>4.0301010277160563</v>
      </c>
      <c r="AD98" s="548">
        <f t="shared" si="6"/>
        <v>942831</v>
      </c>
      <c r="AE98" s="547">
        <f>AD98/VPI!R98</f>
        <v>7.1223665006449179</v>
      </c>
      <c r="AF98" s="618">
        <v>1476320</v>
      </c>
      <c r="AG98" s="618">
        <v>402143</v>
      </c>
      <c r="AH98" s="618">
        <v>455098</v>
      </c>
      <c r="AI98" s="627"/>
      <c r="AJ98" s="628">
        <v>0</v>
      </c>
      <c r="AK98" s="547">
        <f>AJ98/VPI!R98</f>
        <v>0</v>
      </c>
      <c r="AL98" s="548">
        <f t="shared" si="7"/>
        <v>53077</v>
      </c>
      <c r="AM98" s="547">
        <f>AL98/VPI!R98</f>
        <v>0.40095610640160362</v>
      </c>
      <c r="AN98" s="628">
        <v>53077</v>
      </c>
      <c r="AO98" s="627"/>
      <c r="AP98" s="629">
        <v>14.033166731542035</v>
      </c>
      <c r="AR98" s="630">
        <v>0</v>
      </c>
    </row>
    <row r="99" spans="1:1476" s="632" customFormat="1" x14ac:dyDescent="0.25">
      <c r="A99" s="608">
        <v>5562</v>
      </c>
      <c r="B99" s="609" t="s">
        <v>42</v>
      </c>
      <c r="C99" s="610">
        <v>158684.51999999999</v>
      </c>
      <c r="D99" s="610">
        <v>120006.13</v>
      </c>
      <c r="E99" s="610"/>
      <c r="F99" s="611">
        <v>890</v>
      </c>
      <c r="G99" s="610">
        <v>2939.85</v>
      </c>
      <c r="H99" s="610">
        <v>99.9</v>
      </c>
      <c r="I99" s="610"/>
      <c r="J99" s="610">
        <v>12079.41</v>
      </c>
      <c r="K99" s="610">
        <v>-4515.5</v>
      </c>
      <c r="L99" s="610">
        <v>39090.85</v>
      </c>
      <c r="M99" s="434">
        <f t="shared" si="4"/>
        <v>329275.15999999997</v>
      </c>
      <c r="N99" s="612">
        <v>0</v>
      </c>
      <c r="O99" s="612">
        <v>0</v>
      </c>
      <c r="P99" s="612">
        <v>8098</v>
      </c>
      <c r="Q99" s="612">
        <v>3907.3</v>
      </c>
      <c r="R99" s="612"/>
      <c r="S99" s="610">
        <v>317.67</v>
      </c>
      <c r="T99" s="543">
        <f t="shared" si="5"/>
        <v>341598.12999999995</v>
      </c>
      <c r="U99" s="575">
        <v>-7794</v>
      </c>
      <c r="V99" s="612"/>
      <c r="W99" s="612">
        <v>-1.45</v>
      </c>
      <c r="X99" s="624">
        <v>70</v>
      </c>
      <c r="Y99" s="631">
        <v>1.2</v>
      </c>
      <c r="Z99" s="628">
        <f>VLOOKUP(A99,'[2]2022 toutes communes'!$B$9:$D$317,3,FALSE)</f>
        <v>138</v>
      </c>
      <c r="AA99" s="617"/>
      <c r="AB99" s="618">
        <v>0</v>
      </c>
      <c r="AC99" s="547">
        <f>AB99/VPI!R99</f>
        <v>0</v>
      </c>
      <c r="AD99" s="548">
        <f t="shared" si="6"/>
        <v>22420</v>
      </c>
      <c r="AE99" s="547">
        <f>AD99/VPI!R99</f>
        <v>4.916827813952529</v>
      </c>
      <c r="AF99" s="618">
        <v>22420</v>
      </c>
      <c r="AG99" s="618">
        <v>6547</v>
      </c>
      <c r="AH99" s="618">
        <v>12503</v>
      </c>
      <c r="AI99" s="627"/>
      <c r="AJ99" s="628">
        <v>0</v>
      </c>
      <c r="AK99" s="547">
        <f>AJ99/VPI!R99</f>
        <v>0</v>
      </c>
      <c r="AL99" s="548">
        <f t="shared" si="7"/>
        <v>13707</v>
      </c>
      <c r="AM99" s="547">
        <f>AL99/VPI!R99</f>
        <v>3.0060195738558124</v>
      </c>
      <c r="AN99" s="628">
        <v>13707</v>
      </c>
      <c r="AO99" s="627"/>
      <c r="AP99" s="629">
        <v>26.349277969841719</v>
      </c>
      <c r="AQ99" s="575"/>
      <c r="AR99" s="630">
        <v>0</v>
      </c>
      <c r="AS99" s="575"/>
      <c r="AT99" s="575"/>
      <c r="AU99" s="575"/>
      <c r="AV99" s="575"/>
      <c r="AW99" s="575"/>
      <c r="AX99" s="575"/>
      <c r="AY99" s="575"/>
      <c r="AZ99" s="575"/>
      <c r="BA99" s="575"/>
      <c r="BB99" s="575"/>
      <c r="BC99" s="575"/>
      <c r="BD99" s="575"/>
      <c r="BE99" s="575"/>
      <c r="BF99" s="575"/>
      <c r="BG99" s="575"/>
      <c r="BH99" s="575"/>
      <c r="BI99" s="575"/>
      <c r="BJ99" s="575"/>
      <c r="BK99" s="575"/>
      <c r="BL99" s="575"/>
      <c r="BM99" s="575"/>
      <c r="BN99" s="575"/>
      <c r="BO99" s="575"/>
      <c r="BP99" s="575"/>
      <c r="BQ99" s="575"/>
      <c r="BR99" s="575"/>
      <c r="BS99" s="575"/>
      <c r="BT99" s="575"/>
      <c r="BU99" s="575"/>
      <c r="BV99" s="575"/>
      <c r="BW99" s="575"/>
      <c r="BX99" s="575"/>
      <c r="BY99" s="575"/>
      <c r="BZ99" s="575"/>
      <c r="CA99" s="575"/>
      <c r="CB99" s="575"/>
      <c r="CC99" s="575"/>
      <c r="CD99" s="575"/>
      <c r="CE99" s="575"/>
      <c r="CF99" s="575"/>
      <c r="CG99" s="575"/>
      <c r="CH99" s="575"/>
      <c r="CI99" s="575"/>
      <c r="CJ99" s="575"/>
      <c r="CK99" s="575"/>
      <c r="CL99" s="575"/>
      <c r="CM99" s="575"/>
      <c r="CN99" s="575"/>
      <c r="CO99" s="575"/>
      <c r="CP99" s="575"/>
      <c r="CQ99" s="575"/>
      <c r="CR99" s="575"/>
      <c r="CS99" s="575"/>
      <c r="CT99" s="575"/>
      <c r="CU99" s="575"/>
      <c r="CV99" s="575"/>
      <c r="CW99" s="575"/>
      <c r="CX99" s="575"/>
      <c r="CY99" s="575"/>
      <c r="CZ99" s="575"/>
      <c r="DA99" s="575"/>
      <c r="DB99" s="575"/>
      <c r="DC99" s="575"/>
      <c r="DD99" s="575"/>
      <c r="DE99" s="575"/>
      <c r="DF99" s="575"/>
      <c r="DG99" s="575"/>
      <c r="DH99" s="575"/>
      <c r="DI99" s="575"/>
      <c r="DJ99" s="575"/>
      <c r="DK99" s="575"/>
      <c r="DL99" s="575"/>
      <c r="DM99" s="575"/>
      <c r="DN99" s="575"/>
      <c r="DO99" s="575"/>
      <c r="DP99" s="575"/>
      <c r="DQ99" s="575"/>
      <c r="DR99" s="575"/>
      <c r="DS99" s="575"/>
      <c r="DT99" s="575"/>
      <c r="DU99" s="575"/>
      <c r="DV99" s="575"/>
      <c r="DW99" s="575"/>
      <c r="DX99" s="575"/>
      <c r="DY99" s="575"/>
      <c r="DZ99" s="575"/>
      <c r="EA99" s="575"/>
      <c r="EB99" s="575"/>
      <c r="EC99" s="575"/>
      <c r="ED99" s="575"/>
      <c r="EE99" s="575"/>
      <c r="EF99" s="575"/>
      <c r="EG99" s="575"/>
      <c r="EH99" s="575"/>
      <c r="EI99" s="575"/>
      <c r="EJ99" s="575"/>
      <c r="EK99" s="575"/>
      <c r="EL99" s="575"/>
      <c r="EM99" s="575"/>
      <c r="EN99" s="575"/>
      <c r="EO99" s="575"/>
      <c r="EP99" s="575"/>
      <c r="EQ99" s="575"/>
      <c r="ER99" s="575"/>
      <c r="ES99" s="575"/>
      <c r="ET99" s="575"/>
      <c r="EU99" s="575"/>
      <c r="EV99" s="575"/>
      <c r="EW99" s="575"/>
      <c r="EX99" s="575"/>
      <c r="EY99" s="575"/>
      <c r="EZ99" s="575"/>
      <c r="FA99" s="575"/>
      <c r="FB99" s="575"/>
      <c r="FC99" s="575"/>
      <c r="FD99" s="575"/>
      <c r="FE99" s="575"/>
      <c r="FF99" s="575"/>
      <c r="FG99" s="575"/>
      <c r="FH99" s="575"/>
      <c r="FI99" s="575"/>
      <c r="FJ99" s="575"/>
      <c r="FK99" s="575"/>
      <c r="FL99" s="575"/>
      <c r="FM99" s="575"/>
      <c r="FN99" s="575"/>
      <c r="FO99" s="575"/>
      <c r="FP99" s="575"/>
      <c r="FQ99" s="575"/>
      <c r="FR99" s="575"/>
      <c r="FS99" s="575"/>
      <c r="FT99" s="575"/>
      <c r="FU99" s="575"/>
      <c r="FV99" s="575"/>
      <c r="FW99" s="575"/>
      <c r="FX99" s="575"/>
      <c r="FY99" s="575"/>
      <c r="FZ99" s="575"/>
      <c r="GA99" s="575"/>
      <c r="GB99" s="575"/>
      <c r="GC99" s="575"/>
      <c r="GD99" s="575"/>
      <c r="GE99" s="575"/>
      <c r="GF99" s="575"/>
      <c r="GG99" s="575"/>
      <c r="GH99" s="575"/>
      <c r="GI99" s="575"/>
      <c r="GJ99" s="575"/>
      <c r="GK99" s="575"/>
      <c r="GL99" s="575"/>
      <c r="GM99" s="575"/>
      <c r="GN99" s="575"/>
      <c r="GO99" s="575"/>
      <c r="GP99" s="575"/>
      <c r="GQ99" s="575"/>
      <c r="GR99" s="575"/>
      <c r="GS99" s="575"/>
      <c r="GT99" s="575"/>
      <c r="GU99" s="575"/>
      <c r="GV99" s="575"/>
      <c r="GW99" s="575"/>
      <c r="GX99" s="575"/>
      <c r="GY99" s="575"/>
      <c r="GZ99" s="575"/>
      <c r="HA99" s="575"/>
      <c r="HB99" s="575"/>
      <c r="HC99" s="575"/>
      <c r="HD99" s="575"/>
      <c r="HE99" s="575"/>
      <c r="HF99" s="575"/>
      <c r="HG99" s="575"/>
      <c r="HH99" s="575"/>
      <c r="HI99" s="575"/>
      <c r="HJ99" s="575"/>
      <c r="HK99" s="575"/>
      <c r="HL99" s="575"/>
      <c r="HM99" s="575"/>
      <c r="HN99" s="575"/>
      <c r="HO99" s="575"/>
      <c r="HP99" s="575"/>
      <c r="HQ99" s="575"/>
      <c r="HR99" s="575"/>
      <c r="HS99" s="575"/>
      <c r="HT99" s="575"/>
      <c r="HU99" s="575"/>
      <c r="HV99" s="575"/>
      <c r="HW99" s="575"/>
      <c r="HX99" s="575"/>
      <c r="HY99" s="575"/>
      <c r="HZ99" s="575"/>
      <c r="IA99" s="575"/>
      <c r="IB99" s="575"/>
      <c r="IC99" s="575"/>
      <c r="ID99" s="575"/>
      <c r="IE99" s="575"/>
      <c r="IF99" s="575"/>
      <c r="IG99" s="575"/>
      <c r="IH99" s="575"/>
      <c r="II99" s="575"/>
      <c r="IJ99" s="575"/>
      <c r="IK99" s="575"/>
      <c r="IL99" s="575"/>
      <c r="IM99" s="575"/>
      <c r="IN99" s="575"/>
      <c r="IO99" s="575"/>
      <c r="IP99" s="575"/>
      <c r="IQ99" s="575"/>
      <c r="IR99" s="575"/>
      <c r="IS99" s="575"/>
      <c r="IT99" s="575"/>
      <c r="IU99" s="575"/>
      <c r="IV99" s="575"/>
      <c r="IW99" s="575"/>
      <c r="IX99" s="575"/>
      <c r="IY99" s="575"/>
      <c r="IZ99" s="575"/>
      <c r="JA99" s="575"/>
      <c r="JB99" s="575"/>
      <c r="JC99" s="575"/>
      <c r="JD99" s="575"/>
      <c r="JE99" s="575"/>
      <c r="JF99" s="575"/>
      <c r="JG99" s="575"/>
      <c r="JH99" s="575"/>
      <c r="JI99" s="575"/>
      <c r="JJ99" s="575"/>
      <c r="JK99" s="575"/>
      <c r="JL99" s="575"/>
      <c r="JM99" s="575"/>
      <c r="JN99" s="575"/>
      <c r="JO99" s="575"/>
      <c r="JP99" s="575"/>
      <c r="JQ99" s="575"/>
      <c r="JR99" s="575"/>
      <c r="JS99" s="575"/>
      <c r="JT99" s="575"/>
      <c r="JU99" s="575"/>
      <c r="JV99" s="575"/>
      <c r="JW99" s="575"/>
      <c r="JX99" s="575"/>
      <c r="JY99" s="575"/>
      <c r="JZ99" s="575"/>
      <c r="KA99" s="575"/>
      <c r="KB99" s="575"/>
      <c r="KC99" s="575"/>
      <c r="KD99" s="575"/>
      <c r="KE99" s="575"/>
      <c r="KF99" s="575"/>
      <c r="KG99" s="575"/>
      <c r="KH99" s="575"/>
      <c r="KI99" s="575"/>
      <c r="KJ99" s="575"/>
      <c r="KK99" s="575"/>
      <c r="KL99" s="575"/>
      <c r="KM99" s="575"/>
      <c r="KN99" s="575"/>
      <c r="KO99" s="575"/>
      <c r="KP99" s="575"/>
      <c r="KQ99" s="575"/>
      <c r="KR99" s="575"/>
      <c r="KS99" s="575"/>
      <c r="KT99" s="575"/>
      <c r="KU99" s="575"/>
      <c r="KV99" s="575"/>
      <c r="KW99" s="575"/>
      <c r="KX99" s="575"/>
      <c r="KY99" s="575"/>
      <c r="KZ99" s="575"/>
      <c r="LA99" s="575"/>
      <c r="LB99" s="575"/>
      <c r="LC99" s="575"/>
      <c r="LD99" s="575"/>
      <c r="LE99" s="575"/>
      <c r="LF99" s="575"/>
      <c r="LG99" s="575"/>
      <c r="LH99" s="575"/>
      <c r="LI99" s="575"/>
      <c r="LJ99" s="575"/>
      <c r="LK99" s="575"/>
      <c r="LL99" s="575"/>
      <c r="LM99" s="575"/>
      <c r="LN99" s="575"/>
      <c r="LO99" s="575"/>
      <c r="LP99" s="575"/>
      <c r="LQ99" s="575"/>
      <c r="LR99" s="575"/>
      <c r="LS99" s="575"/>
      <c r="LT99" s="575"/>
      <c r="LU99" s="575"/>
      <c r="LV99" s="575"/>
      <c r="LW99" s="575"/>
      <c r="LX99" s="575"/>
      <c r="LY99" s="575"/>
      <c r="LZ99" s="575"/>
      <c r="MA99" s="575"/>
      <c r="MB99" s="575"/>
      <c r="MC99" s="575"/>
      <c r="MD99" s="575"/>
      <c r="ME99" s="575"/>
      <c r="MF99" s="575"/>
      <c r="MG99" s="575"/>
      <c r="MH99" s="575"/>
      <c r="MI99" s="575"/>
      <c r="MJ99" s="575"/>
      <c r="MK99" s="575"/>
      <c r="ML99" s="575"/>
      <c r="MM99" s="575"/>
      <c r="MN99" s="575"/>
      <c r="MO99" s="575"/>
      <c r="MP99" s="575"/>
      <c r="MQ99" s="575"/>
      <c r="MR99" s="575"/>
      <c r="MS99" s="575"/>
      <c r="MT99" s="575"/>
      <c r="MU99" s="575"/>
      <c r="MV99" s="575"/>
      <c r="MW99" s="575"/>
      <c r="MX99" s="575"/>
      <c r="MY99" s="575"/>
      <c r="MZ99" s="575"/>
      <c r="NA99" s="575"/>
      <c r="NB99" s="575"/>
      <c r="NC99" s="575"/>
      <c r="ND99" s="575"/>
      <c r="NE99" s="575"/>
      <c r="NF99" s="575"/>
      <c r="NG99" s="575"/>
      <c r="NH99" s="575"/>
      <c r="NI99" s="575"/>
      <c r="NJ99" s="575"/>
      <c r="NK99" s="575"/>
      <c r="NL99" s="575"/>
      <c r="NM99" s="575"/>
      <c r="NN99" s="575"/>
      <c r="NO99" s="575"/>
      <c r="NP99" s="575"/>
      <c r="NQ99" s="575"/>
      <c r="NR99" s="575"/>
      <c r="NS99" s="575"/>
      <c r="NT99" s="575"/>
      <c r="NU99" s="575"/>
      <c r="NV99" s="575"/>
      <c r="NW99" s="575"/>
      <c r="NX99" s="575"/>
      <c r="NY99" s="575"/>
      <c r="NZ99" s="575"/>
      <c r="OA99" s="575"/>
      <c r="OB99" s="575"/>
      <c r="OC99" s="575"/>
      <c r="OD99" s="575"/>
      <c r="OE99" s="575"/>
      <c r="OF99" s="575"/>
      <c r="OG99" s="575"/>
      <c r="OH99" s="575"/>
      <c r="OI99" s="575"/>
      <c r="OJ99" s="575"/>
      <c r="OK99" s="575"/>
      <c r="OL99" s="575"/>
      <c r="OM99" s="575"/>
      <c r="ON99" s="575"/>
      <c r="OO99" s="575"/>
      <c r="OP99" s="575"/>
      <c r="OQ99" s="575"/>
      <c r="OR99" s="575"/>
      <c r="OS99" s="575"/>
      <c r="OT99" s="575"/>
      <c r="OU99" s="575"/>
      <c r="OV99" s="575"/>
      <c r="OW99" s="575"/>
      <c r="OX99" s="575"/>
      <c r="OY99" s="575"/>
      <c r="OZ99" s="575"/>
      <c r="PA99" s="575"/>
      <c r="PB99" s="575"/>
      <c r="PC99" s="575"/>
      <c r="PD99" s="575"/>
      <c r="PE99" s="575"/>
      <c r="PF99" s="575"/>
      <c r="PG99" s="575"/>
      <c r="PH99" s="575"/>
      <c r="PI99" s="575"/>
      <c r="PJ99" s="575"/>
      <c r="PK99" s="575"/>
      <c r="PL99" s="575"/>
      <c r="PM99" s="575"/>
      <c r="PN99" s="575"/>
      <c r="PO99" s="575"/>
      <c r="PP99" s="575"/>
      <c r="PQ99" s="575"/>
      <c r="PR99" s="575"/>
      <c r="PS99" s="575"/>
      <c r="PT99" s="575"/>
      <c r="PU99" s="575"/>
      <c r="PV99" s="575"/>
      <c r="PW99" s="575"/>
      <c r="PX99" s="575"/>
      <c r="PY99" s="575"/>
      <c r="PZ99" s="575"/>
      <c r="QA99" s="575"/>
      <c r="QB99" s="575"/>
      <c r="QC99" s="575"/>
      <c r="QD99" s="575"/>
      <c r="QE99" s="575"/>
      <c r="QF99" s="575"/>
      <c r="QG99" s="575"/>
      <c r="QH99" s="575"/>
      <c r="QI99" s="575"/>
      <c r="QJ99" s="575"/>
      <c r="QK99" s="575"/>
      <c r="QL99" s="575"/>
      <c r="QM99" s="575"/>
      <c r="QN99" s="575"/>
      <c r="QO99" s="575"/>
      <c r="QP99" s="575"/>
      <c r="QQ99" s="575"/>
      <c r="QR99" s="575"/>
      <c r="QS99" s="575"/>
      <c r="QT99" s="575"/>
      <c r="QU99" s="575"/>
      <c r="QV99" s="575"/>
      <c r="QW99" s="575"/>
      <c r="QX99" s="575"/>
      <c r="QY99" s="575"/>
      <c r="QZ99" s="575"/>
      <c r="RA99" s="575"/>
      <c r="RB99" s="575"/>
      <c r="RC99" s="575"/>
      <c r="RD99" s="575"/>
      <c r="RE99" s="575"/>
      <c r="RF99" s="575"/>
      <c r="RG99" s="575"/>
      <c r="RH99" s="575"/>
      <c r="RI99" s="575"/>
      <c r="RJ99" s="575"/>
      <c r="RK99" s="575"/>
      <c r="RL99" s="575"/>
      <c r="RM99" s="575"/>
      <c r="RN99" s="575"/>
      <c r="RO99" s="575"/>
      <c r="RP99" s="575"/>
      <c r="RQ99" s="575"/>
      <c r="RR99" s="575"/>
      <c r="RS99" s="575"/>
      <c r="RT99" s="575"/>
      <c r="RU99" s="575"/>
      <c r="RV99" s="575"/>
      <c r="RW99" s="575"/>
      <c r="RX99" s="575"/>
      <c r="RY99" s="575"/>
      <c r="RZ99" s="575"/>
      <c r="SA99" s="575"/>
      <c r="SB99" s="575"/>
      <c r="SC99" s="575"/>
      <c r="SD99" s="575"/>
      <c r="SE99" s="575"/>
      <c r="SF99" s="575"/>
      <c r="SG99" s="575"/>
      <c r="SH99" s="575"/>
      <c r="SI99" s="575"/>
      <c r="SJ99" s="575"/>
      <c r="SK99" s="575"/>
      <c r="SL99" s="575"/>
      <c r="SM99" s="575"/>
      <c r="SN99" s="575"/>
      <c r="SO99" s="575"/>
      <c r="SP99" s="575"/>
      <c r="SQ99" s="575"/>
      <c r="SR99" s="575"/>
      <c r="SS99" s="575"/>
      <c r="ST99" s="575"/>
      <c r="SU99" s="575"/>
      <c r="SV99" s="575"/>
      <c r="SW99" s="575"/>
      <c r="SX99" s="575"/>
      <c r="SY99" s="575"/>
      <c r="SZ99" s="575"/>
      <c r="TA99" s="575"/>
      <c r="TB99" s="575"/>
      <c r="TC99" s="575"/>
      <c r="TD99" s="575"/>
      <c r="TE99" s="575"/>
      <c r="TF99" s="575"/>
      <c r="TG99" s="575"/>
      <c r="TH99" s="575"/>
      <c r="TI99" s="575"/>
      <c r="TJ99" s="575"/>
      <c r="TK99" s="575"/>
      <c r="TL99" s="575"/>
      <c r="TM99" s="575"/>
      <c r="TN99" s="575"/>
      <c r="TO99" s="575"/>
      <c r="TP99" s="575"/>
      <c r="TQ99" s="575"/>
      <c r="TR99" s="575"/>
      <c r="TS99" s="575"/>
      <c r="TT99" s="575"/>
      <c r="TU99" s="575"/>
      <c r="TV99" s="575"/>
      <c r="TW99" s="575"/>
      <c r="TX99" s="575"/>
      <c r="TY99" s="575"/>
      <c r="TZ99" s="575"/>
      <c r="UA99" s="575"/>
      <c r="UB99" s="575"/>
      <c r="UC99" s="575"/>
      <c r="UD99" s="575"/>
      <c r="UE99" s="575"/>
      <c r="UF99" s="575"/>
      <c r="UG99" s="575"/>
      <c r="UH99" s="575"/>
      <c r="UI99" s="575"/>
      <c r="UJ99" s="575"/>
      <c r="UK99" s="575"/>
      <c r="UL99" s="575"/>
      <c r="UM99" s="575"/>
      <c r="UN99" s="575"/>
      <c r="UO99" s="575"/>
      <c r="UP99" s="575"/>
      <c r="UQ99" s="575"/>
      <c r="UR99" s="575"/>
      <c r="US99" s="575"/>
      <c r="UT99" s="575"/>
      <c r="UU99" s="575"/>
      <c r="UV99" s="575"/>
      <c r="UW99" s="575"/>
      <c r="UX99" s="575"/>
      <c r="UY99" s="575"/>
      <c r="UZ99" s="575"/>
      <c r="VA99" s="575"/>
      <c r="VB99" s="575"/>
      <c r="VC99" s="575"/>
      <c r="VD99" s="575"/>
      <c r="VE99" s="575"/>
      <c r="VF99" s="575"/>
      <c r="VG99" s="575"/>
      <c r="VH99" s="575"/>
      <c r="VI99" s="575"/>
      <c r="VJ99" s="575"/>
      <c r="VK99" s="575"/>
      <c r="VL99" s="575"/>
      <c r="VM99" s="575"/>
      <c r="VN99" s="575"/>
      <c r="VO99" s="575"/>
      <c r="VP99" s="575"/>
      <c r="VQ99" s="575"/>
      <c r="VR99" s="575"/>
      <c r="VS99" s="575"/>
      <c r="VT99" s="575"/>
      <c r="VU99" s="575"/>
      <c r="VV99" s="575"/>
      <c r="VW99" s="575"/>
      <c r="VX99" s="575"/>
      <c r="VY99" s="575"/>
      <c r="VZ99" s="575"/>
      <c r="WA99" s="575"/>
      <c r="WB99" s="575"/>
      <c r="WC99" s="575"/>
      <c r="WD99" s="575"/>
      <c r="WE99" s="575"/>
      <c r="WF99" s="575"/>
      <c r="WG99" s="575"/>
      <c r="WH99" s="575"/>
      <c r="WI99" s="575"/>
      <c r="WJ99" s="575"/>
      <c r="WK99" s="575"/>
      <c r="WL99" s="575"/>
      <c r="WM99" s="575"/>
      <c r="WN99" s="575"/>
      <c r="WO99" s="575"/>
      <c r="WP99" s="575"/>
      <c r="WQ99" s="575"/>
      <c r="WR99" s="575"/>
      <c r="WS99" s="575"/>
      <c r="WT99" s="575"/>
      <c r="WU99" s="575"/>
      <c r="WV99" s="575"/>
      <c r="WW99" s="575"/>
      <c r="WX99" s="575"/>
      <c r="WY99" s="575"/>
      <c r="WZ99" s="575"/>
      <c r="XA99" s="575"/>
      <c r="XB99" s="575"/>
      <c r="XC99" s="575"/>
      <c r="XD99" s="575"/>
      <c r="XE99" s="575"/>
      <c r="XF99" s="575"/>
      <c r="XG99" s="575"/>
      <c r="XH99" s="575"/>
      <c r="XI99" s="575"/>
      <c r="XJ99" s="575"/>
      <c r="XK99" s="575"/>
      <c r="XL99" s="575"/>
      <c r="XM99" s="575"/>
      <c r="XN99" s="575"/>
      <c r="XO99" s="575"/>
      <c r="XP99" s="575"/>
      <c r="XQ99" s="575"/>
      <c r="XR99" s="575"/>
      <c r="XS99" s="575"/>
      <c r="XT99" s="575"/>
      <c r="XU99" s="575"/>
      <c r="XV99" s="575"/>
      <c r="XW99" s="575"/>
      <c r="XX99" s="575"/>
      <c r="XY99" s="575"/>
      <c r="XZ99" s="575"/>
      <c r="YA99" s="575"/>
      <c r="YB99" s="575"/>
      <c r="YC99" s="575"/>
      <c r="YD99" s="575"/>
      <c r="YE99" s="575"/>
      <c r="YF99" s="575"/>
      <c r="YG99" s="575"/>
      <c r="YH99" s="575"/>
      <c r="YI99" s="575"/>
      <c r="YJ99" s="575"/>
      <c r="YK99" s="575"/>
      <c r="YL99" s="575"/>
      <c r="YM99" s="575"/>
      <c r="YN99" s="575"/>
      <c r="YO99" s="575"/>
      <c r="YP99" s="575"/>
      <c r="YQ99" s="575"/>
      <c r="YR99" s="575"/>
      <c r="YS99" s="575"/>
      <c r="YT99" s="575"/>
      <c r="YU99" s="575"/>
      <c r="YV99" s="575"/>
      <c r="YW99" s="575"/>
      <c r="YX99" s="575"/>
      <c r="YY99" s="575"/>
      <c r="YZ99" s="575"/>
      <c r="ZA99" s="575"/>
      <c r="ZB99" s="575"/>
      <c r="ZC99" s="575"/>
      <c r="ZD99" s="575"/>
      <c r="ZE99" s="575"/>
      <c r="ZF99" s="575"/>
      <c r="ZG99" s="575"/>
      <c r="ZH99" s="575"/>
      <c r="ZI99" s="575"/>
      <c r="ZJ99" s="575"/>
      <c r="ZK99" s="575"/>
      <c r="ZL99" s="575"/>
      <c r="ZM99" s="575"/>
      <c r="ZN99" s="575"/>
      <c r="ZO99" s="575"/>
      <c r="ZP99" s="575"/>
      <c r="ZQ99" s="575"/>
      <c r="ZR99" s="575"/>
      <c r="ZS99" s="575"/>
      <c r="ZT99" s="575"/>
      <c r="ZU99" s="575"/>
      <c r="ZV99" s="575"/>
      <c r="ZW99" s="575"/>
      <c r="ZX99" s="575"/>
      <c r="ZY99" s="575"/>
      <c r="ZZ99" s="575"/>
      <c r="AAA99" s="575"/>
      <c r="AAB99" s="575"/>
      <c r="AAC99" s="575"/>
      <c r="AAD99" s="575"/>
      <c r="AAE99" s="575"/>
      <c r="AAF99" s="575"/>
      <c r="AAG99" s="575"/>
      <c r="AAH99" s="575"/>
      <c r="AAI99" s="575"/>
      <c r="AAJ99" s="575"/>
      <c r="AAK99" s="575"/>
      <c r="AAL99" s="575"/>
      <c r="AAM99" s="575"/>
      <c r="AAN99" s="575"/>
      <c r="AAO99" s="575"/>
      <c r="AAP99" s="575"/>
      <c r="AAQ99" s="575"/>
      <c r="AAR99" s="575"/>
      <c r="AAS99" s="575"/>
      <c r="AAT99" s="575"/>
      <c r="AAU99" s="575"/>
      <c r="AAV99" s="575"/>
      <c r="AAW99" s="575"/>
      <c r="AAX99" s="575"/>
      <c r="AAY99" s="575"/>
      <c r="AAZ99" s="575"/>
      <c r="ABA99" s="575"/>
      <c r="ABB99" s="575"/>
      <c r="ABC99" s="575"/>
      <c r="ABD99" s="575"/>
      <c r="ABE99" s="575"/>
      <c r="ABF99" s="575"/>
      <c r="ABG99" s="575"/>
      <c r="ABH99" s="575"/>
      <c r="ABI99" s="575"/>
      <c r="ABJ99" s="575"/>
      <c r="ABK99" s="575"/>
      <c r="ABL99" s="575"/>
      <c r="ABM99" s="575"/>
      <c r="ABN99" s="575"/>
      <c r="ABO99" s="575"/>
      <c r="ABP99" s="575"/>
      <c r="ABQ99" s="575"/>
      <c r="ABR99" s="575"/>
      <c r="ABS99" s="575"/>
      <c r="ABT99" s="575"/>
      <c r="ABU99" s="575"/>
      <c r="ABV99" s="575"/>
      <c r="ABW99" s="575"/>
      <c r="ABX99" s="575"/>
      <c r="ABY99" s="575"/>
      <c r="ABZ99" s="575"/>
      <c r="ACA99" s="575"/>
      <c r="ACB99" s="575"/>
      <c r="ACC99" s="575"/>
      <c r="ACD99" s="575"/>
      <c r="ACE99" s="575"/>
      <c r="ACF99" s="575"/>
      <c r="ACG99" s="575"/>
      <c r="ACH99" s="575"/>
      <c r="ACI99" s="575"/>
      <c r="ACJ99" s="575"/>
      <c r="ACK99" s="575"/>
      <c r="ACL99" s="575"/>
      <c r="ACM99" s="575"/>
      <c r="ACN99" s="575"/>
      <c r="ACO99" s="575"/>
      <c r="ACP99" s="575"/>
      <c r="ACQ99" s="575"/>
      <c r="ACR99" s="575"/>
      <c r="ACS99" s="575"/>
      <c r="ACT99" s="575"/>
      <c r="ACU99" s="575"/>
      <c r="ACV99" s="575"/>
      <c r="ACW99" s="575"/>
      <c r="ACX99" s="575"/>
      <c r="ACY99" s="575"/>
      <c r="ACZ99" s="575"/>
      <c r="ADA99" s="575"/>
      <c r="ADB99" s="575"/>
      <c r="ADC99" s="575"/>
      <c r="ADD99" s="575"/>
      <c r="ADE99" s="575"/>
      <c r="ADF99" s="575"/>
      <c r="ADG99" s="575"/>
      <c r="ADH99" s="575"/>
      <c r="ADI99" s="575"/>
      <c r="ADJ99" s="575"/>
      <c r="ADK99" s="575"/>
      <c r="ADL99" s="575"/>
      <c r="ADM99" s="575"/>
      <c r="ADN99" s="575"/>
      <c r="ADO99" s="575"/>
      <c r="ADP99" s="575"/>
      <c r="ADQ99" s="575"/>
      <c r="ADR99" s="575"/>
      <c r="ADS99" s="575"/>
      <c r="ADT99" s="575"/>
      <c r="ADU99" s="575"/>
      <c r="ADV99" s="575"/>
      <c r="ADW99" s="575"/>
      <c r="ADX99" s="575"/>
      <c r="ADY99" s="575"/>
      <c r="ADZ99" s="575"/>
      <c r="AEA99" s="575"/>
      <c r="AEB99" s="575"/>
      <c r="AEC99" s="575"/>
      <c r="AED99" s="575"/>
      <c r="AEE99" s="575"/>
      <c r="AEF99" s="575"/>
      <c r="AEG99" s="575"/>
      <c r="AEH99" s="575"/>
      <c r="AEI99" s="575"/>
      <c r="AEJ99" s="575"/>
      <c r="AEK99" s="575"/>
      <c r="AEL99" s="575"/>
      <c r="AEM99" s="575"/>
      <c r="AEN99" s="575"/>
      <c r="AEO99" s="575"/>
      <c r="AEP99" s="575"/>
      <c r="AEQ99" s="575"/>
      <c r="AER99" s="575"/>
      <c r="AES99" s="575"/>
      <c r="AET99" s="575"/>
      <c r="AEU99" s="575"/>
      <c r="AEV99" s="575"/>
      <c r="AEW99" s="575"/>
      <c r="AEX99" s="575"/>
      <c r="AEY99" s="575"/>
      <c r="AEZ99" s="575"/>
      <c r="AFA99" s="575"/>
      <c r="AFB99" s="575"/>
      <c r="AFC99" s="575"/>
      <c r="AFD99" s="575"/>
      <c r="AFE99" s="575"/>
      <c r="AFF99" s="575"/>
      <c r="AFG99" s="575"/>
      <c r="AFH99" s="575"/>
      <c r="AFI99" s="575"/>
      <c r="AFJ99" s="575"/>
      <c r="AFK99" s="575"/>
      <c r="AFL99" s="575"/>
      <c r="AFM99" s="575"/>
      <c r="AFN99" s="575"/>
      <c r="AFO99" s="575"/>
      <c r="AFP99" s="575"/>
      <c r="AFQ99" s="575"/>
      <c r="AFR99" s="575"/>
      <c r="AFS99" s="575"/>
      <c r="AFT99" s="575"/>
      <c r="AFU99" s="575"/>
      <c r="AFV99" s="575"/>
      <c r="AFW99" s="575"/>
      <c r="AFX99" s="575"/>
      <c r="AFY99" s="575"/>
      <c r="AFZ99" s="575"/>
      <c r="AGA99" s="575"/>
      <c r="AGB99" s="575"/>
      <c r="AGC99" s="575"/>
      <c r="AGD99" s="575"/>
      <c r="AGE99" s="575"/>
      <c r="AGF99" s="575"/>
      <c r="AGG99" s="575"/>
      <c r="AGH99" s="575"/>
      <c r="AGI99" s="575"/>
      <c r="AGJ99" s="575"/>
      <c r="AGK99" s="575"/>
      <c r="AGL99" s="575"/>
      <c r="AGM99" s="575"/>
      <c r="AGN99" s="575"/>
      <c r="AGO99" s="575"/>
      <c r="AGP99" s="575"/>
      <c r="AGQ99" s="575"/>
      <c r="AGR99" s="575"/>
      <c r="AGS99" s="575"/>
      <c r="AGT99" s="575"/>
      <c r="AGU99" s="575"/>
      <c r="AGV99" s="575"/>
      <c r="AGW99" s="575"/>
      <c r="AGX99" s="575"/>
      <c r="AGY99" s="575"/>
      <c r="AGZ99" s="575"/>
      <c r="AHA99" s="575"/>
      <c r="AHB99" s="575"/>
      <c r="AHC99" s="575"/>
      <c r="AHD99" s="575"/>
      <c r="AHE99" s="575"/>
      <c r="AHF99" s="575"/>
      <c r="AHG99" s="575"/>
      <c r="AHH99" s="575"/>
      <c r="AHI99" s="575"/>
      <c r="AHJ99" s="575"/>
      <c r="AHK99" s="575"/>
      <c r="AHL99" s="575"/>
      <c r="AHM99" s="575"/>
      <c r="AHN99" s="575"/>
      <c r="AHO99" s="575"/>
      <c r="AHP99" s="575"/>
      <c r="AHQ99" s="575"/>
      <c r="AHR99" s="575"/>
      <c r="AHS99" s="575"/>
      <c r="AHT99" s="575"/>
      <c r="AHU99" s="575"/>
      <c r="AHV99" s="575"/>
      <c r="AHW99" s="575"/>
      <c r="AHX99" s="575"/>
      <c r="AHY99" s="575"/>
      <c r="AHZ99" s="575"/>
      <c r="AIA99" s="575"/>
      <c r="AIB99" s="575"/>
      <c r="AIC99" s="575"/>
      <c r="AID99" s="575"/>
      <c r="AIE99" s="575"/>
      <c r="AIF99" s="575"/>
      <c r="AIG99" s="575"/>
      <c r="AIH99" s="575"/>
      <c r="AII99" s="575"/>
      <c r="AIJ99" s="575"/>
      <c r="AIK99" s="575"/>
      <c r="AIL99" s="575"/>
      <c r="AIM99" s="575"/>
      <c r="AIN99" s="575"/>
      <c r="AIO99" s="575"/>
      <c r="AIP99" s="575"/>
      <c r="AIQ99" s="575"/>
      <c r="AIR99" s="575"/>
      <c r="AIS99" s="575"/>
      <c r="AIT99" s="575"/>
      <c r="AIU99" s="575"/>
      <c r="AIV99" s="575"/>
      <c r="AIW99" s="575"/>
      <c r="AIX99" s="575"/>
      <c r="AIY99" s="575"/>
      <c r="AIZ99" s="575"/>
      <c r="AJA99" s="575"/>
      <c r="AJB99" s="575"/>
      <c r="AJC99" s="575"/>
      <c r="AJD99" s="575"/>
      <c r="AJE99" s="575"/>
      <c r="AJF99" s="575"/>
      <c r="AJG99" s="575"/>
      <c r="AJH99" s="575"/>
      <c r="AJI99" s="575"/>
      <c r="AJJ99" s="575"/>
      <c r="AJK99" s="575"/>
      <c r="AJL99" s="575"/>
      <c r="AJM99" s="575"/>
      <c r="AJN99" s="575"/>
      <c r="AJO99" s="575"/>
      <c r="AJP99" s="575"/>
      <c r="AJQ99" s="575"/>
      <c r="AJR99" s="575"/>
      <c r="AJS99" s="575"/>
      <c r="AJT99" s="575"/>
      <c r="AJU99" s="575"/>
      <c r="AJV99" s="575"/>
      <c r="AJW99" s="575"/>
      <c r="AJX99" s="575"/>
      <c r="AJY99" s="575"/>
      <c r="AJZ99" s="575"/>
      <c r="AKA99" s="575"/>
      <c r="AKB99" s="575"/>
      <c r="AKC99" s="575"/>
      <c r="AKD99" s="575"/>
      <c r="AKE99" s="575"/>
      <c r="AKF99" s="575"/>
      <c r="AKG99" s="575"/>
      <c r="AKH99" s="575"/>
      <c r="AKI99" s="575"/>
      <c r="AKJ99" s="575"/>
      <c r="AKK99" s="575"/>
      <c r="AKL99" s="575"/>
      <c r="AKM99" s="575"/>
      <c r="AKN99" s="575"/>
      <c r="AKO99" s="575"/>
      <c r="AKP99" s="575"/>
      <c r="AKQ99" s="575"/>
      <c r="AKR99" s="575"/>
      <c r="AKS99" s="575"/>
      <c r="AKT99" s="575"/>
      <c r="AKU99" s="575"/>
      <c r="AKV99" s="575"/>
      <c r="AKW99" s="575"/>
      <c r="AKX99" s="575"/>
      <c r="AKY99" s="575"/>
      <c r="AKZ99" s="575"/>
      <c r="ALA99" s="575"/>
      <c r="ALB99" s="575"/>
      <c r="ALC99" s="575"/>
      <c r="ALD99" s="575"/>
      <c r="ALE99" s="575"/>
      <c r="ALF99" s="575"/>
      <c r="ALG99" s="575"/>
      <c r="ALH99" s="575"/>
      <c r="ALI99" s="575"/>
      <c r="ALJ99" s="575"/>
      <c r="ALK99" s="575"/>
      <c r="ALL99" s="575"/>
      <c r="ALM99" s="575"/>
      <c r="ALN99" s="575"/>
      <c r="ALO99" s="575"/>
      <c r="ALP99" s="575"/>
      <c r="ALQ99" s="575"/>
      <c r="ALR99" s="575"/>
      <c r="ALS99" s="575"/>
      <c r="ALT99" s="575"/>
      <c r="ALU99" s="575"/>
      <c r="ALV99" s="575"/>
      <c r="ALW99" s="575"/>
      <c r="ALX99" s="575"/>
      <c r="ALY99" s="575"/>
      <c r="ALZ99" s="575"/>
      <c r="AMA99" s="575"/>
      <c r="AMB99" s="575"/>
      <c r="AMC99" s="575"/>
      <c r="AMD99" s="575"/>
      <c r="AME99" s="575"/>
      <c r="AMF99" s="575"/>
      <c r="AMG99" s="575"/>
      <c r="AMH99" s="575"/>
      <c r="AMI99" s="575"/>
      <c r="AMJ99" s="575"/>
      <c r="AMK99" s="575"/>
      <c r="AML99" s="575"/>
      <c r="AMM99" s="575"/>
      <c r="AMN99" s="575"/>
      <c r="AMO99" s="575"/>
      <c r="AMP99" s="575"/>
      <c r="AMQ99" s="575"/>
      <c r="AMR99" s="575"/>
      <c r="AMS99" s="575"/>
      <c r="AMT99" s="575"/>
      <c r="AMU99" s="575"/>
      <c r="AMV99" s="575"/>
      <c r="AMW99" s="575"/>
      <c r="AMX99" s="575"/>
      <c r="AMY99" s="575"/>
      <c r="AMZ99" s="575"/>
      <c r="ANA99" s="575"/>
      <c r="ANB99" s="575"/>
      <c r="ANC99" s="575"/>
      <c r="AND99" s="575"/>
      <c r="ANE99" s="575"/>
      <c r="ANF99" s="575"/>
      <c r="ANG99" s="575"/>
      <c r="ANH99" s="575"/>
      <c r="ANI99" s="575"/>
      <c r="ANJ99" s="575"/>
      <c r="ANK99" s="575"/>
      <c r="ANL99" s="575"/>
      <c r="ANM99" s="575"/>
      <c r="ANN99" s="575"/>
      <c r="ANO99" s="575"/>
      <c r="ANP99" s="575"/>
      <c r="ANQ99" s="575"/>
      <c r="ANR99" s="575"/>
      <c r="ANS99" s="575"/>
      <c r="ANT99" s="575"/>
      <c r="ANU99" s="575"/>
      <c r="ANV99" s="575"/>
      <c r="ANW99" s="575"/>
      <c r="ANX99" s="575"/>
      <c r="ANY99" s="575"/>
      <c r="ANZ99" s="575"/>
      <c r="AOA99" s="575"/>
      <c r="AOB99" s="575"/>
      <c r="AOC99" s="575"/>
      <c r="AOD99" s="575"/>
      <c r="AOE99" s="575"/>
      <c r="AOF99" s="575"/>
      <c r="AOG99" s="575"/>
      <c r="AOH99" s="575"/>
      <c r="AOI99" s="575"/>
      <c r="AOJ99" s="575"/>
      <c r="AOK99" s="575"/>
      <c r="AOL99" s="575"/>
      <c r="AOM99" s="575"/>
      <c r="AON99" s="575"/>
      <c r="AOO99" s="575"/>
      <c r="AOP99" s="575"/>
      <c r="AOQ99" s="575"/>
      <c r="AOR99" s="575"/>
      <c r="AOS99" s="575"/>
      <c r="AOT99" s="575"/>
      <c r="AOU99" s="575"/>
      <c r="AOV99" s="575"/>
      <c r="AOW99" s="575"/>
      <c r="AOX99" s="575"/>
      <c r="AOY99" s="575"/>
      <c r="AOZ99" s="575"/>
      <c r="APA99" s="575"/>
      <c r="APB99" s="575"/>
      <c r="APC99" s="575"/>
      <c r="APD99" s="575"/>
      <c r="APE99" s="575"/>
      <c r="APF99" s="575"/>
      <c r="APG99" s="575"/>
      <c r="APH99" s="575"/>
      <c r="API99" s="575"/>
      <c r="APJ99" s="575"/>
      <c r="APK99" s="575"/>
      <c r="APL99" s="575"/>
      <c r="APM99" s="575"/>
      <c r="APN99" s="575"/>
      <c r="APO99" s="575"/>
      <c r="APP99" s="575"/>
      <c r="APQ99" s="575"/>
      <c r="APR99" s="575"/>
      <c r="APS99" s="575"/>
      <c r="APT99" s="575"/>
      <c r="APU99" s="575"/>
      <c r="APV99" s="575"/>
      <c r="APW99" s="575"/>
      <c r="APX99" s="575"/>
      <c r="APY99" s="575"/>
      <c r="APZ99" s="575"/>
      <c r="AQA99" s="575"/>
      <c r="AQB99" s="575"/>
      <c r="AQC99" s="575"/>
      <c r="AQD99" s="575"/>
      <c r="AQE99" s="575"/>
      <c r="AQF99" s="575"/>
      <c r="AQG99" s="575"/>
      <c r="AQH99" s="575"/>
      <c r="AQI99" s="575"/>
      <c r="AQJ99" s="575"/>
      <c r="AQK99" s="575"/>
      <c r="AQL99" s="575"/>
      <c r="AQM99" s="575"/>
      <c r="AQN99" s="575"/>
      <c r="AQO99" s="575"/>
      <c r="AQP99" s="575"/>
      <c r="AQQ99" s="575"/>
      <c r="AQR99" s="575"/>
      <c r="AQS99" s="575"/>
      <c r="AQT99" s="575"/>
      <c r="AQU99" s="575"/>
      <c r="AQV99" s="575"/>
      <c r="AQW99" s="575"/>
      <c r="AQX99" s="575"/>
      <c r="AQY99" s="575"/>
      <c r="AQZ99" s="575"/>
      <c r="ARA99" s="575"/>
      <c r="ARB99" s="575"/>
      <c r="ARC99" s="575"/>
      <c r="ARD99" s="575"/>
      <c r="ARE99" s="575"/>
      <c r="ARF99" s="575"/>
      <c r="ARG99" s="575"/>
      <c r="ARH99" s="575"/>
      <c r="ARI99" s="575"/>
      <c r="ARJ99" s="575"/>
      <c r="ARK99" s="575"/>
      <c r="ARL99" s="575"/>
      <c r="ARM99" s="575"/>
      <c r="ARN99" s="575"/>
      <c r="ARO99" s="575"/>
      <c r="ARP99" s="575"/>
      <c r="ARQ99" s="575"/>
      <c r="ARR99" s="575"/>
      <c r="ARS99" s="575"/>
      <c r="ART99" s="575"/>
      <c r="ARU99" s="575"/>
      <c r="ARV99" s="575"/>
      <c r="ARW99" s="575"/>
      <c r="ARX99" s="575"/>
      <c r="ARY99" s="575"/>
      <c r="ARZ99" s="575"/>
      <c r="ASA99" s="575"/>
      <c r="ASB99" s="575"/>
      <c r="ASC99" s="575"/>
      <c r="ASD99" s="575"/>
      <c r="ASE99" s="575"/>
      <c r="ASF99" s="575"/>
      <c r="ASG99" s="575"/>
      <c r="ASH99" s="575"/>
      <c r="ASI99" s="575"/>
      <c r="ASJ99" s="575"/>
      <c r="ASK99" s="575"/>
      <c r="ASL99" s="575"/>
      <c r="ASM99" s="575"/>
      <c r="ASN99" s="575"/>
      <c r="ASO99" s="575"/>
      <c r="ASP99" s="575"/>
      <c r="ASQ99" s="575"/>
      <c r="ASR99" s="575"/>
      <c r="ASS99" s="575"/>
      <c r="AST99" s="575"/>
      <c r="ASU99" s="575"/>
      <c r="ASV99" s="575"/>
      <c r="ASW99" s="575"/>
      <c r="ASX99" s="575"/>
      <c r="ASY99" s="575"/>
      <c r="ASZ99" s="575"/>
      <c r="ATA99" s="575"/>
      <c r="ATB99" s="575"/>
      <c r="ATC99" s="575"/>
      <c r="ATD99" s="575"/>
      <c r="ATE99" s="575"/>
      <c r="ATF99" s="575"/>
      <c r="ATG99" s="575"/>
      <c r="ATH99" s="575"/>
      <c r="ATI99" s="575"/>
      <c r="ATJ99" s="575"/>
      <c r="ATK99" s="575"/>
      <c r="ATL99" s="575"/>
      <c r="ATM99" s="575"/>
      <c r="ATN99" s="575"/>
      <c r="ATO99" s="575"/>
      <c r="ATP99" s="575"/>
      <c r="ATQ99" s="575"/>
      <c r="ATR99" s="575"/>
      <c r="ATS99" s="575"/>
      <c r="ATT99" s="575"/>
      <c r="ATU99" s="575"/>
      <c r="ATV99" s="575"/>
      <c r="ATW99" s="575"/>
      <c r="ATX99" s="575"/>
      <c r="ATY99" s="575"/>
      <c r="ATZ99" s="575"/>
      <c r="AUA99" s="575"/>
      <c r="AUB99" s="575"/>
      <c r="AUC99" s="575"/>
      <c r="AUD99" s="575"/>
      <c r="AUE99" s="575"/>
      <c r="AUF99" s="575"/>
      <c r="AUG99" s="575"/>
      <c r="AUH99" s="575"/>
      <c r="AUI99" s="575"/>
      <c r="AUJ99" s="575"/>
      <c r="AUK99" s="575"/>
      <c r="AUL99" s="575"/>
      <c r="AUM99" s="575"/>
      <c r="AUN99" s="575"/>
      <c r="AUO99" s="575"/>
      <c r="AUP99" s="575"/>
      <c r="AUQ99" s="575"/>
      <c r="AUR99" s="575"/>
      <c r="AUS99" s="575"/>
      <c r="AUT99" s="575"/>
      <c r="AUU99" s="575"/>
      <c r="AUV99" s="575"/>
      <c r="AUW99" s="575"/>
      <c r="AUX99" s="575"/>
      <c r="AUY99" s="575"/>
      <c r="AUZ99" s="575"/>
      <c r="AVA99" s="575"/>
      <c r="AVB99" s="575"/>
      <c r="AVC99" s="575"/>
      <c r="AVD99" s="575"/>
      <c r="AVE99" s="575"/>
      <c r="AVF99" s="575"/>
      <c r="AVG99" s="575"/>
      <c r="AVH99" s="575"/>
      <c r="AVI99" s="575"/>
      <c r="AVJ99" s="575"/>
      <c r="AVK99" s="575"/>
      <c r="AVL99" s="575"/>
      <c r="AVM99" s="575"/>
      <c r="AVN99" s="575"/>
      <c r="AVO99" s="575"/>
      <c r="AVP99" s="575"/>
      <c r="AVQ99" s="575"/>
      <c r="AVR99" s="575"/>
      <c r="AVS99" s="575"/>
      <c r="AVT99" s="575"/>
      <c r="AVU99" s="575"/>
      <c r="AVV99" s="575"/>
      <c r="AVW99" s="575"/>
      <c r="AVX99" s="575"/>
      <c r="AVY99" s="575"/>
      <c r="AVZ99" s="575"/>
      <c r="AWA99" s="575"/>
      <c r="AWB99" s="575"/>
      <c r="AWC99" s="575"/>
      <c r="AWD99" s="575"/>
      <c r="AWE99" s="575"/>
      <c r="AWF99" s="575"/>
      <c r="AWG99" s="575"/>
      <c r="AWH99" s="575"/>
      <c r="AWI99" s="575"/>
      <c r="AWJ99" s="575"/>
      <c r="AWK99" s="575"/>
      <c r="AWL99" s="575"/>
      <c r="AWM99" s="575"/>
      <c r="AWN99" s="575"/>
      <c r="AWO99" s="575"/>
      <c r="AWP99" s="575"/>
      <c r="AWQ99" s="575"/>
      <c r="AWR99" s="575"/>
      <c r="AWS99" s="575"/>
      <c r="AWT99" s="575"/>
      <c r="AWU99" s="575"/>
      <c r="AWV99" s="575"/>
      <c r="AWW99" s="575"/>
      <c r="AWX99" s="575"/>
      <c r="AWY99" s="575"/>
      <c r="AWZ99" s="575"/>
      <c r="AXA99" s="575"/>
      <c r="AXB99" s="575"/>
      <c r="AXC99" s="575"/>
      <c r="AXD99" s="575"/>
      <c r="AXE99" s="575"/>
      <c r="AXF99" s="575"/>
      <c r="AXG99" s="575"/>
      <c r="AXH99" s="575"/>
      <c r="AXI99" s="575"/>
      <c r="AXJ99" s="575"/>
      <c r="AXK99" s="575"/>
      <c r="AXL99" s="575"/>
      <c r="AXM99" s="575"/>
      <c r="AXN99" s="575"/>
      <c r="AXO99" s="575"/>
      <c r="AXP99" s="575"/>
      <c r="AXQ99" s="575"/>
      <c r="AXR99" s="575"/>
      <c r="AXS99" s="575"/>
      <c r="AXT99" s="575"/>
      <c r="AXU99" s="575"/>
      <c r="AXV99" s="575"/>
      <c r="AXW99" s="575"/>
      <c r="AXX99" s="575"/>
      <c r="AXY99" s="575"/>
      <c r="AXZ99" s="575"/>
      <c r="AYA99" s="575"/>
      <c r="AYB99" s="575"/>
      <c r="AYC99" s="575"/>
      <c r="AYD99" s="575"/>
      <c r="AYE99" s="575"/>
      <c r="AYF99" s="575"/>
      <c r="AYG99" s="575"/>
      <c r="AYH99" s="575"/>
      <c r="AYI99" s="575"/>
      <c r="AYJ99" s="575"/>
      <c r="AYK99" s="575"/>
      <c r="AYL99" s="575"/>
      <c r="AYM99" s="575"/>
      <c r="AYN99" s="575"/>
      <c r="AYO99" s="575"/>
      <c r="AYP99" s="575"/>
      <c r="AYQ99" s="575"/>
      <c r="AYR99" s="575"/>
      <c r="AYS99" s="575"/>
      <c r="AYT99" s="575"/>
      <c r="AYU99" s="575"/>
      <c r="AYV99" s="575"/>
      <c r="AYW99" s="575"/>
      <c r="AYX99" s="575"/>
      <c r="AYY99" s="575"/>
      <c r="AYZ99" s="575"/>
      <c r="AZA99" s="575"/>
      <c r="AZB99" s="575"/>
      <c r="AZC99" s="575"/>
      <c r="AZD99" s="575"/>
      <c r="AZE99" s="575"/>
      <c r="AZF99" s="575"/>
      <c r="AZG99" s="575"/>
      <c r="AZH99" s="575"/>
      <c r="AZI99" s="575"/>
      <c r="AZJ99" s="575"/>
      <c r="AZK99" s="575"/>
      <c r="AZL99" s="575"/>
      <c r="AZM99" s="575"/>
      <c r="AZN99" s="575"/>
      <c r="AZO99" s="575"/>
      <c r="AZP99" s="575"/>
      <c r="AZQ99" s="575"/>
      <c r="AZR99" s="575"/>
      <c r="AZS99" s="575"/>
      <c r="AZT99" s="575"/>
      <c r="AZU99" s="575"/>
      <c r="AZV99" s="575"/>
      <c r="AZW99" s="575"/>
      <c r="AZX99" s="575"/>
      <c r="AZY99" s="575"/>
      <c r="AZZ99" s="575"/>
      <c r="BAA99" s="575"/>
      <c r="BAB99" s="575"/>
      <c r="BAC99" s="575"/>
      <c r="BAD99" s="575"/>
      <c r="BAE99" s="575"/>
      <c r="BAF99" s="575"/>
      <c r="BAG99" s="575"/>
      <c r="BAH99" s="575"/>
      <c r="BAI99" s="575"/>
      <c r="BAJ99" s="575"/>
      <c r="BAK99" s="575"/>
      <c r="BAL99" s="575"/>
      <c r="BAM99" s="575"/>
      <c r="BAN99" s="575"/>
      <c r="BAO99" s="575"/>
      <c r="BAP99" s="575"/>
      <c r="BAQ99" s="575"/>
      <c r="BAR99" s="575"/>
      <c r="BAS99" s="575"/>
      <c r="BAT99" s="575"/>
      <c r="BAU99" s="575"/>
      <c r="BAV99" s="575"/>
      <c r="BAW99" s="575"/>
      <c r="BAX99" s="575"/>
      <c r="BAY99" s="575"/>
      <c r="BAZ99" s="575"/>
      <c r="BBA99" s="575"/>
      <c r="BBB99" s="575"/>
      <c r="BBC99" s="575"/>
      <c r="BBD99" s="575"/>
      <c r="BBE99" s="575"/>
      <c r="BBF99" s="575"/>
      <c r="BBG99" s="575"/>
      <c r="BBH99" s="575"/>
      <c r="BBI99" s="575"/>
      <c r="BBJ99" s="575"/>
      <c r="BBK99" s="575"/>
      <c r="BBL99" s="575"/>
      <c r="BBM99" s="575"/>
      <c r="BBN99" s="575"/>
      <c r="BBO99" s="575"/>
      <c r="BBP99" s="575"/>
      <c r="BBQ99" s="575"/>
      <c r="BBR99" s="575"/>
      <c r="BBS99" s="575"/>
      <c r="BBT99" s="575"/>
      <c r="BBU99" s="575"/>
      <c r="BBV99" s="575"/>
      <c r="BBW99" s="575"/>
      <c r="BBX99" s="575"/>
      <c r="BBY99" s="575"/>
      <c r="BBZ99" s="575"/>
      <c r="BCA99" s="575"/>
      <c r="BCB99" s="575"/>
      <c r="BCC99" s="575"/>
      <c r="BCD99" s="575"/>
      <c r="BCE99" s="575"/>
      <c r="BCF99" s="575"/>
      <c r="BCG99" s="575"/>
      <c r="BCH99" s="575"/>
      <c r="BCI99" s="575"/>
      <c r="BCJ99" s="575"/>
      <c r="BCK99" s="575"/>
      <c r="BCL99" s="575"/>
      <c r="BCM99" s="575"/>
      <c r="BCN99" s="575"/>
      <c r="BCO99" s="575"/>
      <c r="BCP99" s="575"/>
      <c r="BCQ99" s="575"/>
      <c r="BCR99" s="575"/>
      <c r="BCS99" s="575"/>
      <c r="BCT99" s="575"/>
      <c r="BCU99" s="575"/>
      <c r="BCV99" s="575"/>
      <c r="BCW99" s="575"/>
      <c r="BCX99" s="575"/>
      <c r="BCY99" s="575"/>
      <c r="BCZ99" s="575"/>
      <c r="BDA99" s="575"/>
      <c r="BDB99" s="575"/>
      <c r="BDC99" s="575"/>
      <c r="BDD99" s="575"/>
      <c r="BDE99" s="575"/>
      <c r="BDF99" s="575"/>
      <c r="BDG99" s="575"/>
      <c r="BDH99" s="575"/>
      <c r="BDI99" s="575"/>
      <c r="BDJ99" s="575"/>
      <c r="BDK99" s="575"/>
      <c r="BDL99" s="575"/>
      <c r="BDM99" s="575"/>
      <c r="BDN99" s="575"/>
      <c r="BDO99" s="575"/>
      <c r="BDP99" s="575"/>
      <c r="BDQ99" s="575"/>
      <c r="BDR99" s="575"/>
      <c r="BDS99" s="575"/>
      <c r="BDT99" s="575"/>
    </row>
    <row r="100" spans="1:1476" s="632" customFormat="1" x14ac:dyDescent="0.25">
      <c r="A100" s="608">
        <v>5563</v>
      </c>
      <c r="B100" s="609" t="s">
        <v>244</v>
      </c>
      <c r="C100" s="610">
        <v>130248.18</v>
      </c>
      <c r="D100" s="610">
        <v>28437.74</v>
      </c>
      <c r="E100" s="610"/>
      <c r="F100" s="611">
        <v>528</v>
      </c>
      <c r="G100" s="610">
        <v>515.79999999999995</v>
      </c>
      <c r="H100" s="610">
        <v>77.8</v>
      </c>
      <c r="I100" s="610">
        <v>0</v>
      </c>
      <c r="J100" s="610">
        <v>4436.9799999999996</v>
      </c>
      <c r="K100" s="610">
        <v>0</v>
      </c>
      <c r="L100" s="610">
        <v>21938.55</v>
      </c>
      <c r="M100" s="434">
        <f t="shared" si="4"/>
        <v>186183.04999999996</v>
      </c>
      <c r="N100" s="612">
        <v>0</v>
      </c>
      <c r="O100" s="612">
        <v>38.6</v>
      </c>
      <c r="P100" s="612">
        <v>26661.8</v>
      </c>
      <c r="Q100" s="612">
        <v>0</v>
      </c>
      <c r="R100" s="612">
        <v>34994.35</v>
      </c>
      <c r="S100" s="610">
        <v>62.03</v>
      </c>
      <c r="T100" s="543">
        <f t="shared" si="5"/>
        <v>247939.82999999996</v>
      </c>
      <c r="U100" s="575">
        <v>-3632.59</v>
      </c>
      <c r="V100" s="612"/>
      <c r="W100" s="612">
        <v>-45.35</v>
      </c>
      <c r="X100" s="624">
        <v>80</v>
      </c>
      <c r="Y100" s="631">
        <v>1</v>
      </c>
      <c r="Z100" s="628">
        <f>VLOOKUP(A100,'[2]2022 toutes communes'!$B$9:$D$317,3,FALSE)</f>
        <v>151</v>
      </c>
      <c r="AA100" s="617"/>
      <c r="AB100" s="618">
        <v>10596</v>
      </c>
      <c r="AC100" s="547">
        <f>AB100/VPI!R100</f>
        <v>4.643113760778637</v>
      </c>
      <c r="AD100" s="548">
        <f t="shared" si="6"/>
        <v>21106</v>
      </c>
      <c r="AE100" s="547">
        <f>AD100/VPI!R100</f>
        <v>9.2485427552844399</v>
      </c>
      <c r="AF100" s="618">
        <v>31702</v>
      </c>
      <c r="AG100" s="618">
        <v>7216</v>
      </c>
      <c r="AH100" s="618">
        <v>23485</v>
      </c>
      <c r="AI100" s="627"/>
      <c r="AJ100" s="628">
        <v>0</v>
      </c>
      <c r="AK100" s="547">
        <f>AJ100/VPI!R100</f>
        <v>0</v>
      </c>
      <c r="AL100" s="548">
        <f t="shared" si="7"/>
        <v>18443</v>
      </c>
      <c r="AM100" s="547">
        <f>AL100/VPI!R100</f>
        <v>8.0816295856965272</v>
      </c>
      <c r="AN100" s="628">
        <v>18443</v>
      </c>
      <c r="AO100" s="627"/>
      <c r="AP100" s="629">
        <v>8.3987694668071882</v>
      </c>
      <c r="AQ100" s="575"/>
      <c r="AR100" s="630">
        <v>0</v>
      </c>
      <c r="AS100" s="575"/>
      <c r="AT100" s="575"/>
      <c r="AU100" s="575"/>
      <c r="AV100" s="575"/>
      <c r="AW100" s="575"/>
      <c r="AX100" s="575"/>
      <c r="AY100" s="575"/>
      <c r="AZ100" s="575"/>
      <c r="BA100" s="575"/>
      <c r="BB100" s="575"/>
      <c r="BC100" s="575"/>
      <c r="BD100" s="575"/>
      <c r="BE100" s="575"/>
      <c r="BF100" s="575"/>
      <c r="BG100" s="575"/>
      <c r="BH100" s="575"/>
      <c r="BI100" s="575"/>
      <c r="BJ100" s="575"/>
      <c r="BK100" s="575"/>
      <c r="BL100" s="575"/>
      <c r="BM100" s="575"/>
      <c r="BN100" s="575"/>
      <c r="BO100" s="575"/>
      <c r="BP100" s="575"/>
      <c r="BQ100" s="575"/>
      <c r="BR100" s="575"/>
      <c r="BS100" s="575"/>
      <c r="BT100" s="575"/>
      <c r="BU100" s="575"/>
      <c r="BV100" s="575"/>
      <c r="BW100" s="575"/>
      <c r="BX100" s="575"/>
      <c r="BY100" s="575"/>
      <c r="BZ100" s="575"/>
      <c r="CA100" s="575"/>
      <c r="CB100" s="575"/>
      <c r="CC100" s="575"/>
      <c r="CD100" s="575"/>
      <c r="CE100" s="575"/>
      <c r="CF100" s="575"/>
      <c r="CG100" s="575"/>
      <c r="CH100" s="575"/>
      <c r="CI100" s="575"/>
      <c r="CJ100" s="575"/>
      <c r="CK100" s="575"/>
      <c r="CL100" s="575"/>
      <c r="CM100" s="575"/>
      <c r="CN100" s="575"/>
      <c r="CO100" s="575"/>
      <c r="CP100" s="575"/>
      <c r="CQ100" s="575"/>
      <c r="CR100" s="575"/>
      <c r="CS100" s="575"/>
      <c r="CT100" s="575"/>
      <c r="CU100" s="575"/>
      <c r="CV100" s="575"/>
      <c r="CW100" s="575"/>
      <c r="CX100" s="575"/>
      <c r="CY100" s="575"/>
      <c r="CZ100" s="575"/>
      <c r="DA100" s="575"/>
      <c r="DB100" s="575"/>
      <c r="DC100" s="575"/>
      <c r="DD100" s="575"/>
      <c r="DE100" s="575"/>
      <c r="DF100" s="575"/>
      <c r="DG100" s="575"/>
      <c r="DH100" s="575"/>
      <c r="DI100" s="575"/>
      <c r="DJ100" s="575"/>
      <c r="DK100" s="575"/>
      <c r="DL100" s="575"/>
      <c r="DM100" s="575"/>
      <c r="DN100" s="575"/>
      <c r="DO100" s="575"/>
      <c r="DP100" s="575"/>
      <c r="DQ100" s="575"/>
      <c r="DR100" s="575"/>
      <c r="DS100" s="575"/>
      <c r="DT100" s="575"/>
      <c r="DU100" s="575"/>
      <c r="DV100" s="575"/>
      <c r="DW100" s="575"/>
      <c r="DX100" s="575"/>
      <c r="DY100" s="575"/>
      <c r="DZ100" s="575"/>
      <c r="EA100" s="575"/>
      <c r="EB100" s="575"/>
      <c r="EC100" s="575"/>
      <c r="ED100" s="575"/>
      <c r="EE100" s="575"/>
      <c r="EF100" s="575"/>
      <c r="EG100" s="575"/>
      <c r="EH100" s="575"/>
      <c r="EI100" s="575"/>
      <c r="EJ100" s="575"/>
      <c r="EK100" s="575"/>
      <c r="EL100" s="575"/>
      <c r="EM100" s="575"/>
      <c r="EN100" s="575"/>
      <c r="EO100" s="575"/>
      <c r="EP100" s="575"/>
      <c r="EQ100" s="575"/>
      <c r="ER100" s="575"/>
      <c r="ES100" s="575"/>
      <c r="ET100" s="575"/>
      <c r="EU100" s="575"/>
      <c r="EV100" s="575"/>
      <c r="EW100" s="575"/>
      <c r="EX100" s="575"/>
      <c r="EY100" s="575"/>
      <c r="EZ100" s="575"/>
      <c r="FA100" s="575"/>
      <c r="FB100" s="575"/>
      <c r="FC100" s="575"/>
      <c r="FD100" s="575"/>
      <c r="FE100" s="575"/>
      <c r="FF100" s="575"/>
      <c r="FG100" s="575"/>
      <c r="FH100" s="575"/>
      <c r="FI100" s="575"/>
      <c r="FJ100" s="575"/>
      <c r="FK100" s="575"/>
      <c r="FL100" s="575"/>
      <c r="FM100" s="575"/>
      <c r="FN100" s="575"/>
      <c r="FO100" s="575"/>
      <c r="FP100" s="575"/>
      <c r="FQ100" s="575"/>
      <c r="FR100" s="575"/>
      <c r="FS100" s="575"/>
      <c r="FT100" s="575"/>
      <c r="FU100" s="575"/>
      <c r="FV100" s="575"/>
      <c r="FW100" s="575"/>
      <c r="FX100" s="575"/>
      <c r="FY100" s="575"/>
      <c r="FZ100" s="575"/>
      <c r="GA100" s="575"/>
      <c r="GB100" s="575"/>
      <c r="GC100" s="575"/>
      <c r="GD100" s="575"/>
      <c r="GE100" s="575"/>
      <c r="GF100" s="575"/>
      <c r="GG100" s="575"/>
      <c r="GH100" s="575"/>
      <c r="GI100" s="575"/>
      <c r="GJ100" s="575"/>
      <c r="GK100" s="575"/>
      <c r="GL100" s="575"/>
      <c r="GM100" s="575"/>
      <c r="GN100" s="575"/>
      <c r="GO100" s="575"/>
      <c r="GP100" s="575"/>
      <c r="GQ100" s="575"/>
      <c r="GR100" s="575"/>
      <c r="GS100" s="575"/>
      <c r="GT100" s="575"/>
      <c r="GU100" s="575"/>
      <c r="GV100" s="575"/>
      <c r="GW100" s="575"/>
      <c r="GX100" s="575"/>
      <c r="GY100" s="575"/>
      <c r="GZ100" s="575"/>
      <c r="HA100" s="575"/>
      <c r="HB100" s="575"/>
      <c r="HC100" s="575"/>
      <c r="HD100" s="575"/>
      <c r="HE100" s="575"/>
      <c r="HF100" s="575"/>
      <c r="HG100" s="575"/>
      <c r="HH100" s="575"/>
      <c r="HI100" s="575"/>
      <c r="HJ100" s="575"/>
      <c r="HK100" s="575"/>
      <c r="HL100" s="575"/>
      <c r="HM100" s="575"/>
      <c r="HN100" s="575"/>
      <c r="HO100" s="575"/>
      <c r="HP100" s="575"/>
      <c r="HQ100" s="575"/>
      <c r="HR100" s="575"/>
      <c r="HS100" s="575"/>
      <c r="HT100" s="575"/>
      <c r="HU100" s="575"/>
      <c r="HV100" s="575"/>
      <c r="HW100" s="575"/>
      <c r="HX100" s="575"/>
      <c r="HY100" s="575"/>
      <c r="HZ100" s="575"/>
      <c r="IA100" s="575"/>
      <c r="IB100" s="575"/>
      <c r="IC100" s="575"/>
      <c r="ID100" s="575"/>
      <c r="IE100" s="575"/>
      <c r="IF100" s="575"/>
      <c r="IG100" s="575"/>
      <c r="IH100" s="575"/>
      <c r="II100" s="575"/>
      <c r="IJ100" s="575"/>
      <c r="IK100" s="575"/>
      <c r="IL100" s="575"/>
      <c r="IM100" s="575"/>
      <c r="IN100" s="575"/>
      <c r="IO100" s="575"/>
      <c r="IP100" s="575"/>
      <c r="IQ100" s="575"/>
      <c r="IR100" s="575"/>
      <c r="IS100" s="575"/>
      <c r="IT100" s="575"/>
      <c r="IU100" s="575"/>
      <c r="IV100" s="575"/>
      <c r="IW100" s="575"/>
      <c r="IX100" s="575"/>
      <c r="IY100" s="575"/>
      <c r="IZ100" s="575"/>
      <c r="JA100" s="575"/>
      <c r="JB100" s="575"/>
      <c r="JC100" s="575"/>
      <c r="JD100" s="575"/>
      <c r="JE100" s="575"/>
      <c r="JF100" s="575"/>
      <c r="JG100" s="575"/>
      <c r="JH100" s="575"/>
      <c r="JI100" s="575"/>
      <c r="JJ100" s="575"/>
      <c r="JK100" s="575"/>
      <c r="JL100" s="575"/>
      <c r="JM100" s="575"/>
      <c r="JN100" s="575"/>
      <c r="JO100" s="575"/>
      <c r="JP100" s="575"/>
      <c r="JQ100" s="575"/>
      <c r="JR100" s="575"/>
      <c r="JS100" s="575"/>
      <c r="JT100" s="575"/>
      <c r="JU100" s="575"/>
      <c r="JV100" s="575"/>
      <c r="JW100" s="575"/>
      <c r="JX100" s="575"/>
      <c r="JY100" s="575"/>
      <c r="JZ100" s="575"/>
      <c r="KA100" s="575"/>
      <c r="KB100" s="575"/>
      <c r="KC100" s="575"/>
      <c r="KD100" s="575"/>
      <c r="KE100" s="575"/>
      <c r="KF100" s="575"/>
      <c r="KG100" s="575"/>
      <c r="KH100" s="575"/>
      <c r="KI100" s="575"/>
      <c r="KJ100" s="575"/>
      <c r="KK100" s="575"/>
      <c r="KL100" s="575"/>
      <c r="KM100" s="575"/>
      <c r="KN100" s="575"/>
      <c r="KO100" s="575"/>
      <c r="KP100" s="575"/>
      <c r="KQ100" s="575"/>
      <c r="KR100" s="575"/>
      <c r="KS100" s="575"/>
      <c r="KT100" s="575"/>
      <c r="KU100" s="575"/>
      <c r="KV100" s="575"/>
      <c r="KW100" s="575"/>
      <c r="KX100" s="575"/>
      <c r="KY100" s="575"/>
      <c r="KZ100" s="575"/>
      <c r="LA100" s="575"/>
      <c r="LB100" s="575"/>
      <c r="LC100" s="575"/>
      <c r="LD100" s="575"/>
      <c r="LE100" s="575"/>
      <c r="LF100" s="575"/>
      <c r="LG100" s="575"/>
      <c r="LH100" s="575"/>
      <c r="LI100" s="575"/>
      <c r="LJ100" s="575"/>
      <c r="LK100" s="575"/>
      <c r="LL100" s="575"/>
      <c r="LM100" s="575"/>
      <c r="LN100" s="575"/>
      <c r="LO100" s="575"/>
      <c r="LP100" s="575"/>
      <c r="LQ100" s="575"/>
      <c r="LR100" s="575"/>
      <c r="LS100" s="575"/>
      <c r="LT100" s="575"/>
      <c r="LU100" s="575"/>
      <c r="LV100" s="575"/>
      <c r="LW100" s="575"/>
      <c r="LX100" s="575"/>
      <c r="LY100" s="575"/>
      <c r="LZ100" s="575"/>
      <c r="MA100" s="575"/>
      <c r="MB100" s="575"/>
      <c r="MC100" s="575"/>
      <c r="MD100" s="575"/>
      <c r="ME100" s="575"/>
      <c r="MF100" s="575"/>
      <c r="MG100" s="575"/>
      <c r="MH100" s="575"/>
      <c r="MI100" s="575"/>
      <c r="MJ100" s="575"/>
      <c r="MK100" s="575"/>
      <c r="ML100" s="575"/>
      <c r="MM100" s="575"/>
      <c r="MN100" s="575"/>
      <c r="MO100" s="575"/>
      <c r="MP100" s="575"/>
      <c r="MQ100" s="575"/>
      <c r="MR100" s="575"/>
      <c r="MS100" s="575"/>
      <c r="MT100" s="575"/>
      <c r="MU100" s="575"/>
      <c r="MV100" s="575"/>
      <c r="MW100" s="575"/>
      <c r="MX100" s="575"/>
      <c r="MY100" s="575"/>
      <c r="MZ100" s="575"/>
      <c r="NA100" s="575"/>
      <c r="NB100" s="575"/>
      <c r="NC100" s="575"/>
      <c r="ND100" s="575"/>
      <c r="NE100" s="575"/>
      <c r="NF100" s="575"/>
      <c r="NG100" s="575"/>
      <c r="NH100" s="575"/>
      <c r="NI100" s="575"/>
      <c r="NJ100" s="575"/>
      <c r="NK100" s="575"/>
      <c r="NL100" s="575"/>
      <c r="NM100" s="575"/>
      <c r="NN100" s="575"/>
      <c r="NO100" s="575"/>
      <c r="NP100" s="575"/>
      <c r="NQ100" s="575"/>
      <c r="NR100" s="575"/>
      <c r="NS100" s="575"/>
      <c r="NT100" s="575"/>
      <c r="NU100" s="575"/>
      <c r="NV100" s="575"/>
      <c r="NW100" s="575"/>
      <c r="NX100" s="575"/>
      <c r="NY100" s="575"/>
      <c r="NZ100" s="575"/>
      <c r="OA100" s="575"/>
      <c r="OB100" s="575"/>
      <c r="OC100" s="575"/>
      <c r="OD100" s="575"/>
      <c r="OE100" s="575"/>
      <c r="OF100" s="575"/>
      <c r="OG100" s="575"/>
      <c r="OH100" s="575"/>
      <c r="OI100" s="575"/>
      <c r="OJ100" s="575"/>
      <c r="OK100" s="575"/>
      <c r="OL100" s="575"/>
      <c r="OM100" s="575"/>
      <c r="ON100" s="575"/>
      <c r="OO100" s="575"/>
      <c r="OP100" s="575"/>
      <c r="OQ100" s="575"/>
      <c r="OR100" s="575"/>
      <c r="OS100" s="575"/>
      <c r="OT100" s="575"/>
      <c r="OU100" s="575"/>
      <c r="OV100" s="575"/>
      <c r="OW100" s="575"/>
      <c r="OX100" s="575"/>
      <c r="OY100" s="575"/>
      <c r="OZ100" s="575"/>
      <c r="PA100" s="575"/>
      <c r="PB100" s="575"/>
      <c r="PC100" s="575"/>
      <c r="PD100" s="575"/>
      <c r="PE100" s="575"/>
      <c r="PF100" s="575"/>
      <c r="PG100" s="575"/>
      <c r="PH100" s="575"/>
      <c r="PI100" s="575"/>
      <c r="PJ100" s="575"/>
      <c r="PK100" s="575"/>
      <c r="PL100" s="575"/>
      <c r="PM100" s="575"/>
      <c r="PN100" s="575"/>
      <c r="PO100" s="575"/>
      <c r="PP100" s="575"/>
      <c r="PQ100" s="575"/>
      <c r="PR100" s="575"/>
      <c r="PS100" s="575"/>
      <c r="PT100" s="575"/>
      <c r="PU100" s="575"/>
      <c r="PV100" s="575"/>
      <c r="PW100" s="575"/>
      <c r="PX100" s="575"/>
      <c r="PY100" s="575"/>
      <c r="PZ100" s="575"/>
      <c r="QA100" s="575"/>
      <c r="QB100" s="575"/>
      <c r="QC100" s="575"/>
      <c r="QD100" s="575"/>
      <c r="QE100" s="575"/>
      <c r="QF100" s="575"/>
      <c r="QG100" s="575"/>
      <c r="QH100" s="575"/>
      <c r="QI100" s="575"/>
      <c r="QJ100" s="575"/>
      <c r="QK100" s="575"/>
      <c r="QL100" s="575"/>
      <c r="QM100" s="575"/>
      <c r="QN100" s="575"/>
      <c r="QO100" s="575"/>
      <c r="QP100" s="575"/>
      <c r="QQ100" s="575"/>
      <c r="QR100" s="575"/>
      <c r="QS100" s="575"/>
      <c r="QT100" s="575"/>
      <c r="QU100" s="575"/>
      <c r="QV100" s="575"/>
      <c r="QW100" s="575"/>
      <c r="QX100" s="575"/>
      <c r="QY100" s="575"/>
      <c r="QZ100" s="575"/>
      <c r="RA100" s="575"/>
      <c r="RB100" s="575"/>
      <c r="RC100" s="575"/>
      <c r="RD100" s="575"/>
      <c r="RE100" s="575"/>
      <c r="RF100" s="575"/>
      <c r="RG100" s="575"/>
      <c r="RH100" s="575"/>
      <c r="RI100" s="575"/>
      <c r="RJ100" s="575"/>
      <c r="RK100" s="575"/>
      <c r="RL100" s="575"/>
      <c r="RM100" s="575"/>
      <c r="RN100" s="575"/>
      <c r="RO100" s="575"/>
      <c r="RP100" s="575"/>
      <c r="RQ100" s="575"/>
      <c r="RR100" s="575"/>
      <c r="RS100" s="575"/>
      <c r="RT100" s="575"/>
      <c r="RU100" s="575"/>
      <c r="RV100" s="575"/>
      <c r="RW100" s="575"/>
      <c r="RX100" s="575"/>
      <c r="RY100" s="575"/>
      <c r="RZ100" s="575"/>
      <c r="SA100" s="575"/>
      <c r="SB100" s="575"/>
      <c r="SC100" s="575"/>
      <c r="SD100" s="575"/>
      <c r="SE100" s="575"/>
      <c r="SF100" s="575"/>
      <c r="SG100" s="575"/>
      <c r="SH100" s="575"/>
      <c r="SI100" s="575"/>
      <c r="SJ100" s="575"/>
      <c r="SK100" s="575"/>
      <c r="SL100" s="575"/>
      <c r="SM100" s="575"/>
      <c r="SN100" s="575"/>
      <c r="SO100" s="575"/>
      <c r="SP100" s="575"/>
      <c r="SQ100" s="575"/>
      <c r="SR100" s="575"/>
      <c r="SS100" s="575"/>
      <c r="ST100" s="575"/>
      <c r="SU100" s="575"/>
      <c r="SV100" s="575"/>
      <c r="SW100" s="575"/>
      <c r="SX100" s="575"/>
      <c r="SY100" s="575"/>
      <c r="SZ100" s="575"/>
      <c r="TA100" s="575"/>
      <c r="TB100" s="575"/>
      <c r="TC100" s="575"/>
      <c r="TD100" s="575"/>
      <c r="TE100" s="575"/>
      <c r="TF100" s="575"/>
      <c r="TG100" s="575"/>
      <c r="TH100" s="575"/>
      <c r="TI100" s="575"/>
      <c r="TJ100" s="575"/>
      <c r="TK100" s="575"/>
      <c r="TL100" s="575"/>
      <c r="TM100" s="575"/>
      <c r="TN100" s="575"/>
      <c r="TO100" s="575"/>
      <c r="TP100" s="575"/>
      <c r="TQ100" s="575"/>
      <c r="TR100" s="575"/>
      <c r="TS100" s="575"/>
      <c r="TT100" s="575"/>
      <c r="TU100" s="575"/>
      <c r="TV100" s="575"/>
      <c r="TW100" s="575"/>
      <c r="TX100" s="575"/>
      <c r="TY100" s="575"/>
      <c r="TZ100" s="575"/>
      <c r="UA100" s="575"/>
      <c r="UB100" s="575"/>
      <c r="UC100" s="575"/>
      <c r="UD100" s="575"/>
      <c r="UE100" s="575"/>
      <c r="UF100" s="575"/>
      <c r="UG100" s="575"/>
      <c r="UH100" s="575"/>
      <c r="UI100" s="575"/>
      <c r="UJ100" s="575"/>
      <c r="UK100" s="575"/>
      <c r="UL100" s="575"/>
      <c r="UM100" s="575"/>
      <c r="UN100" s="575"/>
      <c r="UO100" s="575"/>
      <c r="UP100" s="575"/>
      <c r="UQ100" s="575"/>
      <c r="UR100" s="575"/>
      <c r="US100" s="575"/>
      <c r="UT100" s="575"/>
      <c r="UU100" s="575"/>
      <c r="UV100" s="575"/>
      <c r="UW100" s="575"/>
      <c r="UX100" s="575"/>
      <c r="UY100" s="575"/>
      <c r="UZ100" s="575"/>
      <c r="VA100" s="575"/>
      <c r="VB100" s="575"/>
      <c r="VC100" s="575"/>
      <c r="VD100" s="575"/>
      <c r="VE100" s="575"/>
      <c r="VF100" s="575"/>
      <c r="VG100" s="575"/>
      <c r="VH100" s="575"/>
      <c r="VI100" s="575"/>
      <c r="VJ100" s="575"/>
      <c r="VK100" s="575"/>
      <c r="VL100" s="575"/>
      <c r="VM100" s="575"/>
      <c r="VN100" s="575"/>
      <c r="VO100" s="575"/>
      <c r="VP100" s="575"/>
      <c r="VQ100" s="575"/>
      <c r="VR100" s="575"/>
      <c r="VS100" s="575"/>
      <c r="VT100" s="575"/>
      <c r="VU100" s="575"/>
      <c r="VV100" s="575"/>
      <c r="VW100" s="575"/>
      <c r="VX100" s="575"/>
      <c r="VY100" s="575"/>
      <c r="VZ100" s="575"/>
      <c r="WA100" s="575"/>
      <c r="WB100" s="575"/>
      <c r="WC100" s="575"/>
      <c r="WD100" s="575"/>
      <c r="WE100" s="575"/>
      <c r="WF100" s="575"/>
      <c r="WG100" s="575"/>
      <c r="WH100" s="575"/>
      <c r="WI100" s="575"/>
      <c r="WJ100" s="575"/>
      <c r="WK100" s="575"/>
      <c r="WL100" s="575"/>
      <c r="WM100" s="575"/>
      <c r="WN100" s="575"/>
      <c r="WO100" s="575"/>
      <c r="WP100" s="575"/>
      <c r="WQ100" s="575"/>
      <c r="WR100" s="575"/>
      <c r="WS100" s="575"/>
      <c r="WT100" s="575"/>
      <c r="WU100" s="575"/>
      <c r="WV100" s="575"/>
      <c r="WW100" s="575"/>
      <c r="WX100" s="575"/>
      <c r="WY100" s="575"/>
      <c r="WZ100" s="575"/>
      <c r="XA100" s="575"/>
      <c r="XB100" s="575"/>
      <c r="XC100" s="575"/>
      <c r="XD100" s="575"/>
      <c r="XE100" s="575"/>
      <c r="XF100" s="575"/>
      <c r="XG100" s="575"/>
      <c r="XH100" s="575"/>
      <c r="XI100" s="575"/>
      <c r="XJ100" s="575"/>
      <c r="XK100" s="575"/>
      <c r="XL100" s="575"/>
      <c r="XM100" s="575"/>
      <c r="XN100" s="575"/>
      <c r="XO100" s="575"/>
      <c r="XP100" s="575"/>
      <c r="XQ100" s="575"/>
      <c r="XR100" s="575"/>
      <c r="XS100" s="575"/>
      <c r="XT100" s="575"/>
      <c r="XU100" s="575"/>
      <c r="XV100" s="575"/>
      <c r="XW100" s="575"/>
      <c r="XX100" s="575"/>
      <c r="XY100" s="575"/>
      <c r="XZ100" s="575"/>
      <c r="YA100" s="575"/>
      <c r="YB100" s="575"/>
      <c r="YC100" s="575"/>
      <c r="YD100" s="575"/>
      <c r="YE100" s="575"/>
      <c r="YF100" s="575"/>
      <c r="YG100" s="575"/>
      <c r="YH100" s="575"/>
      <c r="YI100" s="575"/>
      <c r="YJ100" s="575"/>
      <c r="YK100" s="575"/>
      <c r="YL100" s="575"/>
      <c r="YM100" s="575"/>
      <c r="YN100" s="575"/>
      <c r="YO100" s="575"/>
      <c r="YP100" s="575"/>
      <c r="YQ100" s="575"/>
      <c r="YR100" s="575"/>
      <c r="YS100" s="575"/>
      <c r="YT100" s="575"/>
      <c r="YU100" s="575"/>
      <c r="YV100" s="575"/>
      <c r="YW100" s="575"/>
      <c r="YX100" s="575"/>
      <c r="YY100" s="575"/>
      <c r="YZ100" s="575"/>
      <c r="ZA100" s="575"/>
      <c r="ZB100" s="575"/>
      <c r="ZC100" s="575"/>
      <c r="ZD100" s="575"/>
      <c r="ZE100" s="575"/>
      <c r="ZF100" s="575"/>
      <c r="ZG100" s="575"/>
      <c r="ZH100" s="575"/>
      <c r="ZI100" s="575"/>
      <c r="ZJ100" s="575"/>
      <c r="ZK100" s="575"/>
      <c r="ZL100" s="575"/>
      <c r="ZM100" s="575"/>
      <c r="ZN100" s="575"/>
      <c r="ZO100" s="575"/>
      <c r="ZP100" s="575"/>
      <c r="ZQ100" s="575"/>
      <c r="ZR100" s="575"/>
      <c r="ZS100" s="575"/>
      <c r="ZT100" s="575"/>
      <c r="ZU100" s="575"/>
      <c r="ZV100" s="575"/>
      <c r="ZW100" s="575"/>
      <c r="ZX100" s="575"/>
      <c r="ZY100" s="575"/>
      <c r="ZZ100" s="575"/>
      <c r="AAA100" s="575"/>
      <c r="AAB100" s="575"/>
      <c r="AAC100" s="575"/>
      <c r="AAD100" s="575"/>
      <c r="AAE100" s="575"/>
      <c r="AAF100" s="575"/>
      <c r="AAG100" s="575"/>
      <c r="AAH100" s="575"/>
      <c r="AAI100" s="575"/>
      <c r="AAJ100" s="575"/>
      <c r="AAK100" s="575"/>
      <c r="AAL100" s="575"/>
      <c r="AAM100" s="575"/>
      <c r="AAN100" s="575"/>
      <c r="AAO100" s="575"/>
      <c r="AAP100" s="575"/>
      <c r="AAQ100" s="575"/>
      <c r="AAR100" s="575"/>
      <c r="AAS100" s="575"/>
      <c r="AAT100" s="575"/>
      <c r="AAU100" s="575"/>
      <c r="AAV100" s="575"/>
      <c r="AAW100" s="575"/>
      <c r="AAX100" s="575"/>
      <c r="AAY100" s="575"/>
      <c r="AAZ100" s="575"/>
      <c r="ABA100" s="575"/>
      <c r="ABB100" s="575"/>
      <c r="ABC100" s="575"/>
      <c r="ABD100" s="575"/>
      <c r="ABE100" s="575"/>
      <c r="ABF100" s="575"/>
      <c r="ABG100" s="575"/>
      <c r="ABH100" s="575"/>
      <c r="ABI100" s="575"/>
      <c r="ABJ100" s="575"/>
      <c r="ABK100" s="575"/>
      <c r="ABL100" s="575"/>
      <c r="ABM100" s="575"/>
      <c r="ABN100" s="575"/>
      <c r="ABO100" s="575"/>
      <c r="ABP100" s="575"/>
      <c r="ABQ100" s="575"/>
      <c r="ABR100" s="575"/>
      <c r="ABS100" s="575"/>
      <c r="ABT100" s="575"/>
      <c r="ABU100" s="575"/>
      <c r="ABV100" s="575"/>
      <c r="ABW100" s="575"/>
      <c r="ABX100" s="575"/>
      <c r="ABY100" s="575"/>
      <c r="ABZ100" s="575"/>
      <c r="ACA100" s="575"/>
      <c r="ACB100" s="575"/>
      <c r="ACC100" s="575"/>
      <c r="ACD100" s="575"/>
      <c r="ACE100" s="575"/>
      <c r="ACF100" s="575"/>
      <c r="ACG100" s="575"/>
      <c r="ACH100" s="575"/>
      <c r="ACI100" s="575"/>
      <c r="ACJ100" s="575"/>
      <c r="ACK100" s="575"/>
      <c r="ACL100" s="575"/>
      <c r="ACM100" s="575"/>
      <c r="ACN100" s="575"/>
      <c r="ACO100" s="575"/>
      <c r="ACP100" s="575"/>
      <c r="ACQ100" s="575"/>
      <c r="ACR100" s="575"/>
      <c r="ACS100" s="575"/>
      <c r="ACT100" s="575"/>
      <c r="ACU100" s="575"/>
      <c r="ACV100" s="575"/>
      <c r="ACW100" s="575"/>
      <c r="ACX100" s="575"/>
      <c r="ACY100" s="575"/>
      <c r="ACZ100" s="575"/>
      <c r="ADA100" s="575"/>
      <c r="ADB100" s="575"/>
      <c r="ADC100" s="575"/>
      <c r="ADD100" s="575"/>
      <c r="ADE100" s="575"/>
      <c r="ADF100" s="575"/>
      <c r="ADG100" s="575"/>
      <c r="ADH100" s="575"/>
      <c r="ADI100" s="575"/>
      <c r="ADJ100" s="575"/>
      <c r="ADK100" s="575"/>
      <c r="ADL100" s="575"/>
      <c r="ADM100" s="575"/>
      <c r="ADN100" s="575"/>
      <c r="ADO100" s="575"/>
      <c r="ADP100" s="575"/>
      <c r="ADQ100" s="575"/>
      <c r="ADR100" s="575"/>
      <c r="ADS100" s="575"/>
      <c r="ADT100" s="575"/>
      <c r="ADU100" s="575"/>
      <c r="ADV100" s="575"/>
      <c r="ADW100" s="575"/>
      <c r="ADX100" s="575"/>
      <c r="ADY100" s="575"/>
      <c r="ADZ100" s="575"/>
      <c r="AEA100" s="575"/>
      <c r="AEB100" s="575"/>
      <c r="AEC100" s="575"/>
      <c r="AED100" s="575"/>
      <c r="AEE100" s="575"/>
      <c r="AEF100" s="575"/>
      <c r="AEG100" s="575"/>
      <c r="AEH100" s="575"/>
      <c r="AEI100" s="575"/>
      <c r="AEJ100" s="575"/>
      <c r="AEK100" s="575"/>
      <c r="AEL100" s="575"/>
      <c r="AEM100" s="575"/>
      <c r="AEN100" s="575"/>
      <c r="AEO100" s="575"/>
      <c r="AEP100" s="575"/>
      <c r="AEQ100" s="575"/>
      <c r="AER100" s="575"/>
      <c r="AES100" s="575"/>
      <c r="AET100" s="575"/>
      <c r="AEU100" s="575"/>
      <c r="AEV100" s="575"/>
      <c r="AEW100" s="575"/>
      <c r="AEX100" s="575"/>
      <c r="AEY100" s="575"/>
      <c r="AEZ100" s="575"/>
      <c r="AFA100" s="575"/>
      <c r="AFB100" s="575"/>
      <c r="AFC100" s="575"/>
      <c r="AFD100" s="575"/>
      <c r="AFE100" s="575"/>
      <c r="AFF100" s="575"/>
      <c r="AFG100" s="575"/>
      <c r="AFH100" s="575"/>
      <c r="AFI100" s="575"/>
      <c r="AFJ100" s="575"/>
      <c r="AFK100" s="575"/>
      <c r="AFL100" s="575"/>
      <c r="AFM100" s="575"/>
      <c r="AFN100" s="575"/>
      <c r="AFO100" s="575"/>
      <c r="AFP100" s="575"/>
      <c r="AFQ100" s="575"/>
      <c r="AFR100" s="575"/>
      <c r="AFS100" s="575"/>
      <c r="AFT100" s="575"/>
      <c r="AFU100" s="575"/>
      <c r="AFV100" s="575"/>
      <c r="AFW100" s="575"/>
      <c r="AFX100" s="575"/>
      <c r="AFY100" s="575"/>
      <c r="AFZ100" s="575"/>
      <c r="AGA100" s="575"/>
      <c r="AGB100" s="575"/>
      <c r="AGC100" s="575"/>
      <c r="AGD100" s="575"/>
      <c r="AGE100" s="575"/>
      <c r="AGF100" s="575"/>
      <c r="AGG100" s="575"/>
      <c r="AGH100" s="575"/>
      <c r="AGI100" s="575"/>
      <c r="AGJ100" s="575"/>
      <c r="AGK100" s="575"/>
      <c r="AGL100" s="575"/>
      <c r="AGM100" s="575"/>
      <c r="AGN100" s="575"/>
      <c r="AGO100" s="575"/>
      <c r="AGP100" s="575"/>
      <c r="AGQ100" s="575"/>
      <c r="AGR100" s="575"/>
      <c r="AGS100" s="575"/>
      <c r="AGT100" s="575"/>
      <c r="AGU100" s="575"/>
      <c r="AGV100" s="575"/>
      <c r="AGW100" s="575"/>
      <c r="AGX100" s="575"/>
      <c r="AGY100" s="575"/>
      <c r="AGZ100" s="575"/>
      <c r="AHA100" s="575"/>
      <c r="AHB100" s="575"/>
      <c r="AHC100" s="575"/>
      <c r="AHD100" s="575"/>
      <c r="AHE100" s="575"/>
      <c r="AHF100" s="575"/>
      <c r="AHG100" s="575"/>
      <c r="AHH100" s="575"/>
      <c r="AHI100" s="575"/>
      <c r="AHJ100" s="575"/>
      <c r="AHK100" s="575"/>
      <c r="AHL100" s="575"/>
      <c r="AHM100" s="575"/>
      <c r="AHN100" s="575"/>
      <c r="AHO100" s="575"/>
      <c r="AHP100" s="575"/>
      <c r="AHQ100" s="575"/>
      <c r="AHR100" s="575"/>
      <c r="AHS100" s="575"/>
      <c r="AHT100" s="575"/>
      <c r="AHU100" s="575"/>
      <c r="AHV100" s="575"/>
      <c r="AHW100" s="575"/>
      <c r="AHX100" s="575"/>
      <c r="AHY100" s="575"/>
      <c r="AHZ100" s="575"/>
      <c r="AIA100" s="575"/>
      <c r="AIB100" s="575"/>
      <c r="AIC100" s="575"/>
      <c r="AID100" s="575"/>
      <c r="AIE100" s="575"/>
      <c r="AIF100" s="575"/>
      <c r="AIG100" s="575"/>
      <c r="AIH100" s="575"/>
      <c r="AII100" s="575"/>
      <c r="AIJ100" s="575"/>
      <c r="AIK100" s="575"/>
      <c r="AIL100" s="575"/>
      <c r="AIM100" s="575"/>
      <c r="AIN100" s="575"/>
      <c r="AIO100" s="575"/>
      <c r="AIP100" s="575"/>
      <c r="AIQ100" s="575"/>
      <c r="AIR100" s="575"/>
      <c r="AIS100" s="575"/>
      <c r="AIT100" s="575"/>
      <c r="AIU100" s="575"/>
      <c r="AIV100" s="575"/>
      <c r="AIW100" s="575"/>
      <c r="AIX100" s="575"/>
      <c r="AIY100" s="575"/>
      <c r="AIZ100" s="575"/>
      <c r="AJA100" s="575"/>
      <c r="AJB100" s="575"/>
      <c r="AJC100" s="575"/>
      <c r="AJD100" s="575"/>
      <c r="AJE100" s="575"/>
      <c r="AJF100" s="575"/>
      <c r="AJG100" s="575"/>
      <c r="AJH100" s="575"/>
      <c r="AJI100" s="575"/>
      <c r="AJJ100" s="575"/>
      <c r="AJK100" s="575"/>
      <c r="AJL100" s="575"/>
      <c r="AJM100" s="575"/>
      <c r="AJN100" s="575"/>
      <c r="AJO100" s="575"/>
      <c r="AJP100" s="575"/>
      <c r="AJQ100" s="575"/>
      <c r="AJR100" s="575"/>
      <c r="AJS100" s="575"/>
      <c r="AJT100" s="575"/>
      <c r="AJU100" s="575"/>
      <c r="AJV100" s="575"/>
      <c r="AJW100" s="575"/>
      <c r="AJX100" s="575"/>
      <c r="AJY100" s="575"/>
      <c r="AJZ100" s="575"/>
      <c r="AKA100" s="575"/>
      <c r="AKB100" s="575"/>
      <c r="AKC100" s="575"/>
      <c r="AKD100" s="575"/>
      <c r="AKE100" s="575"/>
      <c r="AKF100" s="575"/>
      <c r="AKG100" s="575"/>
      <c r="AKH100" s="575"/>
      <c r="AKI100" s="575"/>
      <c r="AKJ100" s="575"/>
      <c r="AKK100" s="575"/>
      <c r="AKL100" s="575"/>
      <c r="AKM100" s="575"/>
      <c r="AKN100" s="575"/>
      <c r="AKO100" s="575"/>
      <c r="AKP100" s="575"/>
      <c r="AKQ100" s="575"/>
      <c r="AKR100" s="575"/>
      <c r="AKS100" s="575"/>
      <c r="AKT100" s="575"/>
      <c r="AKU100" s="575"/>
      <c r="AKV100" s="575"/>
      <c r="AKW100" s="575"/>
      <c r="AKX100" s="575"/>
      <c r="AKY100" s="575"/>
      <c r="AKZ100" s="575"/>
      <c r="ALA100" s="575"/>
      <c r="ALB100" s="575"/>
      <c r="ALC100" s="575"/>
      <c r="ALD100" s="575"/>
      <c r="ALE100" s="575"/>
      <c r="ALF100" s="575"/>
      <c r="ALG100" s="575"/>
      <c r="ALH100" s="575"/>
      <c r="ALI100" s="575"/>
      <c r="ALJ100" s="575"/>
      <c r="ALK100" s="575"/>
      <c r="ALL100" s="575"/>
      <c r="ALM100" s="575"/>
      <c r="ALN100" s="575"/>
      <c r="ALO100" s="575"/>
      <c r="ALP100" s="575"/>
      <c r="ALQ100" s="575"/>
      <c r="ALR100" s="575"/>
      <c r="ALS100" s="575"/>
      <c r="ALT100" s="575"/>
      <c r="ALU100" s="575"/>
      <c r="ALV100" s="575"/>
      <c r="ALW100" s="575"/>
      <c r="ALX100" s="575"/>
      <c r="ALY100" s="575"/>
      <c r="ALZ100" s="575"/>
      <c r="AMA100" s="575"/>
      <c r="AMB100" s="575"/>
      <c r="AMC100" s="575"/>
      <c r="AMD100" s="575"/>
      <c r="AME100" s="575"/>
      <c r="AMF100" s="575"/>
      <c r="AMG100" s="575"/>
      <c r="AMH100" s="575"/>
      <c r="AMI100" s="575"/>
      <c r="AMJ100" s="575"/>
      <c r="AMK100" s="575"/>
      <c r="AML100" s="575"/>
      <c r="AMM100" s="575"/>
      <c r="AMN100" s="575"/>
      <c r="AMO100" s="575"/>
      <c r="AMP100" s="575"/>
      <c r="AMQ100" s="575"/>
      <c r="AMR100" s="575"/>
      <c r="AMS100" s="575"/>
      <c r="AMT100" s="575"/>
      <c r="AMU100" s="575"/>
      <c r="AMV100" s="575"/>
      <c r="AMW100" s="575"/>
      <c r="AMX100" s="575"/>
      <c r="AMY100" s="575"/>
      <c r="AMZ100" s="575"/>
      <c r="ANA100" s="575"/>
      <c r="ANB100" s="575"/>
      <c r="ANC100" s="575"/>
      <c r="AND100" s="575"/>
      <c r="ANE100" s="575"/>
      <c r="ANF100" s="575"/>
      <c r="ANG100" s="575"/>
      <c r="ANH100" s="575"/>
      <c r="ANI100" s="575"/>
      <c r="ANJ100" s="575"/>
      <c r="ANK100" s="575"/>
      <c r="ANL100" s="575"/>
      <c r="ANM100" s="575"/>
      <c r="ANN100" s="575"/>
      <c r="ANO100" s="575"/>
      <c r="ANP100" s="575"/>
      <c r="ANQ100" s="575"/>
      <c r="ANR100" s="575"/>
      <c r="ANS100" s="575"/>
      <c r="ANT100" s="575"/>
      <c r="ANU100" s="575"/>
      <c r="ANV100" s="575"/>
      <c r="ANW100" s="575"/>
      <c r="ANX100" s="575"/>
      <c r="ANY100" s="575"/>
      <c r="ANZ100" s="575"/>
      <c r="AOA100" s="575"/>
      <c r="AOB100" s="575"/>
      <c r="AOC100" s="575"/>
      <c r="AOD100" s="575"/>
      <c r="AOE100" s="575"/>
      <c r="AOF100" s="575"/>
      <c r="AOG100" s="575"/>
      <c r="AOH100" s="575"/>
      <c r="AOI100" s="575"/>
      <c r="AOJ100" s="575"/>
      <c r="AOK100" s="575"/>
      <c r="AOL100" s="575"/>
      <c r="AOM100" s="575"/>
      <c r="AON100" s="575"/>
      <c r="AOO100" s="575"/>
      <c r="AOP100" s="575"/>
      <c r="AOQ100" s="575"/>
      <c r="AOR100" s="575"/>
      <c r="AOS100" s="575"/>
      <c r="AOT100" s="575"/>
      <c r="AOU100" s="575"/>
      <c r="AOV100" s="575"/>
      <c r="AOW100" s="575"/>
      <c r="AOX100" s="575"/>
      <c r="AOY100" s="575"/>
      <c r="AOZ100" s="575"/>
      <c r="APA100" s="575"/>
      <c r="APB100" s="575"/>
      <c r="APC100" s="575"/>
      <c r="APD100" s="575"/>
      <c r="APE100" s="575"/>
      <c r="APF100" s="575"/>
      <c r="APG100" s="575"/>
      <c r="APH100" s="575"/>
      <c r="API100" s="575"/>
      <c r="APJ100" s="575"/>
      <c r="APK100" s="575"/>
      <c r="APL100" s="575"/>
      <c r="APM100" s="575"/>
      <c r="APN100" s="575"/>
      <c r="APO100" s="575"/>
      <c r="APP100" s="575"/>
      <c r="APQ100" s="575"/>
      <c r="APR100" s="575"/>
      <c r="APS100" s="575"/>
      <c r="APT100" s="575"/>
      <c r="APU100" s="575"/>
      <c r="APV100" s="575"/>
      <c r="APW100" s="575"/>
      <c r="APX100" s="575"/>
      <c r="APY100" s="575"/>
      <c r="APZ100" s="575"/>
      <c r="AQA100" s="575"/>
      <c r="AQB100" s="575"/>
      <c r="AQC100" s="575"/>
      <c r="AQD100" s="575"/>
      <c r="AQE100" s="575"/>
      <c r="AQF100" s="575"/>
      <c r="AQG100" s="575"/>
      <c r="AQH100" s="575"/>
      <c r="AQI100" s="575"/>
      <c r="AQJ100" s="575"/>
      <c r="AQK100" s="575"/>
      <c r="AQL100" s="575"/>
      <c r="AQM100" s="575"/>
      <c r="AQN100" s="575"/>
      <c r="AQO100" s="575"/>
      <c r="AQP100" s="575"/>
      <c r="AQQ100" s="575"/>
      <c r="AQR100" s="575"/>
      <c r="AQS100" s="575"/>
      <c r="AQT100" s="575"/>
      <c r="AQU100" s="575"/>
      <c r="AQV100" s="575"/>
      <c r="AQW100" s="575"/>
      <c r="AQX100" s="575"/>
      <c r="AQY100" s="575"/>
      <c r="AQZ100" s="575"/>
      <c r="ARA100" s="575"/>
      <c r="ARB100" s="575"/>
      <c r="ARC100" s="575"/>
      <c r="ARD100" s="575"/>
      <c r="ARE100" s="575"/>
      <c r="ARF100" s="575"/>
      <c r="ARG100" s="575"/>
      <c r="ARH100" s="575"/>
      <c r="ARI100" s="575"/>
      <c r="ARJ100" s="575"/>
      <c r="ARK100" s="575"/>
      <c r="ARL100" s="575"/>
      <c r="ARM100" s="575"/>
      <c r="ARN100" s="575"/>
      <c r="ARO100" s="575"/>
      <c r="ARP100" s="575"/>
      <c r="ARQ100" s="575"/>
      <c r="ARR100" s="575"/>
      <c r="ARS100" s="575"/>
      <c r="ART100" s="575"/>
      <c r="ARU100" s="575"/>
      <c r="ARV100" s="575"/>
      <c r="ARW100" s="575"/>
      <c r="ARX100" s="575"/>
      <c r="ARY100" s="575"/>
      <c r="ARZ100" s="575"/>
      <c r="ASA100" s="575"/>
      <c r="ASB100" s="575"/>
      <c r="ASC100" s="575"/>
      <c r="ASD100" s="575"/>
      <c r="ASE100" s="575"/>
      <c r="ASF100" s="575"/>
      <c r="ASG100" s="575"/>
      <c r="ASH100" s="575"/>
      <c r="ASI100" s="575"/>
      <c r="ASJ100" s="575"/>
      <c r="ASK100" s="575"/>
      <c r="ASL100" s="575"/>
      <c r="ASM100" s="575"/>
      <c r="ASN100" s="575"/>
      <c r="ASO100" s="575"/>
      <c r="ASP100" s="575"/>
      <c r="ASQ100" s="575"/>
      <c r="ASR100" s="575"/>
      <c r="ASS100" s="575"/>
      <c r="AST100" s="575"/>
      <c r="ASU100" s="575"/>
      <c r="ASV100" s="575"/>
      <c r="ASW100" s="575"/>
      <c r="ASX100" s="575"/>
      <c r="ASY100" s="575"/>
      <c r="ASZ100" s="575"/>
      <c r="ATA100" s="575"/>
      <c r="ATB100" s="575"/>
      <c r="ATC100" s="575"/>
      <c r="ATD100" s="575"/>
      <c r="ATE100" s="575"/>
      <c r="ATF100" s="575"/>
      <c r="ATG100" s="575"/>
      <c r="ATH100" s="575"/>
      <c r="ATI100" s="575"/>
      <c r="ATJ100" s="575"/>
      <c r="ATK100" s="575"/>
      <c r="ATL100" s="575"/>
      <c r="ATM100" s="575"/>
      <c r="ATN100" s="575"/>
      <c r="ATO100" s="575"/>
      <c r="ATP100" s="575"/>
      <c r="ATQ100" s="575"/>
      <c r="ATR100" s="575"/>
      <c r="ATS100" s="575"/>
      <c r="ATT100" s="575"/>
      <c r="ATU100" s="575"/>
      <c r="ATV100" s="575"/>
      <c r="ATW100" s="575"/>
      <c r="ATX100" s="575"/>
      <c r="ATY100" s="575"/>
      <c r="ATZ100" s="575"/>
      <c r="AUA100" s="575"/>
      <c r="AUB100" s="575"/>
      <c r="AUC100" s="575"/>
      <c r="AUD100" s="575"/>
      <c r="AUE100" s="575"/>
      <c r="AUF100" s="575"/>
      <c r="AUG100" s="575"/>
      <c r="AUH100" s="575"/>
      <c r="AUI100" s="575"/>
      <c r="AUJ100" s="575"/>
      <c r="AUK100" s="575"/>
      <c r="AUL100" s="575"/>
      <c r="AUM100" s="575"/>
      <c r="AUN100" s="575"/>
      <c r="AUO100" s="575"/>
      <c r="AUP100" s="575"/>
      <c r="AUQ100" s="575"/>
      <c r="AUR100" s="575"/>
      <c r="AUS100" s="575"/>
      <c r="AUT100" s="575"/>
      <c r="AUU100" s="575"/>
      <c r="AUV100" s="575"/>
      <c r="AUW100" s="575"/>
      <c r="AUX100" s="575"/>
      <c r="AUY100" s="575"/>
      <c r="AUZ100" s="575"/>
      <c r="AVA100" s="575"/>
      <c r="AVB100" s="575"/>
      <c r="AVC100" s="575"/>
      <c r="AVD100" s="575"/>
      <c r="AVE100" s="575"/>
      <c r="AVF100" s="575"/>
      <c r="AVG100" s="575"/>
      <c r="AVH100" s="575"/>
      <c r="AVI100" s="575"/>
      <c r="AVJ100" s="575"/>
      <c r="AVK100" s="575"/>
      <c r="AVL100" s="575"/>
      <c r="AVM100" s="575"/>
      <c r="AVN100" s="575"/>
      <c r="AVO100" s="575"/>
      <c r="AVP100" s="575"/>
      <c r="AVQ100" s="575"/>
      <c r="AVR100" s="575"/>
      <c r="AVS100" s="575"/>
      <c r="AVT100" s="575"/>
      <c r="AVU100" s="575"/>
      <c r="AVV100" s="575"/>
      <c r="AVW100" s="575"/>
      <c r="AVX100" s="575"/>
      <c r="AVY100" s="575"/>
      <c r="AVZ100" s="575"/>
      <c r="AWA100" s="575"/>
      <c r="AWB100" s="575"/>
      <c r="AWC100" s="575"/>
      <c r="AWD100" s="575"/>
      <c r="AWE100" s="575"/>
      <c r="AWF100" s="575"/>
      <c r="AWG100" s="575"/>
      <c r="AWH100" s="575"/>
      <c r="AWI100" s="575"/>
      <c r="AWJ100" s="575"/>
      <c r="AWK100" s="575"/>
      <c r="AWL100" s="575"/>
      <c r="AWM100" s="575"/>
      <c r="AWN100" s="575"/>
      <c r="AWO100" s="575"/>
      <c r="AWP100" s="575"/>
      <c r="AWQ100" s="575"/>
      <c r="AWR100" s="575"/>
      <c r="AWS100" s="575"/>
      <c r="AWT100" s="575"/>
      <c r="AWU100" s="575"/>
      <c r="AWV100" s="575"/>
      <c r="AWW100" s="575"/>
      <c r="AWX100" s="575"/>
      <c r="AWY100" s="575"/>
      <c r="AWZ100" s="575"/>
      <c r="AXA100" s="575"/>
      <c r="AXB100" s="575"/>
      <c r="AXC100" s="575"/>
      <c r="AXD100" s="575"/>
      <c r="AXE100" s="575"/>
      <c r="AXF100" s="575"/>
      <c r="AXG100" s="575"/>
      <c r="AXH100" s="575"/>
      <c r="AXI100" s="575"/>
      <c r="AXJ100" s="575"/>
      <c r="AXK100" s="575"/>
      <c r="AXL100" s="575"/>
      <c r="AXM100" s="575"/>
      <c r="AXN100" s="575"/>
      <c r="AXO100" s="575"/>
      <c r="AXP100" s="575"/>
      <c r="AXQ100" s="575"/>
      <c r="AXR100" s="575"/>
      <c r="AXS100" s="575"/>
      <c r="AXT100" s="575"/>
      <c r="AXU100" s="575"/>
      <c r="AXV100" s="575"/>
      <c r="AXW100" s="575"/>
      <c r="AXX100" s="575"/>
      <c r="AXY100" s="575"/>
      <c r="AXZ100" s="575"/>
      <c r="AYA100" s="575"/>
      <c r="AYB100" s="575"/>
      <c r="AYC100" s="575"/>
      <c r="AYD100" s="575"/>
      <c r="AYE100" s="575"/>
      <c r="AYF100" s="575"/>
      <c r="AYG100" s="575"/>
      <c r="AYH100" s="575"/>
      <c r="AYI100" s="575"/>
      <c r="AYJ100" s="575"/>
      <c r="AYK100" s="575"/>
      <c r="AYL100" s="575"/>
      <c r="AYM100" s="575"/>
      <c r="AYN100" s="575"/>
      <c r="AYO100" s="575"/>
      <c r="AYP100" s="575"/>
      <c r="AYQ100" s="575"/>
      <c r="AYR100" s="575"/>
      <c r="AYS100" s="575"/>
      <c r="AYT100" s="575"/>
      <c r="AYU100" s="575"/>
      <c r="AYV100" s="575"/>
      <c r="AYW100" s="575"/>
      <c r="AYX100" s="575"/>
      <c r="AYY100" s="575"/>
      <c r="AYZ100" s="575"/>
      <c r="AZA100" s="575"/>
      <c r="AZB100" s="575"/>
      <c r="AZC100" s="575"/>
      <c r="AZD100" s="575"/>
      <c r="AZE100" s="575"/>
      <c r="AZF100" s="575"/>
      <c r="AZG100" s="575"/>
      <c r="AZH100" s="575"/>
      <c r="AZI100" s="575"/>
      <c r="AZJ100" s="575"/>
      <c r="AZK100" s="575"/>
      <c r="AZL100" s="575"/>
      <c r="AZM100" s="575"/>
      <c r="AZN100" s="575"/>
      <c r="AZO100" s="575"/>
      <c r="AZP100" s="575"/>
      <c r="AZQ100" s="575"/>
      <c r="AZR100" s="575"/>
      <c r="AZS100" s="575"/>
      <c r="AZT100" s="575"/>
      <c r="AZU100" s="575"/>
      <c r="AZV100" s="575"/>
      <c r="AZW100" s="575"/>
      <c r="AZX100" s="575"/>
      <c r="AZY100" s="575"/>
      <c r="AZZ100" s="575"/>
      <c r="BAA100" s="575"/>
      <c r="BAB100" s="575"/>
      <c r="BAC100" s="575"/>
      <c r="BAD100" s="575"/>
      <c r="BAE100" s="575"/>
      <c r="BAF100" s="575"/>
      <c r="BAG100" s="575"/>
      <c r="BAH100" s="575"/>
      <c r="BAI100" s="575"/>
      <c r="BAJ100" s="575"/>
      <c r="BAK100" s="575"/>
      <c r="BAL100" s="575"/>
      <c r="BAM100" s="575"/>
      <c r="BAN100" s="575"/>
      <c r="BAO100" s="575"/>
      <c r="BAP100" s="575"/>
      <c r="BAQ100" s="575"/>
      <c r="BAR100" s="575"/>
      <c r="BAS100" s="575"/>
      <c r="BAT100" s="575"/>
      <c r="BAU100" s="575"/>
      <c r="BAV100" s="575"/>
      <c r="BAW100" s="575"/>
      <c r="BAX100" s="575"/>
      <c r="BAY100" s="575"/>
      <c r="BAZ100" s="575"/>
      <c r="BBA100" s="575"/>
      <c r="BBB100" s="575"/>
      <c r="BBC100" s="575"/>
      <c r="BBD100" s="575"/>
      <c r="BBE100" s="575"/>
      <c r="BBF100" s="575"/>
      <c r="BBG100" s="575"/>
      <c r="BBH100" s="575"/>
      <c r="BBI100" s="575"/>
      <c r="BBJ100" s="575"/>
      <c r="BBK100" s="575"/>
      <c r="BBL100" s="575"/>
      <c r="BBM100" s="575"/>
      <c r="BBN100" s="575"/>
      <c r="BBO100" s="575"/>
      <c r="BBP100" s="575"/>
      <c r="BBQ100" s="575"/>
      <c r="BBR100" s="575"/>
      <c r="BBS100" s="575"/>
      <c r="BBT100" s="575"/>
      <c r="BBU100" s="575"/>
      <c r="BBV100" s="575"/>
      <c r="BBW100" s="575"/>
      <c r="BBX100" s="575"/>
      <c r="BBY100" s="575"/>
      <c r="BBZ100" s="575"/>
      <c r="BCA100" s="575"/>
      <c r="BCB100" s="575"/>
      <c r="BCC100" s="575"/>
      <c r="BCD100" s="575"/>
      <c r="BCE100" s="575"/>
      <c r="BCF100" s="575"/>
      <c r="BCG100" s="575"/>
      <c r="BCH100" s="575"/>
      <c r="BCI100" s="575"/>
      <c r="BCJ100" s="575"/>
      <c r="BCK100" s="575"/>
      <c r="BCL100" s="575"/>
      <c r="BCM100" s="575"/>
      <c r="BCN100" s="575"/>
      <c r="BCO100" s="575"/>
      <c r="BCP100" s="575"/>
      <c r="BCQ100" s="575"/>
      <c r="BCR100" s="575"/>
      <c r="BCS100" s="575"/>
      <c r="BCT100" s="575"/>
      <c r="BCU100" s="575"/>
      <c r="BCV100" s="575"/>
      <c r="BCW100" s="575"/>
      <c r="BCX100" s="575"/>
      <c r="BCY100" s="575"/>
      <c r="BCZ100" s="575"/>
      <c r="BDA100" s="575"/>
      <c r="BDB100" s="575"/>
      <c r="BDC100" s="575"/>
      <c r="BDD100" s="575"/>
      <c r="BDE100" s="575"/>
      <c r="BDF100" s="575"/>
      <c r="BDG100" s="575"/>
      <c r="BDH100" s="575"/>
      <c r="BDI100" s="575"/>
      <c r="BDJ100" s="575"/>
      <c r="BDK100" s="575"/>
      <c r="BDL100" s="575"/>
      <c r="BDM100" s="575"/>
      <c r="BDN100" s="575"/>
      <c r="BDO100" s="575"/>
      <c r="BDP100" s="575"/>
      <c r="BDQ100" s="575"/>
      <c r="BDR100" s="575"/>
      <c r="BDS100" s="575"/>
      <c r="BDT100" s="575"/>
    </row>
    <row r="101" spans="1:1476" x14ac:dyDescent="0.25">
      <c r="A101" s="608">
        <v>5564</v>
      </c>
      <c r="B101" s="609" t="s">
        <v>245</v>
      </c>
      <c r="C101" s="610">
        <v>166924.92000000001</v>
      </c>
      <c r="D101" s="610">
        <v>18359.759999999998</v>
      </c>
      <c r="E101" s="610"/>
      <c r="F101" s="611"/>
      <c r="G101" s="610">
        <v>26.25</v>
      </c>
      <c r="H101" s="610">
        <v>13.7</v>
      </c>
      <c r="I101" s="610"/>
      <c r="J101" s="610"/>
      <c r="K101" s="610"/>
      <c r="L101" s="610">
        <v>11414.45</v>
      </c>
      <c r="M101" s="434">
        <f t="shared" si="4"/>
        <v>196739.08000000005</v>
      </c>
      <c r="N101" s="612">
        <v>0</v>
      </c>
      <c r="O101" s="612">
        <v>0</v>
      </c>
      <c r="P101" s="612">
        <v>0</v>
      </c>
      <c r="Q101" s="612">
        <v>0</v>
      </c>
      <c r="R101" s="612">
        <v>0</v>
      </c>
      <c r="S101" s="610">
        <v>4.17</v>
      </c>
      <c r="T101" s="543">
        <f t="shared" si="5"/>
        <v>196743.25000000006</v>
      </c>
      <c r="U101" s="575">
        <v>-5882.55</v>
      </c>
      <c r="V101" s="612"/>
      <c r="W101" s="612">
        <v>0</v>
      </c>
      <c r="X101" s="624">
        <v>76</v>
      </c>
      <c r="Y101" s="631">
        <v>0.8</v>
      </c>
      <c r="Z101" s="628">
        <f>VLOOKUP(A101,'[2]2022 toutes communes'!$B$9:$D$317,3,FALSE)</f>
        <v>99</v>
      </c>
      <c r="AA101" s="617"/>
      <c r="AB101" s="618">
        <v>0</v>
      </c>
      <c r="AC101" s="547">
        <f>AB101/VPI!R101</f>
        <v>0</v>
      </c>
      <c r="AD101" s="548">
        <f t="shared" si="6"/>
        <v>21737</v>
      </c>
      <c r="AE101" s="547">
        <f>AD101/VPI!R101</f>
        <v>8.5280843665075068</v>
      </c>
      <c r="AF101" s="618">
        <v>21737</v>
      </c>
      <c r="AG101" s="618">
        <v>4922</v>
      </c>
      <c r="AH101" s="618">
        <v>18338</v>
      </c>
      <c r="AI101" s="627"/>
      <c r="AJ101" s="628">
        <v>0</v>
      </c>
      <c r="AK101" s="547">
        <f>AJ101/VPI!R101</f>
        <v>0</v>
      </c>
      <c r="AL101" s="548">
        <f t="shared" si="7"/>
        <v>24231</v>
      </c>
      <c r="AM101" s="547">
        <f>AL101/VPI!R101</f>
        <v>9.5065562076111423</v>
      </c>
      <c r="AN101" s="628">
        <v>24231</v>
      </c>
      <c r="AO101" s="627"/>
      <c r="AP101" s="629">
        <v>-6.9625101970631746</v>
      </c>
      <c r="AR101" s="630">
        <v>0</v>
      </c>
    </row>
    <row r="102" spans="1:1476" x14ac:dyDescent="0.25">
      <c r="A102" s="608">
        <v>5565</v>
      </c>
      <c r="B102" s="609" t="s">
        <v>246</v>
      </c>
      <c r="C102" s="610">
        <v>719415.99</v>
      </c>
      <c r="D102" s="610">
        <v>104989.55</v>
      </c>
      <c r="E102" s="610"/>
      <c r="F102" s="611"/>
      <c r="G102" s="610">
        <v>-124487.15</v>
      </c>
      <c r="H102" s="610">
        <v>-99480.05</v>
      </c>
      <c r="I102" s="610"/>
      <c r="J102" s="610">
        <v>10082.75</v>
      </c>
      <c r="K102" s="610">
        <v>24489.35</v>
      </c>
      <c r="L102" s="610">
        <v>130356.95</v>
      </c>
      <c r="M102" s="434">
        <f t="shared" si="4"/>
        <v>765367.3899999999</v>
      </c>
      <c r="N102" s="612">
        <v>33324.1</v>
      </c>
      <c r="O102" s="612"/>
      <c r="P102" s="612">
        <v>39770.5</v>
      </c>
      <c r="Q102" s="612"/>
      <c r="R102" s="612">
        <v>17535.2</v>
      </c>
      <c r="S102" s="610">
        <v>-23405.72</v>
      </c>
      <c r="T102" s="543">
        <f t="shared" si="5"/>
        <v>832591.46999999986</v>
      </c>
      <c r="U102" s="575">
        <v>-1599.16</v>
      </c>
      <c r="V102" s="612"/>
      <c r="W102" s="612">
        <v>-35</v>
      </c>
      <c r="X102" s="624">
        <v>63.5</v>
      </c>
      <c r="Y102" s="631">
        <v>1</v>
      </c>
      <c r="Z102" s="628">
        <f>VLOOKUP(A102,'[2]2022 toutes communes'!$B$9:$D$317,3,FALSE)</f>
        <v>496</v>
      </c>
      <c r="AA102" s="617"/>
      <c r="AB102" s="618">
        <v>63556</v>
      </c>
      <c r="AC102" s="547">
        <f>AB102/VPI!R102</f>
        <v>5.4513792145857183</v>
      </c>
      <c r="AD102" s="548">
        <f t="shared" si="6"/>
        <v>86312</v>
      </c>
      <c r="AE102" s="547">
        <f>AD102/VPI!R102</f>
        <v>7.4032261748587471</v>
      </c>
      <c r="AF102" s="618">
        <v>149868</v>
      </c>
      <c r="AG102" s="618">
        <v>35483</v>
      </c>
      <c r="AH102" s="618">
        <v>65373</v>
      </c>
      <c r="AI102" s="627"/>
      <c r="AJ102" s="628">
        <v>1367</v>
      </c>
      <c r="AK102" s="547">
        <f>AJ102/VPI!R102</f>
        <v>0.11725148508934918</v>
      </c>
      <c r="AL102" s="548">
        <f t="shared" si="7"/>
        <v>36486</v>
      </c>
      <c r="AM102" s="547">
        <f>AL102/VPI!R102</f>
        <v>3.1295081821287449</v>
      </c>
      <c r="AN102" s="628">
        <v>37853</v>
      </c>
      <c r="AO102" s="627"/>
      <c r="AP102" s="629">
        <v>27.245096778364012</v>
      </c>
      <c r="AR102" s="630">
        <v>0</v>
      </c>
    </row>
    <row r="103" spans="1:1476" s="632" customFormat="1" x14ac:dyDescent="0.25">
      <c r="A103" s="608">
        <v>5566</v>
      </c>
      <c r="B103" s="609" t="s">
        <v>247</v>
      </c>
      <c r="C103" s="610">
        <v>539931.71</v>
      </c>
      <c r="D103" s="610">
        <v>65732.78</v>
      </c>
      <c r="E103" s="610"/>
      <c r="F103" s="611">
        <v>2730</v>
      </c>
      <c r="G103" s="610">
        <v>11600.3</v>
      </c>
      <c r="H103" s="610">
        <v>2695.85</v>
      </c>
      <c r="I103" s="610"/>
      <c r="J103" s="610">
        <v>12422.1</v>
      </c>
      <c r="K103" s="610">
        <v>2987.05</v>
      </c>
      <c r="L103" s="610">
        <v>84555.95</v>
      </c>
      <c r="M103" s="434">
        <f t="shared" si="4"/>
        <v>722655.74</v>
      </c>
      <c r="N103" s="612">
        <v>14030.45</v>
      </c>
      <c r="O103" s="612">
        <v>10726.4</v>
      </c>
      <c r="P103" s="612">
        <v>33157.300000000003</v>
      </c>
      <c r="Q103" s="612">
        <v>298.69</v>
      </c>
      <c r="R103" s="612">
        <v>25570.45</v>
      </c>
      <c r="S103" s="610">
        <v>1494.02</v>
      </c>
      <c r="T103" s="543">
        <f t="shared" si="5"/>
        <v>807933.04999999993</v>
      </c>
      <c r="U103" s="575">
        <v>-5344.53</v>
      </c>
      <c r="V103" s="612"/>
      <c r="W103" s="612">
        <v>-76.099999999999994</v>
      </c>
      <c r="X103" s="624">
        <v>81</v>
      </c>
      <c r="Y103" s="631">
        <v>1.5</v>
      </c>
      <c r="Z103" s="628">
        <f>VLOOKUP(A103,'[2]2022 toutes communes'!$B$9:$D$317,3,FALSE)</f>
        <v>403</v>
      </c>
      <c r="AA103" s="617"/>
      <c r="AB103" s="618">
        <v>37945</v>
      </c>
      <c r="AC103" s="547">
        <f>AB103/VPI!R103</f>
        <v>4.4489807520094153</v>
      </c>
      <c r="AD103" s="548">
        <f t="shared" si="6"/>
        <v>400893</v>
      </c>
      <c r="AE103" s="547">
        <f>AD103/VPI!R103</f>
        <v>47.003959431158535</v>
      </c>
      <c r="AF103" s="618">
        <v>438838</v>
      </c>
      <c r="AG103" s="618">
        <v>19259</v>
      </c>
      <c r="AH103" s="618">
        <v>46588</v>
      </c>
      <c r="AI103" s="627"/>
      <c r="AJ103" s="628">
        <v>0</v>
      </c>
      <c r="AK103" s="547">
        <f>AJ103/VPI!R103</f>
        <v>0</v>
      </c>
      <c r="AL103" s="548">
        <f t="shared" si="7"/>
        <v>11505</v>
      </c>
      <c r="AM103" s="547">
        <f>AL103/VPI!R103</f>
        <v>1.3489398748680543</v>
      </c>
      <c r="AN103" s="628">
        <v>11505</v>
      </c>
      <c r="AO103" s="627"/>
      <c r="AP103" s="629">
        <v>-2.7956895930347136</v>
      </c>
      <c r="AQ103" s="575"/>
      <c r="AR103" s="630">
        <v>0</v>
      </c>
      <c r="AS103" s="575"/>
      <c r="AT103" s="575"/>
      <c r="AU103" s="575"/>
      <c r="AV103" s="575"/>
      <c r="AW103" s="575"/>
      <c r="AX103" s="575"/>
      <c r="AY103" s="575"/>
      <c r="AZ103" s="575"/>
      <c r="BA103" s="575"/>
      <c r="BB103" s="575"/>
      <c r="BC103" s="575"/>
      <c r="BD103" s="575"/>
      <c r="BE103" s="575"/>
      <c r="BF103" s="575"/>
      <c r="BG103" s="575"/>
      <c r="BH103" s="575"/>
      <c r="BI103" s="575"/>
      <c r="BJ103" s="575"/>
      <c r="BK103" s="575"/>
      <c r="BL103" s="575"/>
      <c r="BM103" s="575"/>
      <c r="BN103" s="575"/>
      <c r="BO103" s="575"/>
      <c r="BP103" s="575"/>
      <c r="BQ103" s="575"/>
      <c r="BR103" s="575"/>
      <c r="BS103" s="575"/>
      <c r="BT103" s="575"/>
      <c r="BU103" s="575"/>
      <c r="BV103" s="575"/>
      <c r="BW103" s="575"/>
      <c r="BX103" s="575"/>
      <c r="BY103" s="575"/>
      <c r="BZ103" s="575"/>
      <c r="CA103" s="575"/>
      <c r="CB103" s="575"/>
      <c r="CC103" s="575"/>
      <c r="CD103" s="575"/>
      <c r="CE103" s="575"/>
      <c r="CF103" s="575"/>
      <c r="CG103" s="575"/>
      <c r="CH103" s="575"/>
      <c r="CI103" s="575"/>
      <c r="CJ103" s="575"/>
      <c r="CK103" s="575"/>
      <c r="CL103" s="575"/>
      <c r="CM103" s="575"/>
      <c r="CN103" s="575"/>
      <c r="CO103" s="575"/>
      <c r="CP103" s="575"/>
      <c r="CQ103" s="575"/>
      <c r="CR103" s="575"/>
      <c r="CS103" s="575"/>
      <c r="CT103" s="575"/>
      <c r="CU103" s="575"/>
      <c r="CV103" s="575"/>
      <c r="CW103" s="575"/>
      <c r="CX103" s="575"/>
      <c r="CY103" s="575"/>
      <c r="CZ103" s="575"/>
      <c r="DA103" s="575"/>
      <c r="DB103" s="575"/>
      <c r="DC103" s="575"/>
      <c r="DD103" s="575"/>
      <c r="DE103" s="575"/>
      <c r="DF103" s="575"/>
      <c r="DG103" s="575"/>
      <c r="DH103" s="575"/>
      <c r="DI103" s="575"/>
      <c r="DJ103" s="575"/>
      <c r="DK103" s="575"/>
      <c r="DL103" s="575"/>
      <c r="DM103" s="575"/>
      <c r="DN103" s="575"/>
      <c r="DO103" s="575"/>
      <c r="DP103" s="575"/>
      <c r="DQ103" s="575"/>
      <c r="DR103" s="575"/>
      <c r="DS103" s="575"/>
      <c r="DT103" s="575"/>
      <c r="DU103" s="575"/>
      <c r="DV103" s="575"/>
      <c r="DW103" s="575"/>
      <c r="DX103" s="575"/>
      <c r="DY103" s="575"/>
      <c r="DZ103" s="575"/>
      <c r="EA103" s="575"/>
      <c r="EB103" s="575"/>
      <c r="EC103" s="575"/>
      <c r="ED103" s="575"/>
      <c r="EE103" s="575"/>
      <c r="EF103" s="575"/>
      <c r="EG103" s="575"/>
      <c r="EH103" s="575"/>
      <c r="EI103" s="575"/>
      <c r="EJ103" s="575"/>
      <c r="EK103" s="575"/>
      <c r="EL103" s="575"/>
      <c r="EM103" s="575"/>
      <c r="EN103" s="575"/>
      <c r="EO103" s="575"/>
      <c r="EP103" s="575"/>
      <c r="EQ103" s="575"/>
      <c r="ER103" s="575"/>
      <c r="ES103" s="575"/>
      <c r="ET103" s="575"/>
      <c r="EU103" s="575"/>
      <c r="EV103" s="575"/>
      <c r="EW103" s="575"/>
      <c r="EX103" s="575"/>
      <c r="EY103" s="575"/>
      <c r="EZ103" s="575"/>
      <c r="FA103" s="575"/>
      <c r="FB103" s="575"/>
      <c r="FC103" s="575"/>
      <c r="FD103" s="575"/>
      <c r="FE103" s="575"/>
      <c r="FF103" s="575"/>
      <c r="FG103" s="575"/>
      <c r="FH103" s="575"/>
      <c r="FI103" s="575"/>
      <c r="FJ103" s="575"/>
      <c r="FK103" s="575"/>
      <c r="FL103" s="575"/>
      <c r="FM103" s="575"/>
      <c r="FN103" s="575"/>
      <c r="FO103" s="575"/>
      <c r="FP103" s="575"/>
      <c r="FQ103" s="575"/>
      <c r="FR103" s="575"/>
      <c r="FS103" s="575"/>
      <c r="FT103" s="575"/>
      <c r="FU103" s="575"/>
      <c r="FV103" s="575"/>
      <c r="FW103" s="575"/>
      <c r="FX103" s="575"/>
      <c r="FY103" s="575"/>
      <c r="FZ103" s="575"/>
      <c r="GA103" s="575"/>
      <c r="GB103" s="575"/>
      <c r="GC103" s="575"/>
      <c r="GD103" s="575"/>
      <c r="GE103" s="575"/>
      <c r="GF103" s="575"/>
      <c r="GG103" s="575"/>
      <c r="GH103" s="575"/>
      <c r="GI103" s="575"/>
      <c r="GJ103" s="575"/>
      <c r="GK103" s="575"/>
      <c r="GL103" s="575"/>
      <c r="GM103" s="575"/>
      <c r="GN103" s="575"/>
      <c r="GO103" s="575"/>
      <c r="GP103" s="575"/>
      <c r="GQ103" s="575"/>
      <c r="GR103" s="575"/>
      <c r="GS103" s="575"/>
      <c r="GT103" s="575"/>
      <c r="GU103" s="575"/>
      <c r="GV103" s="575"/>
      <c r="GW103" s="575"/>
      <c r="GX103" s="575"/>
      <c r="GY103" s="575"/>
      <c r="GZ103" s="575"/>
      <c r="HA103" s="575"/>
      <c r="HB103" s="575"/>
      <c r="HC103" s="575"/>
      <c r="HD103" s="575"/>
      <c r="HE103" s="575"/>
      <c r="HF103" s="575"/>
      <c r="HG103" s="575"/>
      <c r="HH103" s="575"/>
      <c r="HI103" s="575"/>
      <c r="HJ103" s="575"/>
      <c r="HK103" s="575"/>
      <c r="HL103" s="575"/>
      <c r="HM103" s="575"/>
      <c r="HN103" s="575"/>
      <c r="HO103" s="575"/>
      <c r="HP103" s="575"/>
      <c r="HQ103" s="575"/>
      <c r="HR103" s="575"/>
      <c r="HS103" s="575"/>
      <c r="HT103" s="575"/>
      <c r="HU103" s="575"/>
      <c r="HV103" s="575"/>
      <c r="HW103" s="575"/>
      <c r="HX103" s="575"/>
      <c r="HY103" s="575"/>
      <c r="HZ103" s="575"/>
      <c r="IA103" s="575"/>
      <c r="IB103" s="575"/>
      <c r="IC103" s="575"/>
      <c r="ID103" s="575"/>
      <c r="IE103" s="575"/>
      <c r="IF103" s="575"/>
      <c r="IG103" s="575"/>
      <c r="IH103" s="575"/>
      <c r="II103" s="575"/>
      <c r="IJ103" s="575"/>
      <c r="IK103" s="575"/>
      <c r="IL103" s="575"/>
      <c r="IM103" s="575"/>
      <c r="IN103" s="575"/>
      <c r="IO103" s="575"/>
      <c r="IP103" s="575"/>
      <c r="IQ103" s="575"/>
      <c r="IR103" s="575"/>
      <c r="IS103" s="575"/>
      <c r="IT103" s="575"/>
      <c r="IU103" s="575"/>
      <c r="IV103" s="575"/>
      <c r="IW103" s="575"/>
      <c r="IX103" s="575"/>
      <c r="IY103" s="575"/>
      <c r="IZ103" s="575"/>
      <c r="JA103" s="575"/>
      <c r="JB103" s="575"/>
      <c r="JC103" s="575"/>
      <c r="JD103" s="575"/>
      <c r="JE103" s="575"/>
      <c r="JF103" s="575"/>
      <c r="JG103" s="575"/>
      <c r="JH103" s="575"/>
      <c r="JI103" s="575"/>
      <c r="JJ103" s="575"/>
      <c r="JK103" s="575"/>
      <c r="JL103" s="575"/>
      <c r="JM103" s="575"/>
      <c r="JN103" s="575"/>
      <c r="JO103" s="575"/>
      <c r="JP103" s="575"/>
      <c r="JQ103" s="575"/>
      <c r="JR103" s="575"/>
      <c r="JS103" s="575"/>
      <c r="JT103" s="575"/>
      <c r="JU103" s="575"/>
      <c r="JV103" s="575"/>
      <c r="JW103" s="575"/>
      <c r="JX103" s="575"/>
      <c r="JY103" s="575"/>
      <c r="JZ103" s="575"/>
      <c r="KA103" s="575"/>
      <c r="KB103" s="575"/>
      <c r="KC103" s="575"/>
      <c r="KD103" s="575"/>
      <c r="KE103" s="575"/>
      <c r="KF103" s="575"/>
      <c r="KG103" s="575"/>
      <c r="KH103" s="575"/>
      <c r="KI103" s="575"/>
      <c r="KJ103" s="575"/>
      <c r="KK103" s="575"/>
      <c r="KL103" s="575"/>
      <c r="KM103" s="575"/>
      <c r="KN103" s="575"/>
      <c r="KO103" s="575"/>
      <c r="KP103" s="575"/>
      <c r="KQ103" s="575"/>
      <c r="KR103" s="575"/>
      <c r="KS103" s="575"/>
      <c r="KT103" s="575"/>
      <c r="KU103" s="575"/>
      <c r="KV103" s="575"/>
      <c r="KW103" s="575"/>
      <c r="KX103" s="575"/>
      <c r="KY103" s="575"/>
      <c r="KZ103" s="575"/>
      <c r="LA103" s="575"/>
      <c r="LB103" s="575"/>
      <c r="LC103" s="575"/>
      <c r="LD103" s="575"/>
      <c r="LE103" s="575"/>
      <c r="LF103" s="575"/>
      <c r="LG103" s="575"/>
      <c r="LH103" s="575"/>
      <c r="LI103" s="575"/>
      <c r="LJ103" s="575"/>
      <c r="LK103" s="575"/>
      <c r="LL103" s="575"/>
      <c r="LM103" s="575"/>
      <c r="LN103" s="575"/>
      <c r="LO103" s="575"/>
      <c r="LP103" s="575"/>
      <c r="LQ103" s="575"/>
      <c r="LR103" s="575"/>
      <c r="LS103" s="575"/>
      <c r="LT103" s="575"/>
      <c r="LU103" s="575"/>
      <c r="LV103" s="575"/>
      <c r="LW103" s="575"/>
      <c r="LX103" s="575"/>
      <c r="LY103" s="575"/>
      <c r="LZ103" s="575"/>
      <c r="MA103" s="575"/>
      <c r="MB103" s="575"/>
      <c r="MC103" s="575"/>
      <c r="MD103" s="575"/>
      <c r="ME103" s="575"/>
      <c r="MF103" s="575"/>
      <c r="MG103" s="575"/>
      <c r="MH103" s="575"/>
      <c r="MI103" s="575"/>
      <c r="MJ103" s="575"/>
      <c r="MK103" s="575"/>
      <c r="ML103" s="575"/>
      <c r="MM103" s="575"/>
      <c r="MN103" s="575"/>
      <c r="MO103" s="575"/>
      <c r="MP103" s="575"/>
      <c r="MQ103" s="575"/>
      <c r="MR103" s="575"/>
      <c r="MS103" s="575"/>
      <c r="MT103" s="575"/>
      <c r="MU103" s="575"/>
      <c r="MV103" s="575"/>
      <c r="MW103" s="575"/>
      <c r="MX103" s="575"/>
      <c r="MY103" s="575"/>
      <c r="MZ103" s="575"/>
      <c r="NA103" s="575"/>
      <c r="NB103" s="575"/>
      <c r="NC103" s="575"/>
      <c r="ND103" s="575"/>
      <c r="NE103" s="575"/>
      <c r="NF103" s="575"/>
      <c r="NG103" s="575"/>
      <c r="NH103" s="575"/>
      <c r="NI103" s="575"/>
      <c r="NJ103" s="575"/>
      <c r="NK103" s="575"/>
      <c r="NL103" s="575"/>
      <c r="NM103" s="575"/>
      <c r="NN103" s="575"/>
      <c r="NO103" s="575"/>
      <c r="NP103" s="575"/>
      <c r="NQ103" s="575"/>
      <c r="NR103" s="575"/>
      <c r="NS103" s="575"/>
      <c r="NT103" s="575"/>
      <c r="NU103" s="575"/>
      <c r="NV103" s="575"/>
      <c r="NW103" s="575"/>
      <c r="NX103" s="575"/>
      <c r="NY103" s="575"/>
      <c r="NZ103" s="575"/>
      <c r="OA103" s="575"/>
      <c r="OB103" s="575"/>
      <c r="OC103" s="575"/>
      <c r="OD103" s="575"/>
      <c r="OE103" s="575"/>
      <c r="OF103" s="575"/>
      <c r="OG103" s="575"/>
      <c r="OH103" s="575"/>
      <c r="OI103" s="575"/>
      <c r="OJ103" s="575"/>
      <c r="OK103" s="575"/>
      <c r="OL103" s="575"/>
      <c r="OM103" s="575"/>
      <c r="ON103" s="575"/>
      <c r="OO103" s="575"/>
      <c r="OP103" s="575"/>
      <c r="OQ103" s="575"/>
      <c r="OR103" s="575"/>
      <c r="OS103" s="575"/>
      <c r="OT103" s="575"/>
      <c r="OU103" s="575"/>
      <c r="OV103" s="575"/>
      <c r="OW103" s="575"/>
      <c r="OX103" s="575"/>
      <c r="OY103" s="575"/>
      <c r="OZ103" s="575"/>
      <c r="PA103" s="575"/>
      <c r="PB103" s="575"/>
      <c r="PC103" s="575"/>
      <c r="PD103" s="575"/>
      <c r="PE103" s="575"/>
      <c r="PF103" s="575"/>
      <c r="PG103" s="575"/>
      <c r="PH103" s="575"/>
      <c r="PI103" s="575"/>
      <c r="PJ103" s="575"/>
      <c r="PK103" s="575"/>
      <c r="PL103" s="575"/>
      <c r="PM103" s="575"/>
      <c r="PN103" s="575"/>
      <c r="PO103" s="575"/>
      <c r="PP103" s="575"/>
      <c r="PQ103" s="575"/>
      <c r="PR103" s="575"/>
      <c r="PS103" s="575"/>
      <c r="PT103" s="575"/>
      <c r="PU103" s="575"/>
      <c r="PV103" s="575"/>
      <c r="PW103" s="575"/>
      <c r="PX103" s="575"/>
      <c r="PY103" s="575"/>
      <c r="PZ103" s="575"/>
      <c r="QA103" s="575"/>
      <c r="QB103" s="575"/>
      <c r="QC103" s="575"/>
      <c r="QD103" s="575"/>
      <c r="QE103" s="575"/>
      <c r="QF103" s="575"/>
      <c r="QG103" s="575"/>
      <c r="QH103" s="575"/>
      <c r="QI103" s="575"/>
      <c r="QJ103" s="575"/>
      <c r="QK103" s="575"/>
      <c r="QL103" s="575"/>
      <c r="QM103" s="575"/>
      <c r="QN103" s="575"/>
      <c r="QO103" s="575"/>
      <c r="QP103" s="575"/>
      <c r="QQ103" s="575"/>
      <c r="QR103" s="575"/>
      <c r="QS103" s="575"/>
      <c r="QT103" s="575"/>
      <c r="QU103" s="575"/>
      <c r="QV103" s="575"/>
      <c r="QW103" s="575"/>
      <c r="QX103" s="575"/>
      <c r="QY103" s="575"/>
      <c r="QZ103" s="575"/>
      <c r="RA103" s="575"/>
      <c r="RB103" s="575"/>
      <c r="RC103" s="575"/>
      <c r="RD103" s="575"/>
      <c r="RE103" s="575"/>
      <c r="RF103" s="575"/>
      <c r="RG103" s="575"/>
      <c r="RH103" s="575"/>
      <c r="RI103" s="575"/>
      <c r="RJ103" s="575"/>
      <c r="RK103" s="575"/>
      <c r="RL103" s="575"/>
      <c r="RM103" s="575"/>
      <c r="RN103" s="575"/>
      <c r="RO103" s="575"/>
      <c r="RP103" s="575"/>
      <c r="RQ103" s="575"/>
      <c r="RR103" s="575"/>
      <c r="RS103" s="575"/>
      <c r="RT103" s="575"/>
      <c r="RU103" s="575"/>
      <c r="RV103" s="575"/>
      <c r="RW103" s="575"/>
      <c r="RX103" s="575"/>
      <c r="RY103" s="575"/>
      <c r="RZ103" s="575"/>
      <c r="SA103" s="575"/>
      <c r="SB103" s="575"/>
      <c r="SC103" s="575"/>
      <c r="SD103" s="575"/>
      <c r="SE103" s="575"/>
      <c r="SF103" s="575"/>
      <c r="SG103" s="575"/>
      <c r="SH103" s="575"/>
      <c r="SI103" s="575"/>
      <c r="SJ103" s="575"/>
      <c r="SK103" s="575"/>
      <c r="SL103" s="575"/>
      <c r="SM103" s="575"/>
      <c r="SN103" s="575"/>
      <c r="SO103" s="575"/>
      <c r="SP103" s="575"/>
      <c r="SQ103" s="575"/>
      <c r="SR103" s="575"/>
      <c r="SS103" s="575"/>
      <c r="ST103" s="575"/>
      <c r="SU103" s="575"/>
      <c r="SV103" s="575"/>
      <c r="SW103" s="575"/>
      <c r="SX103" s="575"/>
      <c r="SY103" s="575"/>
      <c r="SZ103" s="575"/>
      <c r="TA103" s="575"/>
      <c r="TB103" s="575"/>
      <c r="TC103" s="575"/>
      <c r="TD103" s="575"/>
      <c r="TE103" s="575"/>
      <c r="TF103" s="575"/>
      <c r="TG103" s="575"/>
      <c r="TH103" s="575"/>
      <c r="TI103" s="575"/>
      <c r="TJ103" s="575"/>
      <c r="TK103" s="575"/>
      <c r="TL103" s="575"/>
      <c r="TM103" s="575"/>
      <c r="TN103" s="575"/>
      <c r="TO103" s="575"/>
      <c r="TP103" s="575"/>
      <c r="TQ103" s="575"/>
      <c r="TR103" s="575"/>
      <c r="TS103" s="575"/>
      <c r="TT103" s="575"/>
      <c r="TU103" s="575"/>
      <c r="TV103" s="575"/>
      <c r="TW103" s="575"/>
      <c r="TX103" s="575"/>
      <c r="TY103" s="575"/>
      <c r="TZ103" s="575"/>
      <c r="UA103" s="575"/>
      <c r="UB103" s="575"/>
      <c r="UC103" s="575"/>
      <c r="UD103" s="575"/>
      <c r="UE103" s="575"/>
      <c r="UF103" s="575"/>
      <c r="UG103" s="575"/>
      <c r="UH103" s="575"/>
      <c r="UI103" s="575"/>
      <c r="UJ103" s="575"/>
      <c r="UK103" s="575"/>
      <c r="UL103" s="575"/>
      <c r="UM103" s="575"/>
      <c r="UN103" s="575"/>
      <c r="UO103" s="575"/>
      <c r="UP103" s="575"/>
      <c r="UQ103" s="575"/>
      <c r="UR103" s="575"/>
      <c r="US103" s="575"/>
      <c r="UT103" s="575"/>
      <c r="UU103" s="575"/>
      <c r="UV103" s="575"/>
      <c r="UW103" s="575"/>
      <c r="UX103" s="575"/>
      <c r="UY103" s="575"/>
      <c r="UZ103" s="575"/>
      <c r="VA103" s="575"/>
      <c r="VB103" s="575"/>
      <c r="VC103" s="575"/>
      <c r="VD103" s="575"/>
      <c r="VE103" s="575"/>
      <c r="VF103" s="575"/>
      <c r="VG103" s="575"/>
      <c r="VH103" s="575"/>
      <c r="VI103" s="575"/>
      <c r="VJ103" s="575"/>
      <c r="VK103" s="575"/>
      <c r="VL103" s="575"/>
      <c r="VM103" s="575"/>
      <c r="VN103" s="575"/>
      <c r="VO103" s="575"/>
      <c r="VP103" s="575"/>
      <c r="VQ103" s="575"/>
      <c r="VR103" s="575"/>
      <c r="VS103" s="575"/>
      <c r="VT103" s="575"/>
      <c r="VU103" s="575"/>
      <c r="VV103" s="575"/>
      <c r="VW103" s="575"/>
      <c r="VX103" s="575"/>
      <c r="VY103" s="575"/>
      <c r="VZ103" s="575"/>
      <c r="WA103" s="575"/>
      <c r="WB103" s="575"/>
      <c r="WC103" s="575"/>
      <c r="WD103" s="575"/>
      <c r="WE103" s="575"/>
      <c r="WF103" s="575"/>
      <c r="WG103" s="575"/>
      <c r="WH103" s="575"/>
      <c r="WI103" s="575"/>
      <c r="WJ103" s="575"/>
      <c r="WK103" s="575"/>
      <c r="WL103" s="575"/>
      <c r="WM103" s="575"/>
      <c r="WN103" s="575"/>
      <c r="WO103" s="575"/>
      <c r="WP103" s="575"/>
      <c r="WQ103" s="575"/>
      <c r="WR103" s="575"/>
      <c r="WS103" s="575"/>
      <c r="WT103" s="575"/>
      <c r="WU103" s="575"/>
      <c r="WV103" s="575"/>
      <c r="WW103" s="575"/>
      <c r="WX103" s="575"/>
      <c r="WY103" s="575"/>
      <c r="WZ103" s="575"/>
      <c r="XA103" s="575"/>
      <c r="XB103" s="575"/>
      <c r="XC103" s="575"/>
      <c r="XD103" s="575"/>
      <c r="XE103" s="575"/>
      <c r="XF103" s="575"/>
      <c r="XG103" s="575"/>
      <c r="XH103" s="575"/>
      <c r="XI103" s="575"/>
      <c r="XJ103" s="575"/>
      <c r="XK103" s="575"/>
      <c r="XL103" s="575"/>
      <c r="XM103" s="575"/>
      <c r="XN103" s="575"/>
      <c r="XO103" s="575"/>
      <c r="XP103" s="575"/>
      <c r="XQ103" s="575"/>
      <c r="XR103" s="575"/>
      <c r="XS103" s="575"/>
      <c r="XT103" s="575"/>
      <c r="XU103" s="575"/>
      <c r="XV103" s="575"/>
      <c r="XW103" s="575"/>
      <c r="XX103" s="575"/>
      <c r="XY103" s="575"/>
      <c r="XZ103" s="575"/>
      <c r="YA103" s="575"/>
      <c r="YB103" s="575"/>
      <c r="YC103" s="575"/>
      <c r="YD103" s="575"/>
      <c r="YE103" s="575"/>
      <c r="YF103" s="575"/>
      <c r="YG103" s="575"/>
      <c r="YH103" s="575"/>
      <c r="YI103" s="575"/>
      <c r="YJ103" s="575"/>
      <c r="YK103" s="575"/>
      <c r="YL103" s="575"/>
      <c r="YM103" s="575"/>
      <c r="YN103" s="575"/>
      <c r="YO103" s="575"/>
      <c r="YP103" s="575"/>
      <c r="YQ103" s="575"/>
      <c r="YR103" s="575"/>
      <c r="YS103" s="575"/>
      <c r="YT103" s="575"/>
      <c r="YU103" s="575"/>
      <c r="YV103" s="575"/>
      <c r="YW103" s="575"/>
      <c r="YX103" s="575"/>
      <c r="YY103" s="575"/>
      <c r="YZ103" s="575"/>
      <c r="ZA103" s="575"/>
      <c r="ZB103" s="575"/>
      <c r="ZC103" s="575"/>
      <c r="ZD103" s="575"/>
      <c r="ZE103" s="575"/>
      <c r="ZF103" s="575"/>
      <c r="ZG103" s="575"/>
      <c r="ZH103" s="575"/>
      <c r="ZI103" s="575"/>
      <c r="ZJ103" s="575"/>
      <c r="ZK103" s="575"/>
      <c r="ZL103" s="575"/>
      <c r="ZM103" s="575"/>
      <c r="ZN103" s="575"/>
      <c r="ZO103" s="575"/>
      <c r="ZP103" s="575"/>
      <c r="ZQ103" s="575"/>
      <c r="ZR103" s="575"/>
      <c r="ZS103" s="575"/>
      <c r="ZT103" s="575"/>
      <c r="ZU103" s="575"/>
      <c r="ZV103" s="575"/>
      <c r="ZW103" s="575"/>
      <c r="ZX103" s="575"/>
      <c r="ZY103" s="575"/>
      <c r="ZZ103" s="575"/>
      <c r="AAA103" s="575"/>
      <c r="AAB103" s="575"/>
      <c r="AAC103" s="575"/>
      <c r="AAD103" s="575"/>
      <c r="AAE103" s="575"/>
      <c r="AAF103" s="575"/>
      <c r="AAG103" s="575"/>
      <c r="AAH103" s="575"/>
      <c r="AAI103" s="575"/>
      <c r="AAJ103" s="575"/>
      <c r="AAK103" s="575"/>
      <c r="AAL103" s="575"/>
      <c r="AAM103" s="575"/>
      <c r="AAN103" s="575"/>
      <c r="AAO103" s="575"/>
      <c r="AAP103" s="575"/>
      <c r="AAQ103" s="575"/>
      <c r="AAR103" s="575"/>
      <c r="AAS103" s="575"/>
      <c r="AAT103" s="575"/>
      <c r="AAU103" s="575"/>
      <c r="AAV103" s="575"/>
      <c r="AAW103" s="575"/>
      <c r="AAX103" s="575"/>
      <c r="AAY103" s="575"/>
      <c r="AAZ103" s="575"/>
      <c r="ABA103" s="575"/>
      <c r="ABB103" s="575"/>
      <c r="ABC103" s="575"/>
      <c r="ABD103" s="575"/>
      <c r="ABE103" s="575"/>
      <c r="ABF103" s="575"/>
      <c r="ABG103" s="575"/>
      <c r="ABH103" s="575"/>
      <c r="ABI103" s="575"/>
      <c r="ABJ103" s="575"/>
      <c r="ABK103" s="575"/>
      <c r="ABL103" s="575"/>
      <c r="ABM103" s="575"/>
      <c r="ABN103" s="575"/>
      <c r="ABO103" s="575"/>
      <c r="ABP103" s="575"/>
      <c r="ABQ103" s="575"/>
      <c r="ABR103" s="575"/>
      <c r="ABS103" s="575"/>
      <c r="ABT103" s="575"/>
      <c r="ABU103" s="575"/>
      <c r="ABV103" s="575"/>
      <c r="ABW103" s="575"/>
      <c r="ABX103" s="575"/>
      <c r="ABY103" s="575"/>
      <c r="ABZ103" s="575"/>
      <c r="ACA103" s="575"/>
      <c r="ACB103" s="575"/>
      <c r="ACC103" s="575"/>
      <c r="ACD103" s="575"/>
      <c r="ACE103" s="575"/>
      <c r="ACF103" s="575"/>
      <c r="ACG103" s="575"/>
      <c r="ACH103" s="575"/>
      <c r="ACI103" s="575"/>
      <c r="ACJ103" s="575"/>
      <c r="ACK103" s="575"/>
      <c r="ACL103" s="575"/>
      <c r="ACM103" s="575"/>
      <c r="ACN103" s="575"/>
      <c r="ACO103" s="575"/>
      <c r="ACP103" s="575"/>
      <c r="ACQ103" s="575"/>
      <c r="ACR103" s="575"/>
      <c r="ACS103" s="575"/>
      <c r="ACT103" s="575"/>
      <c r="ACU103" s="575"/>
      <c r="ACV103" s="575"/>
      <c r="ACW103" s="575"/>
      <c r="ACX103" s="575"/>
      <c r="ACY103" s="575"/>
      <c r="ACZ103" s="575"/>
      <c r="ADA103" s="575"/>
      <c r="ADB103" s="575"/>
      <c r="ADC103" s="575"/>
      <c r="ADD103" s="575"/>
      <c r="ADE103" s="575"/>
      <c r="ADF103" s="575"/>
      <c r="ADG103" s="575"/>
      <c r="ADH103" s="575"/>
      <c r="ADI103" s="575"/>
      <c r="ADJ103" s="575"/>
      <c r="ADK103" s="575"/>
      <c r="ADL103" s="575"/>
      <c r="ADM103" s="575"/>
      <c r="ADN103" s="575"/>
      <c r="ADO103" s="575"/>
      <c r="ADP103" s="575"/>
      <c r="ADQ103" s="575"/>
      <c r="ADR103" s="575"/>
      <c r="ADS103" s="575"/>
      <c r="ADT103" s="575"/>
      <c r="ADU103" s="575"/>
      <c r="ADV103" s="575"/>
      <c r="ADW103" s="575"/>
      <c r="ADX103" s="575"/>
      <c r="ADY103" s="575"/>
      <c r="ADZ103" s="575"/>
      <c r="AEA103" s="575"/>
      <c r="AEB103" s="575"/>
      <c r="AEC103" s="575"/>
      <c r="AED103" s="575"/>
      <c r="AEE103" s="575"/>
      <c r="AEF103" s="575"/>
      <c r="AEG103" s="575"/>
      <c r="AEH103" s="575"/>
      <c r="AEI103" s="575"/>
      <c r="AEJ103" s="575"/>
      <c r="AEK103" s="575"/>
      <c r="AEL103" s="575"/>
      <c r="AEM103" s="575"/>
      <c r="AEN103" s="575"/>
      <c r="AEO103" s="575"/>
      <c r="AEP103" s="575"/>
      <c r="AEQ103" s="575"/>
      <c r="AER103" s="575"/>
      <c r="AES103" s="575"/>
      <c r="AET103" s="575"/>
      <c r="AEU103" s="575"/>
      <c r="AEV103" s="575"/>
      <c r="AEW103" s="575"/>
      <c r="AEX103" s="575"/>
      <c r="AEY103" s="575"/>
      <c r="AEZ103" s="575"/>
      <c r="AFA103" s="575"/>
      <c r="AFB103" s="575"/>
      <c r="AFC103" s="575"/>
      <c r="AFD103" s="575"/>
      <c r="AFE103" s="575"/>
      <c r="AFF103" s="575"/>
      <c r="AFG103" s="575"/>
      <c r="AFH103" s="575"/>
      <c r="AFI103" s="575"/>
      <c r="AFJ103" s="575"/>
      <c r="AFK103" s="575"/>
      <c r="AFL103" s="575"/>
      <c r="AFM103" s="575"/>
      <c r="AFN103" s="575"/>
      <c r="AFO103" s="575"/>
      <c r="AFP103" s="575"/>
      <c r="AFQ103" s="575"/>
      <c r="AFR103" s="575"/>
      <c r="AFS103" s="575"/>
      <c r="AFT103" s="575"/>
      <c r="AFU103" s="575"/>
      <c r="AFV103" s="575"/>
      <c r="AFW103" s="575"/>
      <c r="AFX103" s="575"/>
      <c r="AFY103" s="575"/>
      <c r="AFZ103" s="575"/>
      <c r="AGA103" s="575"/>
      <c r="AGB103" s="575"/>
      <c r="AGC103" s="575"/>
      <c r="AGD103" s="575"/>
      <c r="AGE103" s="575"/>
      <c r="AGF103" s="575"/>
      <c r="AGG103" s="575"/>
      <c r="AGH103" s="575"/>
      <c r="AGI103" s="575"/>
      <c r="AGJ103" s="575"/>
      <c r="AGK103" s="575"/>
      <c r="AGL103" s="575"/>
      <c r="AGM103" s="575"/>
      <c r="AGN103" s="575"/>
      <c r="AGO103" s="575"/>
      <c r="AGP103" s="575"/>
      <c r="AGQ103" s="575"/>
      <c r="AGR103" s="575"/>
      <c r="AGS103" s="575"/>
      <c r="AGT103" s="575"/>
      <c r="AGU103" s="575"/>
      <c r="AGV103" s="575"/>
      <c r="AGW103" s="575"/>
      <c r="AGX103" s="575"/>
      <c r="AGY103" s="575"/>
      <c r="AGZ103" s="575"/>
      <c r="AHA103" s="575"/>
      <c r="AHB103" s="575"/>
      <c r="AHC103" s="575"/>
      <c r="AHD103" s="575"/>
      <c r="AHE103" s="575"/>
      <c r="AHF103" s="575"/>
      <c r="AHG103" s="575"/>
      <c r="AHH103" s="575"/>
      <c r="AHI103" s="575"/>
      <c r="AHJ103" s="575"/>
      <c r="AHK103" s="575"/>
      <c r="AHL103" s="575"/>
      <c r="AHM103" s="575"/>
      <c r="AHN103" s="575"/>
      <c r="AHO103" s="575"/>
      <c r="AHP103" s="575"/>
      <c r="AHQ103" s="575"/>
      <c r="AHR103" s="575"/>
      <c r="AHS103" s="575"/>
      <c r="AHT103" s="575"/>
      <c r="AHU103" s="575"/>
      <c r="AHV103" s="575"/>
      <c r="AHW103" s="575"/>
      <c r="AHX103" s="575"/>
      <c r="AHY103" s="575"/>
      <c r="AHZ103" s="575"/>
      <c r="AIA103" s="575"/>
      <c r="AIB103" s="575"/>
      <c r="AIC103" s="575"/>
      <c r="AID103" s="575"/>
      <c r="AIE103" s="575"/>
      <c r="AIF103" s="575"/>
      <c r="AIG103" s="575"/>
      <c r="AIH103" s="575"/>
      <c r="AII103" s="575"/>
      <c r="AIJ103" s="575"/>
      <c r="AIK103" s="575"/>
      <c r="AIL103" s="575"/>
      <c r="AIM103" s="575"/>
      <c r="AIN103" s="575"/>
      <c r="AIO103" s="575"/>
      <c r="AIP103" s="575"/>
      <c r="AIQ103" s="575"/>
      <c r="AIR103" s="575"/>
      <c r="AIS103" s="575"/>
      <c r="AIT103" s="575"/>
      <c r="AIU103" s="575"/>
      <c r="AIV103" s="575"/>
      <c r="AIW103" s="575"/>
      <c r="AIX103" s="575"/>
      <c r="AIY103" s="575"/>
      <c r="AIZ103" s="575"/>
      <c r="AJA103" s="575"/>
      <c r="AJB103" s="575"/>
      <c r="AJC103" s="575"/>
      <c r="AJD103" s="575"/>
      <c r="AJE103" s="575"/>
      <c r="AJF103" s="575"/>
      <c r="AJG103" s="575"/>
      <c r="AJH103" s="575"/>
      <c r="AJI103" s="575"/>
      <c r="AJJ103" s="575"/>
      <c r="AJK103" s="575"/>
      <c r="AJL103" s="575"/>
      <c r="AJM103" s="575"/>
      <c r="AJN103" s="575"/>
      <c r="AJO103" s="575"/>
      <c r="AJP103" s="575"/>
      <c r="AJQ103" s="575"/>
      <c r="AJR103" s="575"/>
      <c r="AJS103" s="575"/>
      <c r="AJT103" s="575"/>
      <c r="AJU103" s="575"/>
      <c r="AJV103" s="575"/>
      <c r="AJW103" s="575"/>
      <c r="AJX103" s="575"/>
      <c r="AJY103" s="575"/>
      <c r="AJZ103" s="575"/>
      <c r="AKA103" s="575"/>
      <c r="AKB103" s="575"/>
      <c r="AKC103" s="575"/>
      <c r="AKD103" s="575"/>
      <c r="AKE103" s="575"/>
      <c r="AKF103" s="575"/>
      <c r="AKG103" s="575"/>
      <c r="AKH103" s="575"/>
      <c r="AKI103" s="575"/>
      <c r="AKJ103" s="575"/>
      <c r="AKK103" s="575"/>
      <c r="AKL103" s="575"/>
      <c r="AKM103" s="575"/>
      <c r="AKN103" s="575"/>
      <c r="AKO103" s="575"/>
      <c r="AKP103" s="575"/>
      <c r="AKQ103" s="575"/>
      <c r="AKR103" s="575"/>
      <c r="AKS103" s="575"/>
      <c r="AKT103" s="575"/>
      <c r="AKU103" s="575"/>
      <c r="AKV103" s="575"/>
      <c r="AKW103" s="575"/>
      <c r="AKX103" s="575"/>
      <c r="AKY103" s="575"/>
      <c r="AKZ103" s="575"/>
      <c r="ALA103" s="575"/>
      <c r="ALB103" s="575"/>
      <c r="ALC103" s="575"/>
      <c r="ALD103" s="575"/>
      <c r="ALE103" s="575"/>
      <c r="ALF103" s="575"/>
      <c r="ALG103" s="575"/>
      <c r="ALH103" s="575"/>
      <c r="ALI103" s="575"/>
      <c r="ALJ103" s="575"/>
      <c r="ALK103" s="575"/>
      <c r="ALL103" s="575"/>
      <c r="ALM103" s="575"/>
      <c r="ALN103" s="575"/>
      <c r="ALO103" s="575"/>
      <c r="ALP103" s="575"/>
      <c r="ALQ103" s="575"/>
      <c r="ALR103" s="575"/>
      <c r="ALS103" s="575"/>
      <c r="ALT103" s="575"/>
      <c r="ALU103" s="575"/>
      <c r="ALV103" s="575"/>
      <c r="ALW103" s="575"/>
      <c r="ALX103" s="575"/>
      <c r="ALY103" s="575"/>
      <c r="ALZ103" s="575"/>
      <c r="AMA103" s="575"/>
      <c r="AMB103" s="575"/>
      <c r="AMC103" s="575"/>
      <c r="AMD103" s="575"/>
      <c r="AME103" s="575"/>
      <c r="AMF103" s="575"/>
      <c r="AMG103" s="575"/>
      <c r="AMH103" s="575"/>
      <c r="AMI103" s="575"/>
      <c r="AMJ103" s="575"/>
      <c r="AMK103" s="575"/>
      <c r="AML103" s="575"/>
      <c r="AMM103" s="575"/>
      <c r="AMN103" s="575"/>
      <c r="AMO103" s="575"/>
      <c r="AMP103" s="575"/>
      <c r="AMQ103" s="575"/>
      <c r="AMR103" s="575"/>
      <c r="AMS103" s="575"/>
      <c r="AMT103" s="575"/>
      <c r="AMU103" s="575"/>
      <c r="AMV103" s="575"/>
      <c r="AMW103" s="575"/>
      <c r="AMX103" s="575"/>
      <c r="AMY103" s="575"/>
      <c r="AMZ103" s="575"/>
      <c r="ANA103" s="575"/>
      <c r="ANB103" s="575"/>
      <c r="ANC103" s="575"/>
      <c r="AND103" s="575"/>
      <c r="ANE103" s="575"/>
      <c r="ANF103" s="575"/>
      <c r="ANG103" s="575"/>
      <c r="ANH103" s="575"/>
      <c r="ANI103" s="575"/>
      <c r="ANJ103" s="575"/>
      <c r="ANK103" s="575"/>
      <c r="ANL103" s="575"/>
      <c r="ANM103" s="575"/>
      <c r="ANN103" s="575"/>
      <c r="ANO103" s="575"/>
      <c r="ANP103" s="575"/>
      <c r="ANQ103" s="575"/>
      <c r="ANR103" s="575"/>
      <c r="ANS103" s="575"/>
      <c r="ANT103" s="575"/>
      <c r="ANU103" s="575"/>
      <c r="ANV103" s="575"/>
      <c r="ANW103" s="575"/>
      <c r="ANX103" s="575"/>
      <c r="ANY103" s="575"/>
      <c r="ANZ103" s="575"/>
      <c r="AOA103" s="575"/>
      <c r="AOB103" s="575"/>
      <c r="AOC103" s="575"/>
      <c r="AOD103" s="575"/>
      <c r="AOE103" s="575"/>
      <c r="AOF103" s="575"/>
      <c r="AOG103" s="575"/>
      <c r="AOH103" s="575"/>
      <c r="AOI103" s="575"/>
      <c r="AOJ103" s="575"/>
      <c r="AOK103" s="575"/>
      <c r="AOL103" s="575"/>
      <c r="AOM103" s="575"/>
      <c r="AON103" s="575"/>
      <c r="AOO103" s="575"/>
      <c r="AOP103" s="575"/>
      <c r="AOQ103" s="575"/>
      <c r="AOR103" s="575"/>
      <c r="AOS103" s="575"/>
      <c r="AOT103" s="575"/>
      <c r="AOU103" s="575"/>
      <c r="AOV103" s="575"/>
      <c r="AOW103" s="575"/>
      <c r="AOX103" s="575"/>
      <c r="AOY103" s="575"/>
      <c r="AOZ103" s="575"/>
      <c r="APA103" s="575"/>
      <c r="APB103" s="575"/>
      <c r="APC103" s="575"/>
      <c r="APD103" s="575"/>
      <c r="APE103" s="575"/>
      <c r="APF103" s="575"/>
      <c r="APG103" s="575"/>
      <c r="APH103" s="575"/>
      <c r="API103" s="575"/>
      <c r="APJ103" s="575"/>
      <c r="APK103" s="575"/>
      <c r="APL103" s="575"/>
      <c r="APM103" s="575"/>
      <c r="APN103" s="575"/>
      <c r="APO103" s="575"/>
      <c r="APP103" s="575"/>
      <c r="APQ103" s="575"/>
      <c r="APR103" s="575"/>
      <c r="APS103" s="575"/>
      <c r="APT103" s="575"/>
      <c r="APU103" s="575"/>
      <c r="APV103" s="575"/>
      <c r="APW103" s="575"/>
      <c r="APX103" s="575"/>
      <c r="APY103" s="575"/>
      <c r="APZ103" s="575"/>
      <c r="AQA103" s="575"/>
      <c r="AQB103" s="575"/>
      <c r="AQC103" s="575"/>
      <c r="AQD103" s="575"/>
      <c r="AQE103" s="575"/>
      <c r="AQF103" s="575"/>
      <c r="AQG103" s="575"/>
      <c r="AQH103" s="575"/>
      <c r="AQI103" s="575"/>
      <c r="AQJ103" s="575"/>
      <c r="AQK103" s="575"/>
      <c r="AQL103" s="575"/>
      <c r="AQM103" s="575"/>
      <c r="AQN103" s="575"/>
      <c r="AQO103" s="575"/>
      <c r="AQP103" s="575"/>
      <c r="AQQ103" s="575"/>
      <c r="AQR103" s="575"/>
      <c r="AQS103" s="575"/>
      <c r="AQT103" s="575"/>
      <c r="AQU103" s="575"/>
      <c r="AQV103" s="575"/>
      <c r="AQW103" s="575"/>
      <c r="AQX103" s="575"/>
      <c r="AQY103" s="575"/>
      <c r="AQZ103" s="575"/>
      <c r="ARA103" s="575"/>
      <c r="ARB103" s="575"/>
      <c r="ARC103" s="575"/>
      <c r="ARD103" s="575"/>
      <c r="ARE103" s="575"/>
      <c r="ARF103" s="575"/>
      <c r="ARG103" s="575"/>
      <c r="ARH103" s="575"/>
      <c r="ARI103" s="575"/>
      <c r="ARJ103" s="575"/>
      <c r="ARK103" s="575"/>
      <c r="ARL103" s="575"/>
      <c r="ARM103" s="575"/>
      <c r="ARN103" s="575"/>
      <c r="ARO103" s="575"/>
      <c r="ARP103" s="575"/>
      <c r="ARQ103" s="575"/>
      <c r="ARR103" s="575"/>
      <c r="ARS103" s="575"/>
      <c r="ART103" s="575"/>
      <c r="ARU103" s="575"/>
      <c r="ARV103" s="575"/>
      <c r="ARW103" s="575"/>
      <c r="ARX103" s="575"/>
      <c r="ARY103" s="575"/>
      <c r="ARZ103" s="575"/>
      <c r="ASA103" s="575"/>
      <c r="ASB103" s="575"/>
      <c r="ASC103" s="575"/>
      <c r="ASD103" s="575"/>
      <c r="ASE103" s="575"/>
      <c r="ASF103" s="575"/>
      <c r="ASG103" s="575"/>
      <c r="ASH103" s="575"/>
      <c r="ASI103" s="575"/>
      <c r="ASJ103" s="575"/>
      <c r="ASK103" s="575"/>
      <c r="ASL103" s="575"/>
      <c r="ASM103" s="575"/>
      <c r="ASN103" s="575"/>
      <c r="ASO103" s="575"/>
      <c r="ASP103" s="575"/>
      <c r="ASQ103" s="575"/>
      <c r="ASR103" s="575"/>
      <c r="ASS103" s="575"/>
      <c r="AST103" s="575"/>
      <c r="ASU103" s="575"/>
      <c r="ASV103" s="575"/>
      <c r="ASW103" s="575"/>
      <c r="ASX103" s="575"/>
      <c r="ASY103" s="575"/>
      <c r="ASZ103" s="575"/>
      <c r="ATA103" s="575"/>
      <c r="ATB103" s="575"/>
      <c r="ATC103" s="575"/>
      <c r="ATD103" s="575"/>
      <c r="ATE103" s="575"/>
      <c r="ATF103" s="575"/>
      <c r="ATG103" s="575"/>
      <c r="ATH103" s="575"/>
      <c r="ATI103" s="575"/>
      <c r="ATJ103" s="575"/>
      <c r="ATK103" s="575"/>
      <c r="ATL103" s="575"/>
      <c r="ATM103" s="575"/>
      <c r="ATN103" s="575"/>
      <c r="ATO103" s="575"/>
      <c r="ATP103" s="575"/>
      <c r="ATQ103" s="575"/>
      <c r="ATR103" s="575"/>
      <c r="ATS103" s="575"/>
      <c r="ATT103" s="575"/>
      <c r="ATU103" s="575"/>
      <c r="ATV103" s="575"/>
      <c r="ATW103" s="575"/>
      <c r="ATX103" s="575"/>
      <c r="ATY103" s="575"/>
      <c r="ATZ103" s="575"/>
      <c r="AUA103" s="575"/>
      <c r="AUB103" s="575"/>
      <c r="AUC103" s="575"/>
      <c r="AUD103" s="575"/>
      <c r="AUE103" s="575"/>
      <c r="AUF103" s="575"/>
      <c r="AUG103" s="575"/>
      <c r="AUH103" s="575"/>
      <c r="AUI103" s="575"/>
      <c r="AUJ103" s="575"/>
      <c r="AUK103" s="575"/>
      <c r="AUL103" s="575"/>
      <c r="AUM103" s="575"/>
      <c r="AUN103" s="575"/>
      <c r="AUO103" s="575"/>
      <c r="AUP103" s="575"/>
      <c r="AUQ103" s="575"/>
      <c r="AUR103" s="575"/>
      <c r="AUS103" s="575"/>
      <c r="AUT103" s="575"/>
      <c r="AUU103" s="575"/>
      <c r="AUV103" s="575"/>
      <c r="AUW103" s="575"/>
      <c r="AUX103" s="575"/>
      <c r="AUY103" s="575"/>
      <c r="AUZ103" s="575"/>
      <c r="AVA103" s="575"/>
      <c r="AVB103" s="575"/>
      <c r="AVC103" s="575"/>
      <c r="AVD103" s="575"/>
      <c r="AVE103" s="575"/>
      <c r="AVF103" s="575"/>
      <c r="AVG103" s="575"/>
      <c r="AVH103" s="575"/>
      <c r="AVI103" s="575"/>
      <c r="AVJ103" s="575"/>
      <c r="AVK103" s="575"/>
      <c r="AVL103" s="575"/>
      <c r="AVM103" s="575"/>
      <c r="AVN103" s="575"/>
      <c r="AVO103" s="575"/>
      <c r="AVP103" s="575"/>
      <c r="AVQ103" s="575"/>
      <c r="AVR103" s="575"/>
      <c r="AVS103" s="575"/>
      <c r="AVT103" s="575"/>
      <c r="AVU103" s="575"/>
      <c r="AVV103" s="575"/>
      <c r="AVW103" s="575"/>
      <c r="AVX103" s="575"/>
      <c r="AVY103" s="575"/>
      <c r="AVZ103" s="575"/>
      <c r="AWA103" s="575"/>
      <c r="AWB103" s="575"/>
      <c r="AWC103" s="575"/>
      <c r="AWD103" s="575"/>
      <c r="AWE103" s="575"/>
      <c r="AWF103" s="575"/>
      <c r="AWG103" s="575"/>
      <c r="AWH103" s="575"/>
      <c r="AWI103" s="575"/>
      <c r="AWJ103" s="575"/>
      <c r="AWK103" s="575"/>
      <c r="AWL103" s="575"/>
      <c r="AWM103" s="575"/>
      <c r="AWN103" s="575"/>
      <c r="AWO103" s="575"/>
      <c r="AWP103" s="575"/>
      <c r="AWQ103" s="575"/>
      <c r="AWR103" s="575"/>
      <c r="AWS103" s="575"/>
      <c r="AWT103" s="575"/>
      <c r="AWU103" s="575"/>
      <c r="AWV103" s="575"/>
      <c r="AWW103" s="575"/>
      <c r="AWX103" s="575"/>
      <c r="AWY103" s="575"/>
      <c r="AWZ103" s="575"/>
      <c r="AXA103" s="575"/>
      <c r="AXB103" s="575"/>
      <c r="AXC103" s="575"/>
      <c r="AXD103" s="575"/>
      <c r="AXE103" s="575"/>
      <c r="AXF103" s="575"/>
      <c r="AXG103" s="575"/>
      <c r="AXH103" s="575"/>
      <c r="AXI103" s="575"/>
      <c r="AXJ103" s="575"/>
      <c r="AXK103" s="575"/>
      <c r="AXL103" s="575"/>
      <c r="AXM103" s="575"/>
      <c r="AXN103" s="575"/>
      <c r="AXO103" s="575"/>
      <c r="AXP103" s="575"/>
      <c r="AXQ103" s="575"/>
      <c r="AXR103" s="575"/>
      <c r="AXS103" s="575"/>
      <c r="AXT103" s="575"/>
      <c r="AXU103" s="575"/>
      <c r="AXV103" s="575"/>
      <c r="AXW103" s="575"/>
      <c r="AXX103" s="575"/>
      <c r="AXY103" s="575"/>
      <c r="AXZ103" s="575"/>
      <c r="AYA103" s="575"/>
      <c r="AYB103" s="575"/>
      <c r="AYC103" s="575"/>
      <c r="AYD103" s="575"/>
      <c r="AYE103" s="575"/>
      <c r="AYF103" s="575"/>
      <c r="AYG103" s="575"/>
      <c r="AYH103" s="575"/>
      <c r="AYI103" s="575"/>
      <c r="AYJ103" s="575"/>
      <c r="AYK103" s="575"/>
      <c r="AYL103" s="575"/>
      <c r="AYM103" s="575"/>
      <c r="AYN103" s="575"/>
      <c r="AYO103" s="575"/>
      <c r="AYP103" s="575"/>
      <c r="AYQ103" s="575"/>
      <c r="AYR103" s="575"/>
      <c r="AYS103" s="575"/>
      <c r="AYT103" s="575"/>
      <c r="AYU103" s="575"/>
      <c r="AYV103" s="575"/>
      <c r="AYW103" s="575"/>
      <c r="AYX103" s="575"/>
      <c r="AYY103" s="575"/>
      <c r="AYZ103" s="575"/>
      <c r="AZA103" s="575"/>
      <c r="AZB103" s="575"/>
      <c r="AZC103" s="575"/>
      <c r="AZD103" s="575"/>
      <c r="AZE103" s="575"/>
      <c r="AZF103" s="575"/>
      <c r="AZG103" s="575"/>
      <c r="AZH103" s="575"/>
      <c r="AZI103" s="575"/>
      <c r="AZJ103" s="575"/>
      <c r="AZK103" s="575"/>
      <c r="AZL103" s="575"/>
      <c r="AZM103" s="575"/>
      <c r="AZN103" s="575"/>
      <c r="AZO103" s="575"/>
      <c r="AZP103" s="575"/>
      <c r="AZQ103" s="575"/>
      <c r="AZR103" s="575"/>
      <c r="AZS103" s="575"/>
      <c r="AZT103" s="575"/>
      <c r="AZU103" s="575"/>
      <c r="AZV103" s="575"/>
      <c r="AZW103" s="575"/>
      <c r="AZX103" s="575"/>
      <c r="AZY103" s="575"/>
      <c r="AZZ103" s="575"/>
      <c r="BAA103" s="575"/>
      <c r="BAB103" s="575"/>
      <c r="BAC103" s="575"/>
      <c r="BAD103" s="575"/>
      <c r="BAE103" s="575"/>
      <c r="BAF103" s="575"/>
      <c r="BAG103" s="575"/>
      <c r="BAH103" s="575"/>
      <c r="BAI103" s="575"/>
      <c r="BAJ103" s="575"/>
      <c r="BAK103" s="575"/>
      <c r="BAL103" s="575"/>
      <c r="BAM103" s="575"/>
      <c r="BAN103" s="575"/>
      <c r="BAO103" s="575"/>
      <c r="BAP103" s="575"/>
      <c r="BAQ103" s="575"/>
      <c r="BAR103" s="575"/>
      <c r="BAS103" s="575"/>
      <c r="BAT103" s="575"/>
      <c r="BAU103" s="575"/>
      <c r="BAV103" s="575"/>
      <c r="BAW103" s="575"/>
      <c r="BAX103" s="575"/>
      <c r="BAY103" s="575"/>
      <c r="BAZ103" s="575"/>
      <c r="BBA103" s="575"/>
      <c r="BBB103" s="575"/>
      <c r="BBC103" s="575"/>
      <c r="BBD103" s="575"/>
      <c r="BBE103" s="575"/>
      <c r="BBF103" s="575"/>
      <c r="BBG103" s="575"/>
      <c r="BBH103" s="575"/>
      <c r="BBI103" s="575"/>
      <c r="BBJ103" s="575"/>
      <c r="BBK103" s="575"/>
      <c r="BBL103" s="575"/>
      <c r="BBM103" s="575"/>
      <c r="BBN103" s="575"/>
      <c r="BBO103" s="575"/>
      <c r="BBP103" s="575"/>
      <c r="BBQ103" s="575"/>
      <c r="BBR103" s="575"/>
      <c r="BBS103" s="575"/>
      <c r="BBT103" s="575"/>
      <c r="BBU103" s="575"/>
      <c r="BBV103" s="575"/>
      <c r="BBW103" s="575"/>
      <c r="BBX103" s="575"/>
      <c r="BBY103" s="575"/>
      <c r="BBZ103" s="575"/>
      <c r="BCA103" s="575"/>
      <c r="BCB103" s="575"/>
      <c r="BCC103" s="575"/>
      <c r="BCD103" s="575"/>
      <c r="BCE103" s="575"/>
      <c r="BCF103" s="575"/>
      <c r="BCG103" s="575"/>
      <c r="BCH103" s="575"/>
      <c r="BCI103" s="575"/>
      <c r="BCJ103" s="575"/>
      <c r="BCK103" s="575"/>
      <c r="BCL103" s="575"/>
      <c r="BCM103" s="575"/>
      <c r="BCN103" s="575"/>
      <c r="BCO103" s="575"/>
      <c r="BCP103" s="575"/>
      <c r="BCQ103" s="575"/>
      <c r="BCR103" s="575"/>
      <c r="BCS103" s="575"/>
      <c r="BCT103" s="575"/>
      <c r="BCU103" s="575"/>
      <c r="BCV103" s="575"/>
      <c r="BCW103" s="575"/>
      <c r="BCX103" s="575"/>
      <c r="BCY103" s="575"/>
      <c r="BCZ103" s="575"/>
      <c r="BDA103" s="575"/>
      <c r="BDB103" s="575"/>
      <c r="BDC103" s="575"/>
      <c r="BDD103" s="575"/>
      <c r="BDE103" s="575"/>
      <c r="BDF103" s="575"/>
      <c r="BDG103" s="575"/>
      <c r="BDH103" s="575"/>
      <c r="BDI103" s="575"/>
      <c r="BDJ103" s="575"/>
      <c r="BDK103" s="575"/>
      <c r="BDL103" s="575"/>
      <c r="BDM103" s="575"/>
      <c r="BDN103" s="575"/>
      <c r="BDO103" s="575"/>
      <c r="BDP103" s="575"/>
      <c r="BDQ103" s="575"/>
      <c r="BDR103" s="575"/>
      <c r="BDS103" s="575"/>
      <c r="BDT103" s="575"/>
    </row>
    <row r="104" spans="1:1476" x14ac:dyDescent="0.25">
      <c r="A104" s="608">
        <v>5568</v>
      </c>
      <c r="B104" s="609" t="s">
        <v>107</v>
      </c>
      <c r="C104" s="610">
        <v>5646190.29</v>
      </c>
      <c r="D104" s="610">
        <v>868117.01</v>
      </c>
      <c r="E104" s="610"/>
      <c r="F104" s="611"/>
      <c r="G104" s="610">
        <v>144826.54999999999</v>
      </c>
      <c r="H104" s="610">
        <v>6590.15</v>
      </c>
      <c r="I104" s="610">
        <v>38315.550000000003</v>
      </c>
      <c r="J104" s="610">
        <v>143181.76000000001</v>
      </c>
      <c r="K104" s="610">
        <v>31363.599999999999</v>
      </c>
      <c r="L104" s="610">
        <v>670655.55000000005</v>
      </c>
      <c r="M104" s="434">
        <f t="shared" si="4"/>
        <v>7549240.459999999</v>
      </c>
      <c r="N104" s="612">
        <v>2185427.75</v>
      </c>
      <c r="O104" s="612">
        <v>144280.5</v>
      </c>
      <c r="P104" s="612">
        <f>465362.8-1070</f>
        <v>464292.8</v>
      </c>
      <c r="Q104" s="612">
        <v>22621.75</v>
      </c>
      <c r="R104" s="612">
        <v>232933.1</v>
      </c>
      <c r="S104" s="610">
        <v>15823.82</v>
      </c>
      <c r="T104" s="543">
        <f t="shared" si="5"/>
        <v>10614620.18</v>
      </c>
      <c r="U104" s="575">
        <v>-164867.07</v>
      </c>
      <c r="V104" s="612"/>
      <c r="W104" s="612">
        <v>-2471.1</v>
      </c>
      <c r="X104" s="624">
        <v>70</v>
      </c>
      <c r="Y104" s="631">
        <v>1</v>
      </c>
      <c r="Z104" s="628">
        <f>VLOOKUP(A104,'[2]2022 toutes communes'!$B$9:$D$317,3,FALSE)</f>
        <v>4869</v>
      </c>
      <c r="AA104" s="617"/>
      <c r="AB104" s="618">
        <v>231652</v>
      </c>
      <c r="AC104" s="547">
        <f>AB104/VPI!R104</f>
        <v>2.1852937767798939</v>
      </c>
      <c r="AD104" s="548">
        <f t="shared" si="6"/>
        <v>2078776</v>
      </c>
      <c r="AE104" s="547">
        <f>AD104/VPI!R104</f>
        <v>19.610174987133288</v>
      </c>
      <c r="AF104" s="618">
        <v>2310428</v>
      </c>
      <c r="AG104" s="618">
        <v>591148</v>
      </c>
      <c r="AH104" s="618">
        <v>157083</v>
      </c>
      <c r="AI104" s="627"/>
      <c r="AJ104" s="628">
        <v>40152</v>
      </c>
      <c r="AK104" s="547">
        <f>AJ104/VPI!R104</f>
        <v>0.37877469534157399</v>
      </c>
      <c r="AL104" s="548">
        <f t="shared" si="7"/>
        <v>333656</v>
      </c>
      <c r="AM104" s="547">
        <f>AL104/VPI!R104</f>
        <v>3.1475505516260265</v>
      </c>
      <c r="AN104" s="628">
        <v>373808</v>
      </c>
      <c r="AO104" s="627"/>
      <c r="AP104" s="629">
        <v>-8.9442429573928663</v>
      </c>
      <c r="AR104" s="630">
        <v>0</v>
      </c>
    </row>
    <row r="105" spans="1:1476" x14ac:dyDescent="0.25">
      <c r="A105" s="608">
        <v>5571</v>
      </c>
      <c r="B105" s="609" t="s">
        <v>343</v>
      </c>
      <c r="C105" s="610">
        <v>1501680.62</v>
      </c>
      <c r="D105" s="610">
        <v>169786.94</v>
      </c>
      <c r="E105" s="610"/>
      <c r="F105" s="611"/>
      <c r="G105" s="610">
        <v>6398.2</v>
      </c>
      <c r="H105" s="610">
        <v>459</v>
      </c>
      <c r="I105" s="610"/>
      <c r="J105" s="610">
        <v>-698</v>
      </c>
      <c r="K105" s="610">
        <v>8766.2000000000007</v>
      </c>
      <c r="L105" s="610">
        <v>204998.5</v>
      </c>
      <c r="M105" s="434">
        <f t="shared" si="4"/>
        <v>1891391.46</v>
      </c>
      <c r="N105" s="612">
        <v>51701.55</v>
      </c>
      <c r="O105" s="612">
        <v>4191</v>
      </c>
      <c r="P105" s="612">
        <v>48180</v>
      </c>
      <c r="Q105" s="612">
        <v>2632.3</v>
      </c>
      <c r="R105" s="612">
        <v>30107.75</v>
      </c>
      <c r="S105" s="610">
        <v>716.61</v>
      </c>
      <c r="T105" s="543">
        <f t="shared" si="5"/>
        <v>2028920.6700000002</v>
      </c>
      <c r="U105" s="575">
        <v>-7231.34</v>
      </c>
      <c r="V105" s="612">
        <v>-991.5</v>
      </c>
      <c r="W105" s="612">
        <v>0</v>
      </c>
      <c r="X105" s="624">
        <v>71.5</v>
      </c>
      <c r="Y105" s="631">
        <v>1.2</v>
      </c>
      <c r="Z105" s="628">
        <f>VLOOKUP(A105,'[2]2022 toutes communes'!$B$9:$D$317,3,FALSE)</f>
        <v>867</v>
      </c>
      <c r="AA105" s="617"/>
      <c r="AB105" s="618">
        <v>79033</v>
      </c>
      <c r="AC105" s="547">
        <f>AB105/VPI!R105</f>
        <v>3.0506416733440962</v>
      </c>
      <c r="AD105" s="548">
        <f t="shared" si="6"/>
        <v>185696</v>
      </c>
      <c r="AE105" s="547">
        <f>AD105/VPI!R105</f>
        <v>7.1677901151835979</v>
      </c>
      <c r="AF105" s="618">
        <v>264729</v>
      </c>
      <c r="AG105" s="618">
        <v>42198</v>
      </c>
      <c r="AH105" s="618">
        <v>132383</v>
      </c>
      <c r="AI105" s="627"/>
      <c r="AJ105" s="628">
        <v>0</v>
      </c>
      <c r="AK105" s="547">
        <f>AJ105/VPI!R105</f>
        <v>0</v>
      </c>
      <c r="AL105" s="548">
        <f t="shared" si="7"/>
        <v>32540</v>
      </c>
      <c r="AM105" s="547">
        <f>AL105/VPI!R105</f>
        <v>1.256030772596471</v>
      </c>
      <c r="AN105" s="628">
        <v>32540</v>
      </c>
      <c r="AO105" s="627"/>
      <c r="AP105" s="629">
        <v>12.471425773522258</v>
      </c>
      <c r="AR105" s="630">
        <v>0</v>
      </c>
    </row>
    <row r="106" spans="1:1476" s="632" customFormat="1" x14ac:dyDescent="0.25">
      <c r="A106" s="608">
        <v>5581</v>
      </c>
      <c r="B106" s="609" t="s">
        <v>317</v>
      </c>
      <c r="C106" s="610">
        <v>13102045.34</v>
      </c>
      <c r="D106" s="610">
        <v>2170919.02</v>
      </c>
      <c r="E106" s="610"/>
      <c r="F106" s="611"/>
      <c r="G106" s="610">
        <v>297529</v>
      </c>
      <c r="H106" s="610">
        <v>19397.45</v>
      </c>
      <c r="I106" s="610">
        <v>94218.85</v>
      </c>
      <c r="J106" s="610">
        <v>163782.16</v>
      </c>
      <c r="K106" s="610">
        <v>35901.599999999999</v>
      </c>
      <c r="L106" s="610">
        <v>1498346.1</v>
      </c>
      <c r="M106" s="434">
        <f t="shared" si="4"/>
        <v>17382139.52</v>
      </c>
      <c r="N106" s="612">
        <v>7195.2</v>
      </c>
      <c r="O106" s="612">
        <v>16400.8</v>
      </c>
      <c r="P106" s="612">
        <v>600886.55000000005</v>
      </c>
      <c r="Q106" s="612">
        <v>-18915.02</v>
      </c>
      <c r="R106" s="612">
        <v>617325.80000000005</v>
      </c>
      <c r="S106" s="610">
        <v>33120.44</v>
      </c>
      <c r="T106" s="543">
        <f t="shared" si="5"/>
        <v>18638153.290000003</v>
      </c>
      <c r="U106" s="575">
        <v>-61138.37</v>
      </c>
      <c r="V106" s="612"/>
      <c r="W106" s="612">
        <v>-11449.17</v>
      </c>
      <c r="X106" s="624">
        <v>72</v>
      </c>
      <c r="Y106" s="631">
        <v>1.5</v>
      </c>
      <c r="Z106" s="628">
        <f>VLOOKUP(A106,'[2]2022 toutes communes'!$B$9:$D$317,3,FALSE)</f>
        <v>3835</v>
      </c>
      <c r="AA106" s="617"/>
      <c r="AB106" s="618">
        <v>743178</v>
      </c>
      <c r="AC106" s="547">
        <f>AB106/VPI!R106</f>
        <v>3.1804466355280323</v>
      </c>
      <c r="AD106" s="548">
        <f t="shared" si="6"/>
        <v>493493</v>
      </c>
      <c r="AE106" s="547">
        <f>AD106/VPI!R106</f>
        <v>2.1119141733294517</v>
      </c>
      <c r="AF106" s="618">
        <v>1236671</v>
      </c>
      <c r="AG106" s="618">
        <v>1818149</v>
      </c>
      <c r="AH106" s="618">
        <v>249292</v>
      </c>
      <c r="AI106" s="627"/>
      <c r="AJ106" s="628">
        <v>0</v>
      </c>
      <c r="AK106" s="547">
        <f>AJ106/VPI!R106</f>
        <v>0</v>
      </c>
      <c r="AL106" s="548">
        <f t="shared" si="7"/>
        <v>-33282</v>
      </c>
      <c r="AM106" s="547">
        <f>AL106/VPI!R106</f>
        <v>-0.14243105275404272</v>
      </c>
      <c r="AN106" s="636">
        <v>-33282</v>
      </c>
      <c r="AO106" s="627"/>
      <c r="AP106" s="629">
        <v>26.891514039137668</v>
      </c>
      <c r="AQ106" s="575"/>
      <c r="AR106" s="630">
        <v>1</v>
      </c>
      <c r="AS106" s="575"/>
      <c r="AT106" s="575"/>
      <c r="AU106" s="575"/>
      <c r="AV106" s="575"/>
      <c r="AW106" s="575"/>
      <c r="AX106" s="575"/>
      <c r="AY106" s="575"/>
      <c r="AZ106" s="575"/>
      <c r="BA106" s="575"/>
      <c r="BB106" s="575"/>
      <c r="BC106" s="575"/>
      <c r="BD106" s="575"/>
      <c r="BE106" s="575"/>
      <c r="BF106" s="575"/>
      <c r="BG106" s="575"/>
      <c r="BH106" s="575"/>
      <c r="BI106" s="575"/>
      <c r="BJ106" s="575"/>
      <c r="BK106" s="575"/>
      <c r="BL106" s="575"/>
      <c r="BM106" s="575"/>
      <c r="BN106" s="575"/>
      <c r="BO106" s="575"/>
      <c r="BP106" s="575"/>
      <c r="BQ106" s="575"/>
      <c r="BR106" s="575"/>
      <c r="BS106" s="575"/>
      <c r="BT106" s="575"/>
      <c r="BU106" s="575"/>
      <c r="BV106" s="575"/>
      <c r="BW106" s="575"/>
      <c r="BX106" s="575"/>
      <c r="BY106" s="575"/>
      <c r="BZ106" s="575"/>
      <c r="CA106" s="575"/>
      <c r="CB106" s="575"/>
      <c r="CC106" s="575"/>
      <c r="CD106" s="575"/>
      <c r="CE106" s="575"/>
      <c r="CF106" s="575"/>
      <c r="CG106" s="575"/>
      <c r="CH106" s="575"/>
      <c r="CI106" s="575"/>
      <c r="CJ106" s="575"/>
      <c r="CK106" s="575"/>
      <c r="CL106" s="575"/>
      <c r="CM106" s="575"/>
      <c r="CN106" s="575"/>
      <c r="CO106" s="575"/>
      <c r="CP106" s="575"/>
      <c r="CQ106" s="575"/>
      <c r="CR106" s="575"/>
      <c r="CS106" s="575"/>
      <c r="CT106" s="575"/>
      <c r="CU106" s="575"/>
      <c r="CV106" s="575"/>
      <c r="CW106" s="575"/>
      <c r="CX106" s="575"/>
      <c r="CY106" s="575"/>
      <c r="CZ106" s="575"/>
      <c r="DA106" s="575"/>
      <c r="DB106" s="575"/>
      <c r="DC106" s="575"/>
      <c r="DD106" s="575"/>
      <c r="DE106" s="575"/>
      <c r="DF106" s="575"/>
      <c r="DG106" s="575"/>
      <c r="DH106" s="575"/>
      <c r="DI106" s="575"/>
      <c r="DJ106" s="575"/>
      <c r="DK106" s="575"/>
      <c r="DL106" s="575"/>
      <c r="DM106" s="575"/>
      <c r="DN106" s="575"/>
      <c r="DO106" s="575"/>
      <c r="DP106" s="575"/>
      <c r="DQ106" s="575"/>
      <c r="DR106" s="575"/>
      <c r="DS106" s="575"/>
      <c r="DT106" s="575"/>
      <c r="DU106" s="575"/>
      <c r="DV106" s="575"/>
      <c r="DW106" s="575"/>
      <c r="DX106" s="575"/>
      <c r="DY106" s="575"/>
      <c r="DZ106" s="575"/>
      <c r="EA106" s="575"/>
      <c r="EB106" s="575"/>
      <c r="EC106" s="575"/>
      <c r="ED106" s="575"/>
      <c r="EE106" s="575"/>
      <c r="EF106" s="575"/>
      <c r="EG106" s="575"/>
      <c r="EH106" s="575"/>
      <c r="EI106" s="575"/>
      <c r="EJ106" s="575"/>
      <c r="EK106" s="575"/>
      <c r="EL106" s="575"/>
      <c r="EM106" s="575"/>
      <c r="EN106" s="575"/>
      <c r="EO106" s="575"/>
      <c r="EP106" s="575"/>
      <c r="EQ106" s="575"/>
      <c r="ER106" s="575"/>
      <c r="ES106" s="575"/>
      <c r="ET106" s="575"/>
      <c r="EU106" s="575"/>
      <c r="EV106" s="575"/>
      <c r="EW106" s="575"/>
      <c r="EX106" s="575"/>
      <c r="EY106" s="575"/>
      <c r="EZ106" s="575"/>
      <c r="FA106" s="575"/>
      <c r="FB106" s="575"/>
      <c r="FC106" s="575"/>
      <c r="FD106" s="575"/>
      <c r="FE106" s="575"/>
      <c r="FF106" s="575"/>
      <c r="FG106" s="575"/>
      <c r="FH106" s="575"/>
      <c r="FI106" s="575"/>
      <c r="FJ106" s="575"/>
      <c r="FK106" s="575"/>
      <c r="FL106" s="575"/>
      <c r="FM106" s="575"/>
      <c r="FN106" s="575"/>
      <c r="FO106" s="575"/>
      <c r="FP106" s="575"/>
      <c r="FQ106" s="575"/>
      <c r="FR106" s="575"/>
      <c r="FS106" s="575"/>
      <c r="FT106" s="575"/>
      <c r="FU106" s="575"/>
      <c r="FV106" s="575"/>
      <c r="FW106" s="575"/>
      <c r="FX106" s="575"/>
      <c r="FY106" s="575"/>
      <c r="FZ106" s="575"/>
      <c r="GA106" s="575"/>
      <c r="GB106" s="575"/>
      <c r="GC106" s="575"/>
      <c r="GD106" s="575"/>
      <c r="GE106" s="575"/>
      <c r="GF106" s="575"/>
      <c r="GG106" s="575"/>
      <c r="GH106" s="575"/>
      <c r="GI106" s="575"/>
      <c r="GJ106" s="575"/>
      <c r="GK106" s="575"/>
      <c r="GL106" s="575"/>
      <c r="GM106" s="575"/>
      <c r="GN106" s="575"/>
      <c r="GO106" s="575"/>
      <c r="GP106" s="575"/>
      <c r="GQ106" s="575"/>
      <c r="GR106" s="575"/>
      <c r="GS106" s="575"/>
      <c r="GT106" s="575"/>
      <c r="GU106" s="575"/>
      <c r="GV106" s="575"/>
      <c r="GW106" s="575"/>
      <c r="GX106" s="575"/>
      <c r="GY106" s="575"/>
      <c r="GZ106" s="575"/>
      <c r="HA106" s="575"/>
      <c r="HB106" s="575"/>
      <c r="HC106" s="575"/>
      <c r="HD106" s="575"/>
      <c r="HE106" s="575"/>
      <c r="HF106" s="575"/>
      <c r="HG106" s="575"/>
      <c r="HH106" s="575"/>
      <c r="HI106" s="575"/>
      <c r="HJ106" s="575"/>
      <c r="HK106" s="575"/>
      <c r="HL106" s="575"/>
      <c r="HM106" s="575"/>
      <c r="HN106" s="575"/>
      <c r="HO106" s="575"/>
      <c r="HP106" s="575"/>
      <c r="HQ106" s="575"/>
      <c r="HR106" s="575"/>
      <c r="HS106" s="575"/>
      <c r="HT106" s="575"/>
      <c r="HU106" s="575"/>
      <c r="HV106" s="575"/>
      <c r="HW106" s="575"/>
      <c r="HX106" s="575"/>
      <c r="HY106" s="575"/>
      <c r="HZ106" s="575"/>
      <c r="IA106" s="575"/>
      <c r="IB106" s="575"/>
      <c r="IC106" s="575"/>
      <c r="ID106" s="575"/>
      <c r="IE106" s="575"/>
      <c r="IF106" s="575"/>
      <c r="IG106" s="575"/>
      <c r="IH106" s="575"/>
      <c r="II106" s="575"/>
      <c r="IJ106" s="575"/>
      <c r="IK106" s="575"/>
      <c r="IL106" s="575"/>
      <c r="IM106" s="575"/>
      <c r="IN106" s="575"/>
      <c r="IO106" s="575"/>
      <c r="IP106" s="575"/>
      <c r="IQ106" s="575"/>
      <c r="IR106" s="575"/>
      <c r="IS106" s="575"/>
      <c r="IT106" s="575"/>
      <c r="IU106" s="575"/>
      <c r="IV106" s="575"/>
      <c r="IW106" s="575"/>
      <c r="IX106" s="575"/>
      <c r="IY106" s="575"/>
      <c r="IZ106" s="575"/>
      <c r="JA106" s="575"/>
      <c r="JB106" s="575"/>
      <c r="JC106" s="575"/>
      <c r="JD106" s="575"/>
      <c r="JE106" s="575"/>
      <c r="JF106" s="575"/>
      <c r="JG106" s="575"/>
      <c r="JH106" s="575"/>
      <c r="JI106" s="575"/>
      <c r="JJ106" s="575"/>
      <c r="JK106" s="575"/>
      <c r="JL106" s="575"/>
      <c r="JM106" s="575"/>
      <c r="JN106" s="575"/>
      <c r="JO106" s="575"/>
      <c r="JP106" s="575"/>
      <c r="JQ106" s="575"/>
      <c r="JR106" s="575"/>
      <c r="JS106" s="575"/>
      <c r="JT106" s="575"/>
      <c r="JU106" s="575"/>
      <c r="JV106" s="575"/>
      <c r="JW106" s="575"/>
      <c r="JX106" s="575"/>
      <c r="JY106" s="575"/>
      <c r="JZ106" s="575"/>
      <c r="KA106" s="575"/>
      <c r="KB106" s="575"/>
      <c r="KC106" s="575"/>
      <c r="KD106" s="575"/>
      <c r="KE106" s="575"/>
      <c r="KF106" s="575"/>
      <c r="KG106" s="575"/>
      <c r="KH106" s="575"/>
      <c r="KI106" s="575"/>
      <c r="KJ106" s="575"/>
      <c r="KK106" s="575"/>
      <c r="KL106" s="575"/>
      <c r="KM106" s="575"/>
      <c r="KN106" s="575"/>
      <c r="KO106" s="575"/>
      <c r="KP106" s="575"/>
      <c r="KQ106" s="575"/>
      <c r="KR106" s="575"/>
      <c r="KS106" s="575"/>
      <c r="KT106" s="575"/>
      <c r="KU106" s="575"/>
      <c r="KV106" s="575"/>
      <c r="KW106" s="575"/>
      <c r="KX106" s="575"/>
      <c r="KY106" s="575"/>
      <c r="KZ106" s="575"/>
      <c r="LA106" s="575"/>
      <c r="LB106" s="575"/>
      <c r="LC106" s="575"/>
      <c r="LD106" s="575"/>
      <c r="LE106" s="575"/>
      <c r="LF106" s="575"/>
      <c r="LG106" s="575"/>
      <c r="LH106" s="575"/>
      <c r="LI106" s="575"/>
      <c r="LJ106" s="575"/>
      <c r="LK106" s="575"/>
      <c r="LL106" s="575"/>
      <c r="LM106" s="575"/>
      <c r="LN106" s="575"/>
      <c r="LO106" s="575"/>
      <c r="LP106" s="575"/>
      <c r="LQ106" s="575"/>
      <c r="LR106" s="575"/>
      <c r="LS106" s="575"/>
      <c r="LT106" s="575"/>
      <c r="LU106" s="575"/>
      <c r="LV106" s="575"/>
      <c r="LW106" s="575"/>
      <c r="LX106" s="575"/>
      <c r="LY106" s="575"/>
      <c r="LZ106" s="575"/>
      <c r="MA106" s="575"/>
      <c r="MB106" s="575"/>
      <c r="MC106" s="575"/>
      <c r="MD106" s="575"/>
      <c r="ME106" s="575"/>
      <c r="MF106" s="575"/>
      <c r="MG106" s="575"/>
      <c r="MH106" s="575"/>
      <c r="MI106" s="575"/>
      <c r="MJ106" s="575"/>
      <c r="MK106" s="575"/>
      <c r="ML106" s="575"/>
      <c r="MM106" s="575"/>
      <c r="MN106" s="575"/>
      <c r="MO106" s="575"/>
      <c r="MP106" s="575"/>
      <c r="MQ106" s="575"/>
      <c r="MR106" s="575"/>
      <c r="MS106" s="575"/>
      <c r="MT106" s="575"/>
      <c r="MU106" s="575"/>
      <c r="MV106" s="575"/>
      <c r="MW106" s="575"/>
      <c r="MX106" s="575"/>
      <c r="MY106" s="575"/>
      <c r="MZ106" s="575"/>
      <c r="NA106" s="575"/>
      <c r="NB106" s="575"/>
      <c r="NC106" s="575"/>
      <c r="ND106" s="575"/>
      <c r="NE106" s="575"/>
      <c r="NF106" s="575"/>
      <c r="NG106" s="575"/>
      <c r="NH106" s="575"/>
      <c r="NI106" s="575"/>
      <c r="NJ106" s="575"/>
      <c r="NK106" s="575"/>
      <c r="NL106" s="575"/>
      <c r="NM106" s="575"/>
      <c r="NN106" s="575"/>
      <c r="NO106" s="575"/>
      <c r="NP106" s="575"/>
      <c r="NQ106" s="575"/>
      <c r="NR106" s="575"/>
      <c r="NS106" s="575"/>
      <c r="NT106" s="575"/>
      <c r="NU106" s="575"/>
      <c r="NV106" s="575"/>
      <c r="NW106" s="575"/>
      <c r="NX106" s="575"/>
      <c r="NY106" s="575"/>
      <c r="NZ106" s="575"/>
      <c r="OA106" s="575"/>
      <c r="OB106" s="575"/>
      <c r="OC106" s="575"/>
      <c r="OD106" s="575"/>
      <c r="OE106" s="575"/>
      <c r="OF106" s="575"/>
      <c r="OG106" s="575"/>
      <c r="OH106" s="575"/>
      <c r="OI106" s="575"/>
      <c r="OJ106" s="575"/>
      <c r="OK106" s="575"/>
      <c r="OL106" s="575"/>
      <c r="OM106" s="575"/>
      <c r="ON106" s="575"/>
      <c r="OO106" s="575"/>
      <c r="OP106" s="575"/>
      <c r="OQ106" s="575"/>
      <c r="OR106" s="575"/>
      <c r="OS106" s="575"/>
      <c r="OT106" s="575"/>
      <c r="OU106" s="575"/>
      <c r="OV106" s="575"/>
      <c r="OW106" s="575"/>
      <c r="OX106" s="575"/>
      <c r="OY106" s="575"/>
      <c r="OZ106" s="575"/>
      <c r="PA106" s="575"/>
      <c r="PB106" s="575"/>
      <c r="PC106" s="575"/>
      <c r="PD106" s="575"/>
      <c r="PE106" s="575"/>
      <c r="PF106" s="575"/>
      <c r="PG106" s="575"/>
      <c r="PH106" s="575"/>
      <c r="PI106" s="575"/>
      <c r="PJ106" s="575"/>
      <c r="PK106" s="575"/>
      <c r="PL106" s="575"/>
      <c r="PM106" s="575"/>
      <c r="PN106" s="575"/>
      <c r="PO106" s="575"/>
      <c r="PP106" s="575"/>
      <c r="PQ106" s="575"/>
      <c r="PR106" s="575"/>
      <c r="PS106" s="575"/>
      <c r="PT106" s="575"/>
      <c r="PU106" s="575"/>
      <c r="PV106" s="575"/>
      <c r="PW106" s="575"/>
      <c r="PX106" s="575"/>
      <c r="PY106" s="575"/>
      <c r="PZ106" s="575"/>
      <c r="QA106" s="575"/>
      <c r="QB106" s="575"/>
      <c r="QC106" s="575"/>
      <c r="QD106" s="575"/>
      <c r="QE106" s="575"/>
      <c r="QF106" s="575"/>
      <c r="QG106" s="575"/>
      <c r="QH106" s="575"/>
      <c r="QI106" s="575"/>
      <c r="QJ106" s="575"/>
      <c r="QK106" s="575"/>
      <c r="QL106" s="575"/>
      <c r="QM106" s="575"/>
      <c r="QN106" s="575"/>
      <c r="QO106" s="575"/>
      <c r="QP106" s="575"/>
      <c r="QQ106" s="575"/>
      <c r="QR106" s="575"/>
      <c r="QS106" s="575"/>
      <c r="QT106" s="575"/>
      <c r="QU106" s="575"/>
      <c r="QV106" s="575"/>
      <c r="QW106" s="575"/>
      <c r="QX106" s="575"/>
      <c r="QY106" s="575"/>
      <c r="QZ106" s="575"/>
      <c r="RA106" s="575"/>
      <c r="RB106" s="575"/>
      <c r="RC106" s="575"/>
      <c r="RD106" s="575"/>
      <c r="RE106" s="575"/>
      <c r="RF106" s="575"/>
      <c r="RG106" s="575"/>
      <c r="RH106" s="575"/>
      <c r="RI106" s="575"/>
      <c r="RJ106" s="575"/>
      <c r="RK106" s="575"/>
      <c r="RL106" s="575"/>
      <c r="RM106" s="575"/>
      <c r="RN106" s="575"/>
      <c r="RO106" s="575"/>
      <c r="RP106" s="575"/>
      <c r="RQ106" s="575"/>
      <c r="RR106" s="575"/>
      <c r="RS106" s="575"/>
      <c r="RT106" s="575"/>
      <c r="RU106" s="575"/>
      <c r="RV106" s="575"/>
      <c r="RW106" s="575"/>
      <c r="RX106" s="575"/>
      <c r="RY106" s="575"/>
      <c r="RZ106" s="575"/>
      <c r="SA106" s="575"/>
      <c r="SB106" s="575"/>
      <c r="SC106" s="575"/>
      <c r="SD106" s="575"/>
      <c r="SE106" s="575"/>
      <c r="SF106" s="575"/>
      <c r="SG106" s="575"/>
      <c r="SH106" s="575"/>
      <c r="SI106" s="575"/>
      <c r="SJ106" s="575"/>
      <c r="SK106" s="575"/>
      <c r="SL106" s="575"/>
      <c r="SM106" s="575"/>
      <c r="SN106" s="575"/>
      <c r="SO106" s="575"/>
      <c r="SP106" s="575"/>
      <c r="SQ106" s="575"/>
      <c r="SR106" s="575"/>
      <c r="SS106" s="575"/>
      <c r="ST106" s="575"/>
      <c r="SU106" s="575"/>
      <c r="SV106" s="575"/>
      <c r="SW106" s="575"/>
      <c r="SX106" s="575"/>
      <c r="SY106" s="575"/>
      <c r="SZ106" s="575"/>
      <c r="TA106" s="575"/>
      <c r="TB106" s="575"/>
      <c r="TC106" s="575"/>
      <c r="TD106" s="575"/>
      <c r="TE106" s="575"/>
      <c r="TF106" s="575"/>
      <c r="TG106" s="575"/>
      <c r="TH106" s="575"/>
      <c r="TI106" s="575"/>
      <c r="TJ106" s="575"/>
      <c r="TK106" s="575"/>
      <c r="TL106" s="575"/>
      <c r="TM106" s="575"/>
      <c r="TN106" s="575"/>
      <c r="TO106" s="575"/>
      <c r="TP106" s="575"/>
      <c r="TQ106" s="575"/>
      <c r="TR106" s="575"/>
      <c r="TS106" s="575"/>
      <c r="TT106" s="575"/>
      <c r="TU106" s="575"/>
      <c r="TV106" s="575"/>
      <c r="TW106" s="575"/>
      <c r="TX106" s="575"/>
      <c r="TY106" s="575"/>
      <c r="TZ106" s="575"/>
      <c r="UA106" s="575"/>
      <c r="UB106" s="575"/>
      <c r="UC106" s="575"/>
      <c r="UD106" s="575"/>
      <c r="UE106" s="575"/>
      <c r="UF106" s="575"/>
      <c r="UG106" s="575"/>
      <c r="UH106" s="575"/>
      <c r="UI106" s="575"/>
      <c r="UJ106" s="575"/>
      <c r="UK106" s="575"/>
      <c r="UL106" s="575"/>
      <c r="UM106" s="575"/>
      <c r="UN106" s="575"/>
      <c r="UO106" s="575"/>
      <c r="UP106" s="575"/>
      <c r="UQ106" s="575"/>
      <c r="UR106" s="575"/>
      <c r="US106" s="575"/>
      <c r="UT106" s="575"/>
      <c r="UU106" s="575"/>
      <c r="UV106" s="575"/>
      <c r="UW106" s="575"/>
      <c r="UX106" s="575"/>
      <c r="UY106" s="575"/>
      <c r="UZ106" s="575"/>
      <c r="VA106" s="575"/>
      <c r="VB106" s="575"/>
      <c r="VC106" s="575"/>
      <c r="VD106" s="575"/>
      <c r="VE106" s="575"/>
      <c r="VF106" s="575"/>
      <c r="VG106" s="575"/>
      <c r="VH106" s="575"/>
      <c r="VI106" s="575"/>
      <c r="VJ106" s="575"/>
      <c r="VK106" s="575"/>
      <c r="VL106" s="575"/>
      <c r="VM106" s="575"/>
      <c r="VN106" s="575"/>
      <c r="VO106" s="575"/>
      <c r="VP106" s="575"/>
      <c r="VQ106" s="575"/>
      <c r="VR106" s="575"/>
      <c r="VS106" s="575"/>
      <c r="VT106" s="575"/>
      <c r="VU106" s="575"/>
      <c r="VV106" s="575"/>
      <c r="VW106" s="575"/>
      <c r="VX106" s="575"/>
      <c r="VY106" s="575"/>
      <c r="VZ106" s="575"/>
      <c r="WA106" s="575"/>
      <c r="WB106" s="575"/>
      <c r="WC106" s="575"/>
      <c r="WD106" s="575"/>
      <c r="WE106" s="575"/>
      <c r="WF106" s="575"/>
      <c r="WG106" s="575"/>
      <c r="WH106" s="575"/>
      <c r="WI106" s="575"/>
      <c r="WJ106" s="575"/>
      <c r="WK106" s="575"/>
      <c r="WL106" s="575"/>
      <c r="WM106" s="575"/>
      <c r="WN106" s="575"/>
      <c r="WO106" s="575"/>
      <c r="WP106" s="575"/>
      <c r="WQ106" s="575"/>
      <c r="WR106" s="575"/>
      <c r="WS106" s="575"/>
      <c r="WT106" s="575"/>
      <c r="WU106" s="575"/>
      <c r="WV106" s="575"/>
      <c r="WW106" s="575"/>
      <c r="WX106" s="575"/>
      <c r="WY106" s="575"/>
      <c r="WZ106" s="575"/>
      <c r="XA106" s="575"/>
      <c r="XB106" s="575"/>
      <c r="XC106" s="575"/>
      <c r="XD106" s="575"/>
      <c r="XE106" s="575"/>
      <c r="XF106" s="575"/>
      <c r="XG106" s="575"/>
      <c r="XH106" s="575"/>
      <c r="XI106" s="575"/>
      <c r="XJ106" s="575"/>
      <c r="XK106" s="575"/>
      <c r="XL106" s="575"/>
      <c r="XM106" s="575"/>
      <c r="XN106" s="575"/>
      <c r="XO106" s="575"/>
      <c r="XP106" s="575"/>
      <c r="XQ106" s="575"/>
      <c r="XR106" s="575"/>
      <c r="XS106" s="575"/>
      <c r="XT106" s="575"/>
      <c r="XU106" s="575"/>
      <c r="XV106" s="575"/>
      <c r="XW106" s="575"/>
      <c r="XX106" s="575"/>
      <c r="XY106" s="575"/>
      <c r="XZ106" s="575"/>
      <c r="YA106" s="575"/>
      <c r="YB106" s="575"/>
      <c r="YC106" s="575"/>
      <c r="YD106" s="575"/>
      <c r="YE106" s="575"/>
      <c r="YF106" s="575"/>
      <c r="YG106" s="575"/>
      <c r="YH106" s="575"/>
      <c r="YI106" s="575"/>
      <c r="YJ106" s="575"/>
      <c r="YK106" s="575"/>
      <c r="YL106" s="575"/>
      <c r="YM106" s="575"/>
      <c r="YN106" s="575"/>
      <c r="YO106" s="575"/>
      <c r="YP106" s="575"/>
      <c r="YQ106" s="575"/>
      <c r="YR106" s="575"/>
      <c r="YS106" s="575"/>
      <c r="YT106" s="575"/>
      <c r="YU106" s="575"/>
      <c r="YV106" s="575"/>
      <c r="YW106" s="575"/>
      <c r="YX106" s="575"/>
      <c r="YY106" s="575"/>
      <c r="YZ106" s="575"/>
      <c r="ZA106" s="575"/>
      <c r="ZB106" s="575"/>
      <c r="ZC106" s="575"/>
      <c r="ZD106" s="575"/>
      <c r="ZE106" s="575"/>
      <c r="ZF106" s="575"/>
      <c r="ZG106" s="575"/>
      <c r="ZH106" s="575"/>
      <c r="ZI106" s="575"/>
      <c r="ZJ106" s="575"/>
      <c r="ZK106" s="575"/>
      <c r="ZL106" s="575"/>
      <c r="ZM106" s="575"/>
      <c r="ZN106" s="575"/>
      <c r="ZO106" s="575"/>
      <c r="ZP106" s="575"/>
      <c r="ZQ106" s="575"/>
      <c r="ZR106" s="575"/>
      <c r="ZS106" s="575"/>
      <c r="ZT106" s="575"/>
      <c r="ZU106" s="575"/>
      <c r="ZV106" s="575"/>
      <c r="ZW106" s="575"/>
      <c r="ZX106" s="575"/>
      <c r="ZY106" s="575"/>
      <c r="ZZ106" s="575"/>
      <c r="AAA106" s="575"/>
      <c r="AAB106" s="575"/>
      <c r="AAC106" s="575"/>
      <c r="AAD106" s="575"/>
      <c r="AAE106" s="575"/>
      <c r="AAF106" s="575"/>
      <c r="AAG106" s="575"/>
      <c r="AAH106" s="575"/>
      <c r="AAI106" s="575"/>
      <c r="AAJ106" s="575"/>
      <c r="AAK106" s="575"/>
      <c r="AAL106" s="575"/>
      <c r="AAM106" s="575"/>
      <c r="AAN106" s="575"/>
      <c r="AAO106" s="575"/>
      <c r="AAP106" s="575"/>
      <c r="AAQ106" s="575"/>
      <c r="AAR106" s="575"/>
      <c r="AAS106" s="575"/>
      <c r="AAT106" s="575"/>
      <c r="AAU106" s="575"/>
      <c r="AAV106" s="575"/>
      <c r="AAW106" s="575"/>
      <c r="AAX106" s="575"/>
      <c r="AAY106" s="575"/>
      <c r="AAZ106" s="575"/>
      <c r="ABA106" s="575"/>
      <c r="ABB106" s="575"/>
      <c r="ABC106" s="575"/>
      <c r="ABD106" s="575"/>
      <c r="ABE106" s="575"/>
      <c r="ABF106" s="575"/>
      <c r="ABG106" s="575"/>
      <c r="ABH106" s="575"/>
      <c r="ABI106" s="575"/>
      <c r="ABJ106" s="575"/>
      <c r="ABK106" s="575"/>
      <c r="ABL106" s="575"/>
      <c r="ABM106" s="575"/>
      <c r="ABN106" s="575"/>
      <c r="ABO106" s="575"/>
      <c r="ABP106" s="575"/>
      <c r="ABQ106" s="575"/>
      <c r="ABR106" s="575"/>
      <c r="ABS106" s="575"/>
      <c r="ABT106" s="575"/>
      <c r="ABU106" s="575"/>
      <c r="ABV106" s="575"/>
      <c r="ABW106" s="575"/>
      <c r="ABX106" s="575"/>
      <c r="ABY106" s="575"/>
      <c r="ABZ106" s="575"/>
      <c r="ACA106" s="575"/>
      <c r="ACB106" s="575"/>
      <c r="ACC106" s="575"/>
      <c r="ACD106" s="575"/>
      <c r="ACE106" s="575"/>
      <c r="ACF106" s="575"/>
      <c r="ACG106" s="575"/>
      <c r="ACH106" s="575"/>
      <c r="ACI106" s="575"/>
      <c r="ACJ106" s="575"/>
      <c r="ACK106" s="575"/>
      <c r="ACL106" s="575"/>
      <c r="ACM106" s="575"/>
      <c r="ACN106" s="575"/>
      <c r="ACO106" s="575"/>
      <c r="ACP106" s="575"/>
      <c r="ACQ106" s="575"/>
      <c r="ACR106" s="575"/>
      <c r="ACS106" s="575"/>
      <c r="ACT106" s="575"/>
      <c r="ACU106" s="575"/>
      <c r="ACV106" s="575"/>
      <c r="ACW106" s="575"/>
      <c r="ACX106" s="575"/>
      <c r="ACY106" s="575"/>
      <c r="ACZ106" s="575"/>
      <c r="ADA106" s="575"/>
      <c r="ADB106" s="575"/>
      <c r="ADC106" s="575"/>
      <c r="ADD106" s="575"/>
      <c r="ADE106" s="575"/>
      <c r="ADF106" s="575"/>
      <c r="ADG106" s="575"/>
      <c r="ADH106" s="575"/>
      <c r="ADI106" s="575"/>
      <c r="ADJ106" s="575"/>
      <c r="ADK106" s="575"/>
      <c r="ADL106" s="575"/>
      <c r="ADM106" s="575"/>
      <c r="ADN106" s="575"/>
      <c r="ADO106" s="575"/>
      <c r="ADP106" s="575"/>
      <c r="ADQ106" s="575"/>
      <c r="ADR106" s="575"/>
      <c r="ADS106" s="575"/>
      <c r="ADT106" s="575"/>
      <c r="ADU106" s="575"/>
      <c r="ADV106" s="575"/>
      <c r="ADW106" s="575"/>
      <c r="ADX106" s="575"/>
      <c r="ADY106" s="575"/>
      <c r="ADZ106" s="575"/>
      <c r="AEA106" s="575"/>
      <c r="AEB106" s="575"/>
      <c r="AEC106" s="575"/>
      <c r="AED106" s="575"/>
      <c r="AEE106" s="575"/>
      <c r="AEF106" s="575"/>
      <c r="AEG106" s="575"/>
      <c r="AEH106" s="575"/>
      <c r="AEI106" s="575"/>
      <c r="AEJ106" s="575"/>
      <c r="AEK106" s="575"/>
      <c r="AEL106" s="575"/>
      <c r="AEM106" s="575"/>
      <c r="AEN106" s="575"/>
      <c r="AEO106" s="575"/>
      <c r="AEP106" s="575"/>
      <c r="AEQ106" s="575"/>
      <c r="AER106" s="575"/>
      <c r="AES106" s="575"/>
      <c r="AET106" s="575"/>
      <c r="AEU106" s="575"/>
      <c r="AEV106" s="575"/>
      <c r="AEW106" s="575"/>
      <c r="AEX106" s="575"/>
      <c r="AEY106" s="575"/>
      <c r="AEZ106" s="575"/>
      <c r="AFA106" s="575"/>
      <c r="AFB106" s="575"/>
      <c r="AFC106" s="575"/>
      <c r="AFD106" s="575"/>
      <c r="AFE106" s="575"/>
      <c r="AFF106" s="575"/>
      <c r="AFG106" s="575"/>
      <c r="AFH106" s="575"/>
      <c r="AFI106" s="575"/>
      <c r="AFJ106" s="575"/>
      <c r="AFK106" s="575"/>
      <c r="AFL106" s="575"/>
      <c r="AFM106" s="575"/>
      <c r="AFN106" s="575"/>
      <c r="AFO106" s="575"/>
      <c r="AFP106" s="575"/>
      <c r="AFQ106" s="575"/>
      <c r="AFR106" s="575"/>
      <c r="AFS106" s="575"/>
      <c r="AFT106" s="575"/>
      <c r="AFU106" s="575"/>
      <c r="AFV106" s="575"/>
      <c r="AFW106" s="575"/>
      <c r="AFX106" s="575"/>
      <c r="AFY106" s="575"/>
      <c r="AFZ106" s="575"/>
      <c r="AGA106" s="575"/>
      <c r="AGB106" s="575"/>
      <c r="AGC106" s="575"/>
      <c r="AGD106" s="575"/>
      <c r="AGE106" s="575"/>
      <c r="AGF106" s="575"/>
      <c r="AGG106" s="575"/>
      <c r="AGH106" s="575"/>
      <c r="AGI106" s="575"/>
      <c r="AGJ106" s="575"/>
      <c r="AGK106" s="575"/>
      <c r="AGL106" s="575"/>
      <c r="AGM106" s="575"/>
      <c r="AGN106" s="575"/>
      <c r="AGO106" s="575"/>
      <c r="AGP106" s="575"/>
      <c r="AGQ106" s="575"/>
      <c r="AGR106" s="575"/>
      <c r="AGS106" s="575"/>
      <c r="AGT106" s="575"/>
      <c r="AGU106" s="575"/>
      <c r="AGV106" s="575"/>
      <c r="AGW106" s="575"/>
      <c r="AGX106" s="575"/>
      <c r="AGY106" s="575"/>
      <c r="AGZ106" s="575"/>
      <c r="AHA106" s="575"/>
      <c r="AHB106" s="575"/>
      <c r="AHC106" s="575"/>
      <c r="AHD106" s="575"/>
      <c r="AHE106" s="575"/>
      <c r="AHF106" s="575"/>
      <c r="AHG106" s="575"/>
      <c r="AHH106" s="575"/>
      <c r="AHI106" s="575"/>
      <c r="AHJ106" s="575"/>
      <c r="AHK106" s="575"/>
      <c r="AHL106" s="575"/>
      <c r="AHM106" s="575"/>
      <c r="AHN106" s="575"/>
      <c r="AHO106" s="575"/>
      <c r="AHP106" s="575"/>
      <c r="AHQ106" s="575"/>
      <c r="AHR106" s="575"/>
      <c r="AHS106" s="575"/>
      <c r="AHT106" s="575"/>
      <c r="AHU106" s="575"/>
      <c r="AHV106" s="575"/>
      <c r="AHW106" s="575"/>
      <c r="AHX106" s="575"/>
      <c r="AHY106" s="575"/>
      <c r="AHZ106" s="575"/>
      <c r="AIA106" s="575"/>
      <c r="AIB106" s="575"/>
      <c r="AIC106" s="575"/>
      <c r="AID106" s="575"/>
      <c r="AIE106" s="575"/>
      <c r="AIF106" s="575"/>
      <c r="AIG106" s="575"/>
      <c r="AIH106" s="575"/>
      <c r="AII106" s="575"/>
      <c r="AIJ106" s="575"/>
      <c r="AIK106" s="575"/>
      <c r="AIL106" s="575"/>
      <c r="AIM106" s="575"/>
      <c r="AIN106" s="575"/>
      <c r="AIO106" s="575"/>
      <c r="AIP106" s="575"/>
      <c r="AIQ106" s="575"/>
      <c r="AIR106" s="575"/>
      <c r="AIS106" s="575"/>
      <c r="AIT106" s="575"/>
      <c r="AIU106" s="575"/>
      <c r="AIV106" s="575"/>
      <c r="AIW106" s="575"/>
      <c r="AIX106" s="575"/>
      <c r="AIY106" s="575"/>
      <c r="AIZ106" s="575"/>
      <c r="AJA106" s="575"/>
      <c r="AJB106" s="575"/>
      <c r="AJC106" s="575"/>
      <c r="AJD106" s="575"/>
      <c r="AJE106" s="575"/>
      <c r="AJF106" s="575"/>
      <c r="AJG106" s="575"/>
      <c r="AJH106" s="575"/>
      <c r="AJI106" s="575"/>
      <c r="AJJ106" s="575"/>
      <c r="AJK106" s="575"/>
      <c r="AJL106" s="575"/>
      <c r="AJM106" s="575"/>
      <c r="AJN106" s="575"/>
      <c r="AJO106" s="575"/>
      <c r="AJP106" s="575"/>
      <c r="AJQ106" s="575"/>
      <c r="AJR106" s="575"/>
      <c r="AJS106" s="575"/>
      <c r="AJT106" s="575"/>
      <c r="AJU106" s="575"/>
      <c r="AJV106" s="575"/>
      <c r="AJW106" s="575"/>
      <c r="AJX106" s="575"/>
      <c r="AJY106" s="575"/>
      <c r="AJZ106" s="575"/>
      <c r="AKA106" s="575"/>
      <c r="AKB106" s="575"/>
      <c r="AKC106" s="575"/>
      <c r="AKD106" s="575"/>
      <c r="AKE106" s="575"/>
      <c r="AKF106" s="575"/>
      <c r="AKG106" s="575"/>
      <c r="AKH106" s="575"/>
      <c r="AKI106" s="575"/>
      <c r="AKJ106" s="575"/>
      <c r="AKK106" s="575"/>
      <c r="AKL106" s="575"/>
      <c r="AKM106" s="575"/>
      <c r="AKN106" s="575"/>
      <c r="AKO106" s="575"/>
      <c r="AKP106" s="575"/>
      <c r="AKQ106" s="575"/>
      <c r="AKR106" s="575"/>
      <c r="AKS106" s="575"/>
      <c r="AKT106" s="575"/>
      <c r="AKU106" s="575"/>
      <c r="AKV106" s="575"/>
      <c r="AKW106" s="575"/>
      <c r="AKX106" s="575"/>
      <c r="AKY106" s="575"/>
      <c r="AKZ106" s="575"/>
      <c r="ALA106" s="575"/>
      <c r="ALB106" s="575"/>
      <c r="ALC106" s="575"/>
      <c r="ALD106" s="575"/>
      <c r="ALE106" s="575"/>
      <c r="ALF106" s="575"/>
      <c r="ALG106" s="575"/>
      <c r="ALH106" s="575"/>
      <c r="ALI106" s="575"/>
      <c r="ALJ106" s="575"/>
      <c r="ALK106" s="575"/>
      <c r="ALL106" s="575"/>
      <c r="ALM106" s="575"/>
      <c r="ALN106" s="575"/>
      <c r="ALO106" s="575"/>
      <c r="ALP106" s="575"/>
      <c r="ALQ106" s="575"/>
      <c r="ALR106" s="575"/>
      <c r="ALS106" s="575"/>
      <c r="ALT106" s="575"/>
      <c r="ALU106" s="575"/>
      <c r="ALV106" s="575"/>
      <c r="ALW106" s="575"/>
      <c r="ALX106" s="575"/>
      <c r="ALY106" s="575"/>
      <c r="ALZ106" s="575"/>
      <c r="AMA106" s="575"/>
      <c r="AMB106" s="575"/>
      <c r="AMC106" s="575"/>
      <c r="AMD106" s="575"/>
      <c r="AME106" s="575"/>
      <c r="AMF106" s="575"/>
      <c r="AMG106" s="575"/>
      <c r="AMH106" s="575"/>
      <c r="AMI106" s="575"/>
      <c r="AMJ106" s="575"/>
      <c r="AMK106" s="575"/>
      <c r="AML106" s="575"/>
      <c r="AMM106" s="575"/>
      <c r="AMN106" s="575"/>
      <c r="AMO106" s="575"/>
      <c r="AMP106" s="575"/>
      <c r="AMQ106" s="575"/>
      <c r="AMR106" s="575"/>
      <c r="AMS106" s="575"/>
      <c r="AMT106" s="575"/>
      <c r="AMU106" s="575"/>
      <c r="AMV106" s="575"/>
      <c r="AMW106" s="575"/>
      <c r="AMX106" s="575"/>
      <c r="AMY106" s="575"/>
      <c r="AMZ106" s="575"/>
      <c r="ANA106" s="575"/>
      <c r="ANB106" s="575"/>
      <c r="ANC106" s="575"/>
      <c r="AND106" s="575"/>
      <c r="ANE106" s="575"/>
      <c r="ANF106" s="575"/>
      <c r="ANG106" s="575"/>
      <c r="ANH106" s="575"/>
      <c r="ANI106" s="575"/>
      <c r="ANJ106" s="575"/>
      <c r="ANK106" s="575"/>
      <c r="ANL106" s="575"/>
      <c r="ANM106" s="575"/>
      <c r="ANN106" s="575"/>
      <c r="ANO106" s="575"/>
      <c r="ANP106" s="575"/>
      <c r="ANQ106" s="575"/>
      <c r="ANR106" s="575"/>
      <c r="ANS106" s="575"/>
      <c r="ANT106" s="575"/>
      <c r="ANU106" s="575"/>
      <c r="ANV106" s="575"/>
      <c r="ANW106" s="575"/>
      <c r="ANX106" s="575"/>
      <c r="ANY106" s="575"/>
      <c r="ANZ106" s="575"/>
      <c r="AOA106" s="575"/>
      <c r="AOB106" s="575"/>
      <c r="AOC106" s="575"/>
      <c r="AOD106" s="575"/>
      <c r="AOE106" s="575"/>
      <c r="AOF106" s="575"/>
      <c r="AOG106" s="575"/>
      <c r="AOH106" s="575"/>
      <c r="AOI106" s="575"/>
      <c r="AOJ106" s="575"/>
      <c r="AOK106" s="575"/>
      <c r="AOL106" s="575"/>
      <c r="AOM106" s="575"/>
      <c r="AON106" s="575"/>
      <c r="AOO106" s="575"/>
      <c r="AOP106" s="575"/>
      <c r="AOQ106" s="575"/>
      <c r="AOR106" s="575"/>
      <c r="AOS106" s="575"/>
      <c r="AOT106" s="575"/>
      <c r="AOU106" s="575"/>
      <c r="AOV106" s="575"/>
      <c r="AOW106" s="575"/>
      <c r="AOX106" s="575"/>
      <c r="AOY106" s="575"/>
      <c r="AOZ106" s="575"/>
      <c r="APA106" s="575"/>
      <c r="APB106" s="575"/>
      <c r="APC106" s="575"/>
      <c r="APD106" s="575"/>
      <c r="APE106" s="575"/>
      <c r="APF106" s="575"/>
      <c r="APG106" s="575"/>
      <c r="APH106" s="575"/>
      <c r="API106" s="575"/>
      <c r="APJ106" s="575"/>
      <c r="APK106" s="575"/>
      <c r="APL106" s="575"/>
      <c r="APM106" s="575"/>
      <c r="APN106" s="575"/>
      <c r="APO106" s="575"/>
      <c r="APP106" s="575"/>
      <c r="APQ106" s="575"/>
      <c r="APR106" s="575"/>
      <c r="APS106" s="575"/>
      <c r="APT106" s="575"/>
      <c r="APU106" s="575"/>
      <c r="APV106" s="575"/>
      <c r="APW106" s="575"/>
      <c r="APX106" s="575"/>
      <c r="APY106" s="575"/>
      <c r="APZ106" s="575"/>
      <c r="AQA106" s="575"/>
      <c r="AQB106" s="575"/>
      <c r="AQC106" s="575"/>
      <c r="AQD106" s="575"/>
      <c r="AQE106" s="575"/>
      <c r="AQF106" s="575"/>
      <c r="AQG106" s="575"/>
      <c r="AQH106" s="575"/>
      <c r="AQI106" s="575"/>
      <c r="AQJ106" s="575"/>
      <c r="AQK106" s="575"/>
      <c r="AQL106" s="575"/>
      <c r="AQM106" s="575"/>
      <c r="AQN106" s="575"/>
      <c r="AQO106" s="575"/>
      <c r="AQP106" s="575"/>
      <c r="AQQ106" s="575"/>
      <c r="AQR106" s="575"/>
      <c r="AQS106" s="575"/>
      <c r="AQT106" s="575"/>
      <c r="AQU106" s="575"/>
      <c r="AQV106" s="575"/>
      <c r="AQW106" s="575"/>
      <c r="AQX106" s="575"/>
      <c r="AQY106" s="575"/>
      <c r="AQZ106" s="575"/>
      <c r="ARA106" s="575"/>
      <c r="ARB106" s="575"/>
      <c r="ARC106" s="575"/>
      <c r="ARD106" s="575"/>
      <c r="ARE106" s="575"/>
      <c r="ARF106" s="575"/>
      <c r="ARG106" s="575"/>
      <c r="ARH106" s="575"/>
      <c r="ARI106" s="575"/>
      <c r="ARJ106" s="575"/>
      <c r="ARK106" s="575"/>
      <c r="ARL106" s="575"/>
      <c r="ARM106" s="575"/>
      <c r="ARN106" s="575"/>
      <c r="ARO106" s="575"/>
      <c r="ARP106" s="575"/>
      <c r="ARQ106" s="575"/>
      <c r="ARR106" s="575"/>
      <c r="ARS106" s="575"/>
      <c r="ART106" s="575"/>
      <c r="ARU106" s="575"/>
      <c r="ARV106" s="575"/>
      <c r="ARW106" s="575"/>
      <c r="ARX106" s="575"/>
      <c r="ARY106" s="575"/>
      <c r="ARZ106" s="575"/>
      <c r="ASA106" s="575"/>
      <c r="ASB106" s="575"/>
      <c r="ASC106" s="575"/>
      <c r="ASD106" s="575"/>
      <c r="ASE106" s="575"/>
      <c r="ASF106" s="575"/>
      <c r="ASG106" s="575"/>
      <c r="ASH106" s="575"/>
      <c r="ASI106" s="575"/>
      <c r="ASJ106" s="575"/>
      <c r="ASK106" s="575"/>
      <c r="ASL106" s="575"/>
      <c r="ASM106" s="575"/>
      <c r="ASN106" s="575"/>
      <c r="ASO106" s="575"/>
      <c r="ASP106" s="575"/>
      <c r="ASQ106" s="575"/>
      <c r="ASR106" s="575"/>
      <c r="ASS106" s="575"/>
      <c r="AST106" s="575"/>
      <c r="ASU106" s="575"/>
      <c r="ASV106" s="575"/>
      <c r="ASW106" s="575"/>
      <c r="ASX106" s="575"/>
      <c r="ASY106" s="575"/>
      <c r="ASZ106" s="575"/>
      <c r="ATA106" s="575"/>
      <c r="ATB106" s="575"/>
      <c r="ATC106" s="575"/>
      <c r="ATD106" s="575"/>
      <c r="ATE106" s="575"/>
      <c r="ATF106" s="575"/>
      <c r="ATG106" s="575"/>
      <c r="ATH106" s="575"/>
      <c r="ATI106" s="575"/>
      <c r="ATJ106" s="575"/>
      <c r="ATK106" s="575"/>
      <c r="ATL106" s="575"/>
      <c r="ATM106" s="575"/>
      <c r="ATN106" s="575"/>
      <c r="ATO106" s="575"/>
      <c r="ATP106" s="575"/>
      <c r="ATQ106" s="575"/>
      <c r="ATR106" s="575"/>
      <c r="ATS106" s="575"/>
      <c r="ATT106" s="575"/>
      <c r="ATU106" s="575"/>
      <c r="ATV106" s="575"/>
      <c r="ATW106" s="575"/>
      <c r="ATX106" s="575"/>
      <c r="ATY106" s="575"/>
      <c r="ATZ106" s="575"/>
      <c r="AUA106" s="575"/>
      <c r="AUB106" s="575"/>
      <c r="AUC106" s="575"/>
      <c r="AUD106" s="575"/>
      <c r="AUE106" s="575"/>
      <c r="AUF106" s="575"/>
      <c r="AUG106" s="575"/>
      <c r="AUH106" s="575"/>
      <c r="AUI106" s="575"/>
      <c r="AUJ106" s="575"/>
      <c r="AUK106" s="575"/>
      <c r="AUL106" s="575"/>
      <c r="AUM106" s="575"/>
      <c r="AUN106" s="575"/>
      <c r="AUO106" s="575"/>
      <c r="AUP106" s="575"/>
      <c r="AUQ106" s="575"/>
      <c r="AUR106" s="575"/>
      <c r="AUS106" s="575"/>
      <c r="AUT106" s="575"/>
      <c r="AUU106" s="575"/>
      <c r="AUV106" s="575"/>
      <c r="AUW106" s="575"/>
      <c r="AUX106" s="575"/>
      <c r="AUY106" s="575"/>
      <c r="AUZ106" s="575"/>
      <c r="AVA106" s="575"/>
      <c r="AVB106" s="575"/>
      <c r="AVC106" s="575"/>
      <c r="AVD106" s="575"/>
      <c r="AVE106" s="575"/>
      <c r="AVF106" s="575"/>
      <c r="AVG106" s="575"/>
      <c r="AVH106" s="575"/>
      <c r="AVI106" s="575"/>
      <c r="AVJ106" s="575"/>
      <c r="AVK106" s="575"/>
      <c r="AVL106" s="575"/>
      <c r="AVM106" s="575"/>
      <c r="AVN106" s="575"/>
      <c r="AVO106" s="575"/>
      <c r="AVP106" s="575"/>
      <c r="AVQ106" s="575"/>
      <c r="AVR106" s="575"/>
      <c r="AVS106" s="575"/>
      <c r="AVT106" s="575"/>
      <c r="AVU106" s="575"/>
      <c r="AVV106" s="575"/>
      <c r="AVW106" s="575"/>
      <c r="AVX106" s="575"/>
      <c r="AVY106" s="575"/>
      <c r="AVZ106" s="575"/>
      <c r="AWA106" s="575"/>
      <c r="AWB106" s="575"/>
      <c r="AWC106" s="575"/>
      <c r="AWD106" s="575"/>
      <c r="AWE106" s="575"/>
      <c r="AWF106" s="575"/>
      <c r="AWG106" s="575"/>
      <c r="AWH106" s="575"/>
      <c r="AWI106" s="575"/>
      <c r="AWJ106" s="575"/>
      <c r="AWK106" s="575"/>
      <c r="AWL106" s="575"/>
      <c r="AWM106" s="575"/>
      <c r="AWN106" s="575"/>
      <c r="AWO106" s="575"/>
      <c r="AWP106" s="575"/>
      <c r="AWQ106" s="575"/>
      <c r="AWR106" s="575"/>
      <c r="AWS106" s="575"/>
      <c r="AWT106" s="575"/>
      <c r="AWU106" s="575"/>
      <c r="AWV106" s="575"/>
      <c r="AWW106" s="575"/>
      <c r="AWX106" s="575"/>
      <c r="AWY106" s="575"/>
      <c r="AWZ106" s="575"/>
      <c r="AXA106" s="575"/>
      <c r="AXB106" s="575"/>
      <c r="AXC106" s="575"/>
      <c r="AXD106" s="575"/>
      <c r="AXE106" s="575"/>
      <c r="AXF106" s="575"/>
      <c r="AXG106" s="575"/>
      <c r="AXH106" s="575"/>
      <c r="AXI106" s="575"/>
      <c r="AXJ106" s="575"/>
      <c r="AXK106" s="575"/>
      <c r="AXL106" s="575"/>
      <c r="AXM106" s="575"/>
      <c r="AXN106" s="575"/>
      <c r="AXO106" s="575"/>
      <c r="AXP106" s="575"/>
      <c r="AXQ106" s="575"/>
      <c r="AXR106" s="575"/>
      <c r="AXS106" s="575"/>
      <c r="AXT106" s="575"/>
      <c r="AXU106" s="575"/>
      <c r="AXV106" s="575"/>
      <c r="AXW106" s="575"/>
      <c r="AXX106" s="575"/>
      <c r="AXY106" s="575"/>
      <c r="AXZ106" s="575"/>
      <c r="AYA106" s="575"/>
      <c r="AYB106" s="575"/>
      <c r="AYC106" s="575"/>
      <c r="AYD106" s="575"/>
      <c r="AYE106" s="575"/>
      <c r="AYF106" s="575"/>
      <c r="AYG106" s="575"/>
      <c r="AYH106" s="575"/>
      <c r="AYI106" s="575"/>
      <c r="AYJ106" s="575"/>
      <c r="AYK106" s="575"/>
      <c r="AYL106" s="575"/>
      <c r="AYM106" s="575"/>
      <c r="AYN106" s="575"/>
      <c r="AYO106" s="575"/>
      <c r="AYP106" s="575"/>
      <c r="AYQ106" s="575"/>
      <c r="AYR106" s="575"/>
      <c r="AYS106" s="575"/>
      <c r="AYT106" s="575"/>
      <c r="AYU106" s="575"/>
      <c r="AYV106" s="575"/>
      <c r="AYW106" s="575"/>
      <c r="AYX106" s="575"/>
      <c r="AYY106" s="575"/>
      <c r="AYZ106" s="575"/>
      <c r="AZA106" s="575"/>
      <c r="AZB106" s="575"/>
      <c r="AZC106" s="575"/>
      <c r="AZD106" s="575"/>
      <c r="AZE106" s="575"/>
      <c r="AZF106" s="575"/>
      <c r="AZG106" s="575"/>
      <c r="AZH106" s="575"/>
      <c r="AZI106" s="575"/>
      <c r="AZJ106" s="575"/>
      <c r="AZK106" s="575"/>
      <c r="AZL106" s="575"/>
      <c r="AZM106" s="575"/>
      <c r="AZN106" s="575"/>
      <c r="AZO106" s="575"/>
      <c r="AZP106" s="575"/>
      <c r="AZQ106" s="575"/>
      <c r="AZR106" s="575"/>
      <c r="AZS106" s="575"/>
      <c r="AZT106" s="575"/>
      <c r="AZU106" s="575"/>
      <c r="AZV106" s="575"/>
      <c r="AZW106" s="575"/>
      <c r="AZX106" s="575"/>
      <c r="AZY106" s="575"/>
      <c r="AZZ106" s="575"/>
      <c r="BAA106" s="575"/>
      <c r="BAB106" s="575"/>
      <c r="BAC106" s="575"/>
      <c r="BAD106" s="575"/>
      <c r="BAE106" s="575"/>
      <c r="BAF106" s="575"/>
      <c r="BAG106" s="575"/>
      <c r="BAH106" s="575"/>
      <c r="BAI106" s="575"/>
      <c r="BAJ106" s="575"/>
      <c r="BAK106" s="575"/>
      <c r="BAL106" s="575"/>
      <c r="BAM106" s="575"/>
      <c r="BAN106" s="575"/>
      <c r="BAO106" s="575"/>
      <c r="BAP106" s="575"/>
      <c r="BAQ106" s="575"/>
      <c r="BAR106" s="575"/>
      <c r="BAS106" s="575"/>
      <c r="BAT106" s="575"/>
      <c r="BAU106" s="575"/>
      <c r="BAV106" s="575"/>
      <c r="BAW106" s="575"/>
      <c r="BAX106" s="575"/>
      <c r="BAY106" s="575"/>
      <c r="BAZ106" s="575"/>
      <c r="BBA106" s="575"/>
      <c r="BBB106" s="575"/>
      <c r="BBC106" s="575"/>
      <c r="BBD106" s="575"/>
      <c r="BBE106" s="575"/>
      <c r="BBF106" s="575"/>
      <c r="BBG106" s="575"/>
      <c r="BBH106" s="575"/>
      <c r="BBI106" s="575"/>
      <c r="BBJ106" s="575"/>
      <c r="BBK106" s="575"/>
      <c r="BBL106" s="575"/>
      <c r="BBM106" s="575"/>
      <c r="BBN106" s="575"/>
      <c r="BBO106" s="575"/>
      <c r="BBP106" s="575"/>
      <c r="BBQ106" s="575"/>
      <c r="BBR106" s="575"/>
      <c r="BBS106" s="575"/>
      <c r="BBT106" s="575"/>
      <c r="BBU106" s="575"/>
      <c r="BBV106" s="575"/>
      <c r="BBW106" s="575"/>
      <c r="BBX106" s="575"/>
      <c r="BBY106" s="575"/>
      <c r="BBZ106" s="575"/>
      <c r="BCA106" s="575"/>
      <c r="BCB106" s="575"/>
      <c r="BCC106" s="575"/>
      <c r="BCD106" s="575"/>
      <c r="BCE106" s="575"/>
      <c r="BCF106" s="575"/>
      <c r="BCG106" s="575"/>
      <c r="BCH106" s="575"/>
      <c r="BCI106" s="575"/>
      <c r="BCJ106" s="575"/>
      <c r="BCK106" s="575"/>
      <c r="BCL106" s="575"/>
      <c r="BCM106" s="575"/>
      <c r="BCN106" s="575"/>
      <c r="BCO106" s="575"/>
      <c r="BCP106" s="575"/>
      <c r="BCQ106" s="575"/>
      <c r="BCR106" s="575"/>
      <c r="BCS106" s="575"/>
      <c r="BCT106" s="575"/>
      <c r="BCU106" s="575"/>
      <c r="BCV106" s="575"/>
      <c r="BCW106" s="575"/>
      <c r="BCX106" s="575"/>
      <c r="BCY106" s="575"/>
      <c r="BCZ106" s="575"/>
      <c r="BDA106" s="575"/>
      <c r="BDB106" s="575"/>
      <c r="BDC106" s="575"/>
      <c r="BDD106" s="575"/>
      <c r="BDE106" s="575"/>
      <c r="BDF106" s="575"/>
      <c r="BDG106" s="575"/>
      <c r="BDH106" s="575"/>
      <c r="BDI106" s="575"/>
      <c r="BDJ106" s="575"/>
      <c r="BDK106" s="575"/>
      <c r="BDL106" s="575"/>
      <c r="BDM106" s="575"/>
      <c r="BDN106" s="575"/>
      <c r="BDO106" s="575"/>
      <c r="BDP106" s="575"/>
      <c r="BDQ106" s="575"/>
      <c r="BDR106" s="575"/>
      <c r="BDS106" s="575"/>
      <c r="BDT106" s="575"/>
    </row>
    <row r="107" spans="1:1476" x14ac:dyDescent="0.25">
      <c r="A107" s="608">
        <v>5582</v>
      </c>
      <c r="B107" s="609" t="s">
        <v>318</v>
      </c>
      <c r="C107" s="610">
        <v>9117824.3300000001</v>
      </c>
      <c r="D107" s="610">
        <v>1122404.81</v>
      </c>
      <c r="E107" s="610"/>
      <c r="F107" s="611"/>
      <c r="G107" s="610">
        <v>315191.5</v>
      </c>
      <c r="H107" s="610">
        <v>282550.8</v>
      </c>
      <c r="I107" s="610"/>
      <c r="J107" s="610">
        <v>338951.18</v>
      </c>
      <c r="K107" s="610">
        <v>126869.85</v>
      </c>
      <c r="L107" s="610">
        <v>992794.45</v>
      </c>
      <c r="M107" s="434">
        <f t="shared" si="4"/>
        <v>12296586.92</v>
      </c>
      <c r="N107" s="612">
        <v>473500.2</v>
      </c>
      <c r="O107" s="612">
        <v>34275.800000000003</v>
      </c>
      <c r="P107" s="612">
        <v>388512.15</v>
      </c>
      <c r="Q107" s="612">
        <v>152371.28</v>
      </c>
      <c r="R107" s="612">
        <v>185015.5</v>
      </c>
      <c r="S107" s="610">
        <v>62467.14</v>
      </c>
      <c r="T107" s="543">
        <f t="shared" si="5"/>
        <v>13592728.99</v>
      </c>
      <c r="U107" s="575">
        <v>-66148.649999999994</v>
      </c>
      <c r="V107" s="612"/>
      <c r="W107" s="612">
        <v>-3974.96</v>
      </c>
      <c r="X107" s="624">
        <v>73</v>
      </c>
      <c r="Y107" s="631">
        <v>1</v>
      </c>
      <c r="Z107" s="628">
        <f>VLOOKUP(A107,'[2]2022 toutes communes'!$B$9:$D$317,3,FALSE)</f>
        <v>4525</v>
      </c>
      <c r="AA107" s="617"/>
      <c r="AB107" s="618">
        <v>291629</v>
      </c>
      <c r="AC107" s="547">
        <f>AB107/VPI!R107</f>
        <v>1.7111486773659339</v>
      </c>
      <c r="AD107" s="548">
        <f>AF107-AB107</f>
        <v>1074863</v>
      </c>
      <c r="AE107" s="547">
        <f>AD107/VPI!R107</f>
        <v>6.3068158543888977</v>
      </c>
      <c r="AF107" s="618">
        <v>1366492</v>
      </c>
      <c r="AG107" s="618">
        <v>431086</v>
      </c>
      <c r="AH107" s="618">
        <v>203857</v>
      </c>
      <c r="AI107" s="637"/>
      <c r="AJ107" s="628">
        <v>0</v>
      </c>
      <c r="AK107" s="547">
        <f>AJ107/VPI!R107</f>
        <v>0</v>
      </c>
      <c r="AL107" s="548">
        <f t="shared" si="7"/>
        <v>72855</v>
      </c>
      <c r="AM107" s="547">
        <f>AL107/VPI!R107</f>
        <v>0.42748058968585129</v>
      </c>
      <c r="AN107" s="628">
        <v>72855</v>
      </c>
      <c r="AO107" s="627"/>
      <c r="AP107" s="629">
        <v>15.548945625009488</v>
      </c>
      <c r="AR107" s="630">
        <v>0</v>
      </c>
    </row>
    <row r="108" spans="1:1476" x14ac:dyDescent="0.25">
      <c r="A108" s="608">
        <v>5583</v>
      </c>
      <c r="B108" s="609" t="s">
        <v>319</v>
      </c>
      <c r="C108" s="610">
        <v>12370737.34</v>
      </c>
      <c r="D108" s="610">
        <v>1726557.72</v>
      </c>
      <c r="E108" s="610"/>
      <c r="F108" s="611"/>
      <c r="G108" s="610">
        <v>2974353.05</v>
      </c>
      <c r="H108" s="610">
        <v>351879.55</v>
      </c>
      <c r="I108" s="610"/>
      <c r="J108" s="610">
        <v>1059721.76</v>
      </c>
      <c r="K108" s="610">
        <v>373598.6</v>
      </c>
      <c r="L108" s="610">
        <v>2583288.2999999998</v>
      </c>
      <c r="M108" s="434">
        <f t="shared" si="4"/>
        <v>21440136.320000004</v>
      </c>
      <c r="N108" s="612">
        <v>2567265.7999999998</v>
      </c>
      <c r="O108" s="612">
        <v>67534.05</v>
      </c>
      <c r="P108" s="612">
        <v>2117957.9500000002</v>
      </c>
      <c r="Q108" s="612">
        <v>134384.76999999999</v>
      </c>
      <c r="R108" s="612">
        <v>691127.5</v>
      </c>
      <c r="S108" s="610">
        <v>347608.38</v>
      </c>
      <c r="T108" s="543">
        <f t="shared" si="5"/>
        <v>27366014.770000003</v>
      </c>
      <c r="U108" s="575">
        <v>-297820.19</v>
      </c>
      <c r="V108" s="612"/>
      <c r="W108" s="612">
        <v>-2778.7</v>
      </c>
      <c r="X108" s="624">
        <v>63.5</v>
      </c>
      <c r="Y108" s="631">
        <v>1</v>
      </c>
      <c r="Z108" s="628">
        <f>VLOOKUP(A108,'[2]2022 toutes communes'!$B$9:$D$317,3,FALSE)</f>
        <v>9161</v>
      </c>
      <c r="AA108" s="617"/>
      <c r="AB108" s="618">
        <v>507808</v>
      </c>
      <c r="AC108" s="547">
        <f>AB108/VPI!R108</f>
        <v>1.4913748996950056</v>
      </c>
      <c r="AD108" s="548">
        <f t="shared" si="6"/>
        <v>1610321</v>
      </c>
      <c r="AE108" s="547">
        <f>AD108/VPI!R108</f>
        <v>4.7293314005524945</v>
      </c>
      <c r="AF108" s="618">
        <v>2118129</v>
      </c>
      <c r="AG108" s="618">
        <v>4980257</v>
      </c>
      <c r="AH108" s="618">
        <v>328556</v>
      </c>
      <c r="AI108" s="627"/>
      <c r="AJ108" s="628">
        <v>0</v>
      </c>
      <c r="AK108" s="547">
        <f>AJ108/VPI!R108</f>
        <v>0</v>
      </c>
      <c r="AL108" s="548">
        <f t="shared" si="7"/>
        <v>115720</v>
      </c>
      <c r="AM108" s="547">
        <f>AL108/VPI!R108</f>
        <v>0.33985660602571455</v>
      </c>
      <c r="AN108" s="628">
        <v>115720</v>
      </c>
      <c r="AO108" s="627"/>
      <c r="AP108" s="629">
        <v>13.792501929457579</v>
      </c>
      <c r="AR108" s="630">
        <v>1</v>
      </c>
    </row>
    <row r="109" spans="1:1476" x14ac:dyDescent="0.25">
      <c r="A109" s="608">
        <v>5584</v>
      </c>
      <c r="B109" s="609" t="s">
        <v>320</v>
      </c>
      <c r="C109" s="610">
        <v>21640754.899999999</v>
      </c>
      <c r="D109" s="610">
        <v>4578820.9800000004</v>
      </c>
      <c r="E109" s="610"/>
      <c r="F109" s="611"/>
      <c r="G109" s="610">
        <v>1295637</v>
      </c>
      <c r="H109" s="610">
        <v>397475.1</v>
      </c>
      <c r="I109" s="610">
        <v>384606.3</v>
      </c>
      <c r="J109" s="610">
        <v>624375.05000000005</v>
      </c>
      <c r="K109" s="610">
        <v>342617.05</v>
      </c>
      <c r="L109" s="610">
        <v>2428685.31</v>
      </c>
      <c r="M109" s="434">
        <f t="shared" si="4"/>
        <v>31692971.690000001</v>
      </c>
      <c r="N109" s="612">
        <v>351357.3</v>
      </c>
      <c r="O109" s="612">
        <v>2252594.5</v>
      </c>
      <c r="P109" s="612">
        <v>891041.3</v>
      </c>
      <c r="Q109" s="612">
        <v>230723.20000000001</v>
      </c>
      <c r="R109" s="612">
        <v>1562752.1</v>
      </c>
      <c r="S109" s="610">
        <v>176938.91</v>
      </c>
      <c r="T109" s="543">
        <f t="shared" si="5"/>
        <v>37158379</v>
      </c>
      <c r="U109" s="575">
        <v>-462529.99</v>
      </c>
      <c r="V109" s="612"/>
      <c r="W109" s="612">
        <v>-48182.400000000001</v>
      </c>
      <c r="X109" s="624">
        <v>64.5</v>
      </c>
      <c r="Y109" s="631">
        <v>1</v>
      </c>
      <c r="Z109" s="628">
        <f>VLOOKUP(A109,'[2]2022 toutes communes'!$B$9:$D$317,3,FALSE)</f>
        <v>9825</v>
      </c>
      <c r="AA109" s="617"/>
      <c r="AB109" s="618">
        <v>1361447</v>
      </c>
      <c r="AC109" s="547">
        <f>AB109/VPI!R109</f>
        <v>2.7797894891945534</v>
      </c>
      <c r="AD109" s="548">
        <f t="shared" si="6"/>
        <v>3186102</v>
      </c>
      <c r="AE109" s="547">
        <f>AD109/VPI!R109</f>
        <v>6.5053526513347526</v>
      </c>
      <c r="AF109" s="618">
        <v>4547549</v>
      </c>
      <c r="AG109" s="618">
        <v>4420283</v>
      </c>
      <c r="AH109" s="618">
        <v>802714</v>
      </c>
      <c r="AI109" s="627"/>
      <c r="AJ109" s="628">
        <v>3413</v>
      </c>
      <c r="AK109" s="547">
        <f>AJ109/VPI!R109</f>
        <v>6.9686308219277073E-3</v>
      </c>
      <c r="AL109" s="548">
        <f t="shared" si="7"/>
        <v>282376</v>
      </c>
      <c r="AM109" s="547">
        <f>AL109/VPI!R109</f>
        <v>0.5765526214393959</v>
      </c>
      <c r="AN109" s="628">
        <v>285789</v>
      </c>
      <c r="AO109" s="627"/>
      <c r="AP109" s="629">
        <v>22.403571554395622</v>
      </c>
      <c r="AR109" s="630">
        <v>0</v>
      </c>
    </row>
    <row r="110" spans="1:1476" x14ac:dyDescent="0.25">
      <c r="A110" s="608">
        <v>5585</v>
      </c>
      <c r="B110" s="609" t="s">
        <v>321</v>
      </c>
      <c r="C110" s="610">
        <v>7699617.4900000002</v>
      </c>
      <c r="D110" s="610">
        <v>5885359.6699999999</v>
      </c>
      <c r="E110" s="610"/>
      <c r="F110" s="611"/>
      <c r="G110" s="610">
        <v>61070.2</v>
      </c>
      <c r="H110" s="610">
        <v>6923.15</v>
      </c>
      <c r="I110" s="610">
        <v>575098.6</v>
      </c>
      <c r="J110" s="610">
        <v>123355.29</v>
      </c>
      <c r="K110" s="610">
        <v>7799</v>
      </c>
      <c r="L110" s="610">
        <v>591167.35</v>
      </c>
      <c r="M110" s="434">
        <f t="shared" si="4"/>
        <v>14950390.749999998</v>
      </c>
      <c r="N110" s="612">
        <v>770.1</v>
      </c>
      <c r="O110" s="612"/>
      <c r="P110" s="612">
        <v>359717.3</v>
      </c>
      <c r="Q110" s="612">
        <v>12084.04</v>
      </c>
      <c r="R110" s="612">
        <v>375596.25</v>
      </c>
      <c r="S110" s="610">
        <v>7105.65</v>
      </c>
      <c r="T110" s="543">
        <f t="shared" si="5"/>
        <v>15705664.089999998</v>
      </c>
      <c r="U110" s="575">
        <v>-24206.23</v>
      </c>
      <c r="V110" s="612"/>
      <c r="W110" s="612">
        <v>-21529.38</v>
      </c>
      <c r="X110" s="624">
        <v>59</v>
      </c>
      <c r="Y110" s="631">
        <v>1</v>
      </c>
      <c r="Z110" s="628">
        <f>VLOOKUP(A110,'[2]2022 toutes communes'!$B$9:$D$317,3,FALSE)</f>
        <v>1468</v>
      </c>
      <c r="AA110" s="617"/>
      <c r="AB110" s="618"/>
      <c r="AC110" s="547">
        <f>AB110/VPI!R110</f>
        <v>0</v>
      </c>
      <c r="AD110" s="548">
        <f t="shared" si="6"/>
        <v>0</v>
      </c>
      <c r="AE110" s="547">
        <f>AD110/VPI!R110</f>
        <v>0</v>
      </c>
      <c r="AF110" s="618"/>
      <c r="AG110" s="618"/>
      <c r="AH110" s="618"/>
      <c r="AI110" s="627"/>
      <c r="AJ110" s="628"/>
      <c r="AK110" s="547">
        <f>AJ110/VPI!R110</f>
        <v>0</v>
      </c>
      <c r="AL110" s="548">
        <f t="shared" si="7"/>
        <v>0</v>
      </c>
      <c r="AM110" s="547">
        <f>AL110/VPI!R110</f>
        <v>0</v>
      </c>
      <c r="AN110" s="628"/>
      <c r="AO110" s="627"/>
      <c r="AP110" s="629">
        <v>44.297697793456138</v>
      </c>
      <c r="AR110" s="630">
        <v>0</v>
      </c>
    </row>
    <row r="111" spans="1:1476" s="632" customFormat="1" x14ac:dyDescent="0.25">
      <c r="A111" s="608">
        <v>5586</v>
      </c>
      <c r="B111" s="609" t="s">
        <v>108</v>
      </c>
      <c r="C111" s="610">
        <v>303622968.13</v>
      </c>
      <c r="D111" s="610">
        <v>46208749.829999998</v>
      </c>
      <c r="E111" s="610"/>
      <c r="F111" s="611"/>
      <c r="G111" s="610">
        <v>95581505.689999998</v>
      </c>
      <c r="H111" s="610">
        <v>6186282.0499999998</v>
      </c>
      <c r="I111" s="610">
        <v>4416616.38</v>
      </c>
      <c r="J111" s="610">
        <v>26043977.149999999</v>
      </c>
      <c r="K111" s="610">
        <v>6615252.75</v>
      </c>
      <c r="L111" s="610">
        <v>47207561.049999997</v>
      </c>
      <c r="M111" s="434">
        <f t="shared" si="4"/>
        <v>535882913.02999997</v>
      </c>
      <c r="N111" s="612">
        <v>13587309.25</v>
      </c>
      <c r="O111" s="612">
        <v>14911668.4</v>
      </c>
      <c r="P111" s="612">
        <v>12720517.75</v>
      </c>
      <c r="Q111" s="612">
        <v>2478909.39</v>
      </c>
      <c r="R111" s="612">
        <v>10623425.550000001</v>
      </c>
      <c r="S111" s="610">
        <v>10635256.25</v>
      </c>
      <c r="T111" s="543">
        <f t="shared" si="5"/>
        <v>600839999.61999989</v>
      </c>
      <c r="U111" s="575">
        <v>-7524770.8200000003</v>
      </c>
      <c r="V111" s="612"/>
      <c r="W111" s="612">
        <v>-1986114.97</v>
      </c>
      <c r="X111" s="624">
        <v>78.5</v>
      </c>
      <c r="Y111" s="631">
        <v>1.5</v>
      </c>
      <c r="Z111" s="628">
        <f>VLOOKUP(A111,'[2]2022 toutes communes'!$B$9:$D$317,3,FALSE)</f>
        <v>141513</v>
      </c>
      <c r="AA111" s="617"/>
      <c r="AB111" s="618">
        <v>2867738</v>
      </c>
      <c r="AC111" s="547">
        <f>AB111/VPI!R111</f>
        <v>0.42981820946462268</v>
      </c>
      <c r="AD111" s="548">
        <f t="shared" si="6"/>
        <v>45120360</v>
      </c>
      <c r="AE111" s="547">
        <f>AD111/VPI!R111</f>
        <v>6.7626653291197387</v>
      </c>
      <c r="AF111" s="618">
        <v>47988098</v>
      </c>
      <c r="AG111" s="618">
        <v>67625596</v>
      </c>
      <c r="AH111" s="618">
        <v>2691448</v>
      </c>
      <c r="AI111" s="627"/>
      <c r="AJ111" s="628">
        <v>0</v>
      </c>
      <c r="AK111" s="547">
        <f>AJ111/VPI!R111</f>
        <v>0</v>
      </c>
      <c r="AL111" s="548">
        <f t="shared" si="7"/>
        <v>1951177</v>
      </c>
      <c r="AM111" s="547">
        <f>AL111/VPI!R111</f>
        <v>0.2924435232537122</v>
      </c>
      <c r="AN111" s="628">
        <v>1951177</v>
      </c>
      <c r="AO111" s="627"/>
      <c r="AP111" s="629">
        <v>7.5920879495233926</v>
      </c>
      <c r="AQ111" s="575"/>
      <c r="AR111" s="630">
        <v>1</v>
      </c>
      <c r="AS111" s="575"/>
      <c r="AT111" s="575"/>
      <c r="AU111" s="575"/>
      <c r="AV111" s="575"/>
      <c r="AW111" s="575"/>
      <c r="AX111" s="575"/>
      <c r="AY111" s="575"/>
      <c r="AZ111" s="575"/>
      <c r="BA111" s="575"/>
      <c r="BB111" s="575"/>
      <c r="BC111" s="575"/>
      <c r="BD111" s="575"/>
      <c r="BE111" s="575"/>
      <c r="BF111" s="575"/>
      <c r="BG111" s="575"/>
      <c r="BH111" s="575"/>
      <c r="BI111" s="575"/>
      <c r="BJ111" s="575"/>
      <c r="BK111" s="575"/>
      <c r="BL111" s="575"/>
      <c r="BM111" s="575"/>
      <c r="BN111" s="575"/>
      <c r="BO111" s="575"/>
      <c r="BP111" s="575"/>
      <c r="BQ111" s="575"/>
      <c r="BR111" s="575"/>
      <c r="BS111" s="575"/>
      <c r="BT111" s="575"/>
      <c r="BU111" s="575"/>
      <c r="BV111" s="575"/>
      <c r="BW111" s="575"/>
      <c r="BX111" s="575"/>
      <c r="BY111" s="575"/>
      <c r="BZ111" s="575"/>
      <c r="CA111" s="575"/>
      <c r="CB111" s="575"/>
      <c r="CC111" s="575"/>
      <c r="CD111" s="575"/>
      <c r="CE111" s="575"/>
      <c r="CF111" s="575"/>
      <c r="CG111" s="575"/>
      <c r="CH111" s="575"/>
      <c r="CI111" s="575"/>
      <c r="CJ111" s="575"/>
      <c r="CK111" s="575"/>
      <c r="CL111" s="575"/>
      <c r="CM111" s="575"/>
      <c r="CN111" s="575"/>
      <c r="CO111" s="575"/>
      <c r="CP111" s="575"/>
      <c r="CQ111" s="575"/>
      <c r="CR111" s="575"/>
      <c r="CS111" s="575"/>
      <c r="CT111" s="575"/>
      <c r="CU111" s="575"/>
      <c r="CV111" s="575"/>
      <c r="CW111" s="575"/>
      <c r="CX111" s="575"/>
      <c r="CY111" s="575"/>
      <c r="CZ111" s="575"/>
      <c r="DA111" s="575"/>
      <c r="DB111" s="575"/>
      <c r="DC111" s="575"/>
      <c r="DD111" s="575"/>
      <c r="DE111" s="575"/>
      <c r="DF111" s="575"/>
      <c r="DG111" s="575"/>
      <c r="DH111" s="575"/>
      <c r="DI111" s="575"/>
      <c r="DJ111" s="575"/>
      <c r="DK111" s="575"/>
      <c r="DL111" s="575"/>
      <c r="DM111" s="575"/>
      <c r="DN111" s="575"/>
      <c r="DO111" s="575"/>
      <c r="DP111" s="575"/>
      <c r="DQ111" s="575"/>
      <c r="DR111" s="575"/>
      <c r="DS111" s="575"/>
      <c r="DT111" s="575"/>
      <c r="DU111" s="575"/>
      <c r="DV111" s="575"/>
      <c r="DW111" s="575"/>
      <c r="DX111" s="575"/>
      <c r="DY111" s="575"/>
      <c r="DZ111" s="575"/>
      <c r="EA111" s="575"/>
      <c r="EB111" s="575"/>
      <c r="EC111" s="575"/>
      <c r="ED111" s="575"/>
      <c r="EE111" s="575"/>
      <c r="EF111" s="575"/>
      <c r="EG111" s="575"/>
      <c r="EH111" s="575"/>
      <c r="EI111" s="575"/>
      <c r="EJ111" s="575"/>
      <c r="EK111" s="575"/>
      <c r="EL111" s="575"/>
      <c r="EM111" s="575"/>
      <c r="EN111" s="575"/>
      <c r="EO111" s="575"/>
      <c r="EP111" s="575"/>
      <c r="EQ111" s="575"/>
      <c r="ER111" s="575"/>
      <c r="ES111" s="575"/>
      <c r="ET111" s="575"/>
      <c r="EU111" s="575"/>
      <c r="EV111" s="575"/>
      <c r="EW111" s="575"/>
      <c r="EX111" s="575"/>
      <c r="EY111" s="575"/>
      <c r="EZ111" s="575"/>
      <c r="FA111" s="575"/>
      <c r="FB111" s="575"/>
      <c r="FC111" s="575"/>
      <c r="FD111" s="575"/>
      <c r="FE111" s="575"/>
      <c r="FF111" s="575"/>
      <c r="FG111" s="575"/>
      <c r="FH111" s="575"/>
      <c r="FI111" s="575"/>
      <c r="FJ111" s="575"/>
      <c r="FK111" s="575"/>
      <c r="FL111" s="575"/>
      <c r="FM111" s="575"/>
      <c r="FN111" s="575"/>
      <c r="FO111" s="575"/>
      <c r="FP111" s="575"/>
      <c r="FQ111" s="575"/>
      <c r="FR111" s="575"/>
      <c r="FS111" s="575"/>
      <c r="FT111" s="575"/>
      <c r="FU111" s="575"/>
      <c r="FV111" s="575"/>
      <c r="FW111" s="575"/>
      <c r="FX111" s="575"/>
      <c r="FY111" s="575"/>
      <c r="FZ111" s="575"/>
      <c r="GA111" s="575"/>
      <c r="GB111" s="575"/>
      <c r="GC111" s="575"/>
      <c r="GD111" s="575"/>
      <c r="GE111" s="575"/>
      <c r="GF111" s="575"/>
      <c r="GG111" s="575"/>
      <c r="GH111" s="575"/>
      <c r="GI111" s="575"/>
      <c r="GJ111" s="575"/>
      <c r="GK111" s="575"/>
      <c r="GL111" s="575"/>
      <c r="GM111" s="575"/>
      <c r="GN111" s="575"/>
      <c r="GO111" s="575"/>
      <c r="GP111" s="575"/>
      <c r="GQ111" s="575"/>
      <c r="GR111" s="575"/>
      <c r="GS111" s="575"/>
      <c r="GT111" s="575"/>
      <c r="GU111" s="575"/>
      <c r="GV111" s="575"/>
      <c r="GW111" s="575"/>
      <c r="GX111" s="575"/>
      <c r="GY111" s="575"/>
      <c r="GZ111" s="575"/>
      <c r="HA111" s="575"/>
      <c r="HB111" s="575"/>
      <c r="HC111" s="575"/>
      <c r="HD111" s="575"/>
      <c r="HE111" s="575"/>
      <c r="HF111" s="575"/>
      <c r="HG111" s="575"/>
      <c r="HH111" s="575"/>
      <c r="HI111" s="575"/>
      <c r="HJ111" s="575"/>
      <c r="HK111" s="575"/>
      <c r="HL111" s="575"/>
      <c r="HM111" s="575"/>
      <c r="HN111" s="575"/>
      <c r="HO111" s="575"/>
      <c r="HP111" s="575"/>
      <c r="HQ111" s="575"/>
      <c r="HR111" s="575"/>
      <c r="HS111" s="575"/>
      <c r="HT111" s="575"/>
      <c r="HU111" s="575"/>
      <c r="HV111" s="575"/>
      <c r="HW111" s="575"/>
      <c r="HX111" s="575"/>
      <c r="HY111" s="575"/>
      <c r="HZ111" s="575"/>
      <c r="IA111" s="575"/>
      <c r="IB111" s="575"/>
      <c r="IC111" s="575"/>
      <c r="ID111" s="575"/>
      <c r="IE111" s="575"/>
      <c r="IF111" s="575"/>
      <c r="IG111" s="575"/>
      <c r="IH111" s="575"/>
      <c r="II111" s="575"/>
      <c r="IJ111" s="575"/>
      <c r="IK111" s="575"/>
      <c r="IL111" s="575"/>
      <c r="IM111" s="575"/>
      <c r="IN111" s="575"/>
      <c r="IO111" s="575"/>
      <c r="IP111" s="575"/>
      <c r="IQ111" s="575"/>
      <c r="IR111" s="575"/>
      <c r="IS111" s="575"/>
      <c r="IT111" s="575"/>
      <c r="IU111" s="575"/>
      <c r="IV111" s="575"/>
      <c r="IW111" s="575"/>
      <c r="IX111" s="575"/>
      <c r="IY111" s="575"/>
      <c r="IZ111" s="575"/>
      <c r="JA111" s="575"/>
      <c r="JB111" s="575"/>
      <c r="JC111" s="575"/>
      <c r="JD111" s="575"/>
      <c r="JE111" s="575"/>
      <c r="JF111" s="575"/>
      <c r="JG111" s="575"/>
      <c r="JH111" s="575"/>
      <c r="JI111" s="575"/>
      <c r="JJ111" s="575"/>
      <c r="JK111" s="575"/>
      <c r="JL111" s="575"/>
      <c r="JM111" s="575"/>
      <c r="JN111" s="575"/>
      <c r="JO111" s="575"/>
      <c r="JP111" s="575"/>
      <c r="JQ111" s="575"/>
      <c r="JR111" s="575"/>
      <c r="JS111" s="575"/>
      <c r="JT111" s="575"/>
      <c r="JU111" s="575"/>
      <c r="JV111" s="575"/>
      <c r="JW111" s="575"/>
      <c r="JX111" s="575"/>
      <c r="JY111" s="575"/>
      <c r="JZ111" s="575"/>
      <c r="KA111" s="575"/>
      <c r="KB111" s="575"/>
      <c r="KC111" s="575"/>
      <c r="KD111" s="575"/>
      <c r="KE111" s="575"/>
      <c r="KF111" s="575"/>
      <c r="KG111" s="575"/>
      <c r="KH111" s="575"/>
      <c r="KI111" s="575"/>
      <c r="KJ111" s="575"/>
      <c r="KK111" s="575"/>
      <c r="KL111" s="575"/>
      <c r="KM111" s="575"/>
      <c r="KN111" s="575"/>
      <c r="KO111" s="575"/>
      <c r="KP111" s="575"/>
      <c r="KQ111" s="575"/>
      <c r="KR111" s="575"/>
      <c r="KS111" s="575"/>
      <c r="KT111" s="575"/>
      <c r="KU111" s="575"/>
      <c r="KV111" s="575"/>
      <c r="KW111" s="575"/>
      <c r="KX111" s="575"/>
      <c r="KY111" s="575"/>
      <c r="KZ111" s="575"/>
      <c r="LA111" s="575"/>
      <c r="LB111" s="575"/>
      <c r="LC111" s="575"/>
      <c r="LD111" s="575"/>
      <c r="LE111" s="575"/>
      <c r="LF111" s="575"/>
      <c r="LG111" s="575"/>
      <c r="LH111" s="575"/>
      <c r="LI111" s="575"/>
      <c r="LJ111" s="575"/>
      <c r="LK111" s="575"/>
      <c r="LL111" s="575"/>
      <c r="LM111" s="575"/>
      <c r="LN111" s="575"/>
      <c r="LO111" s="575"/>
      <c r="LP111" s="575"/>
      <c r="LQ111" s="575"/>
      <c r="LR111" s="575"/>
      <c r="LS111" s="575"/>
      <c r="LT111" s="575"/>
      <c r="LU111" s="575"/>
      <c r="LV111" s="575"/>
      <c r="LW111" s="575"/>
      <c r="LX111" s="575"/>
      <c r="LY111" s="575"/>
      <c r="LZ111" s="575"/>
      <c r="MA111" s="575"/>
      <c r="MB111" s="575"/>
      <c r="MC111" s="575"/>
      <c r="MD111" s="575"/>
      <c r="ME111" s="575"/>
      <c r="MF111" s="575"/>
      <c r="MG111" s="575"/>
      <c r="MH111" s="575"/>
      <c r="MI111" s="575"/>
      <c r="MJ111" s="575"/>
      <c r="MK111" s="575"/>
      <c r="ML111" s="575"/>
      <c r="MM111" s="575"/>
      <c r="MN111" s="575"/>
      <c r="MO111" s="575"/>
      <c r="MP111" s="575"/>
      <c r="MQ111" s="575"/>
      <c r="MR111" s="575"/>
      <c r="MS111" s="575"/>
      <c r="MT111" s="575"/>
      <c r="MU111" s="575"/>
      <c r="MV111" s="575"/>
      <c r="MW111" s="575"/>
      <c r="MX111" s="575"/>
      <c r="MY111" s="575"/>
      <c r="MZ111" s="575"/>
      <c r="NA111" s="575"/>
      <c r="NB111" s="575"/>
      <c r="NC111" s="575"/>
      <c r="ND111" s="575"/>
      <c r="NE111" s="575"/>
      <c r="NF111" s="575"/>
      <c r="NG111" s="575"/>
      <c r="NH111" s="575"/>
      <c r="NI111" s="575"/>
      <c r="NJ111" s="575"/>
      <c r="NK111" s="575"/>
      <c r="NL111" s="575"/>
      <c r="NM111" s="575"/>
      <c r="NN111" s="575"/>
      <c r="NO111" s="575"/>
      <c r="NP111" s="575"/>
      <c r="NQ111" s="575"/>
      <c r="NR111" s="575"/>
      <c r="NS111" s="575"/>
      <c r="NT111" s="575"/>
      <c r="NU111" s="575"/>
      <c r="NV111" s="575"/>
      <c r="NW111" s="575"/>
      <c r="NX111" s="575"/>
      <c r="NY111" s="575"/>
      <c r="NZ111" s="575"/>
      <c r="OA111" s="575"/>
      <c r="OB111" s="575"/>
      <c r="OC111" s="575"/>
      <c r="OD111" s="575"/>
      <c r="OE111" s="575"/>
      <c r="OF111" s="575"/>
      <c r="OG111" s="575"/>
      <c r="OH111" s="575"/>
      <c r="OI111" s="575"/>
      <c r="OJ111" s="575"/>
      <c r="OK111" s="575"/>
      <c r="OL111" s="575"/>
      <c r="OM111" s="575"/>
      <c r="ON111" s="575"/>
      <c r="OO111" s="575"/>
      <c r="OP111" s="575"/>
      <c r="OQ111" s="575"/>
      <c r="OR111" s="575"/>
      <c r="OS111" s="575"/>
      <c r="OT111" s="575"/>
      <c r="OU111" s="575"/>
      <c r="OV111" s="575"/>
      <c r="OW111" s="575"/>
      <c r="OX111" s="575"/>
      <c r="OY111" s="575"/>
      <c r="OZ111" s="575"/>
      <c r="PA111" s="575"/>
      <c r="PB111" s="575"/>
      <c r="PC111" s="575"/>
      <c r="PD111" s="575"/>
      <c r="PE111" s="575"/>
      <c r="PF111" s="575"/>
      <c r="PG111" s="575"/>
      <c r="PH111" s="575"/>
      <c r="PI111" s="575"/>
      <c r="PJ111" s="575"/>
      <c r="PK111" s="575"/>
      <c r="PL111" s="575"/>
      <c r="PM111" s="575"/>
      <c r="PN111" s="575"/>
      <c r="PO111" s="575"/>
      <c r="PP111" s="575"/>
      <c r="PQ111" s="575"/>
      <c r="PR111" s="575"/>
      <c r="PS111" s="575"/>
      <c r="PT111" s="575"/>
      <c r="PU111" s="575"/>
      <c r="PV111" s="575"/>
      <c r="PW111" s="575"/>
      <c r="PX111" s="575"/>
      <c r="PY111" s="575"/>
      <c r="PZ111" s="575"/>
      <c r="QA111" s="575"/>
      <c r="QB111" s="575"/>
      <c r="QC111" s="575"/>
      <c r="QD111" s="575"/>
      <c r="QE111" s="575"/>
      <c r="QF111" s="575"/>
      <c r="QG111" s="575"/>
      <c r="QH111" s="575"/>
      <c r="QI111" s="575"/>
      <c r="QJ111" s="575"/>
      <c r="QK111" s="575"/>
      <c r="QL111" s="575"/>
      <c r="QM111" s="575"/>
      <c r="QN111" s="575"/>
      <c r="QO111" s="575"/>
      <c r="QP111" s="575"/>
      <c r="QQ111" s="575"/>
      <c r="QR111" s="575"/>
      <c r="QS111" s="575"/>
      <c r="QT111" s="575"/>
      <c r="QU111" s="575"/>
      <c r="QV111" s="575"/>
      <c r="QW111" s="575"/>
      <c r="QX111" s="575"/>
      <c r="QY111" s="575"/>
      <c r="QZ111" s="575"/>
      <c r="RA111" s="575"/>
      <c r="RB111" s="575"/>
      <c r="RC111" s="575"/>
      <c r="RD111" s="575"/>
      <c r="RE111" s="575"/>
      <c r="RF111" s="575"/>
      <c r="RG111" s="575"/>
      <c r="RH111" s="575"/>
      <c r="RI111" s="575"/>
      <c r="RJ111" s="575"/>
      <c r="RK111" s="575"/>
      <c r="RL111" s="575"/>
      <c r="RM111" s="575"/>
      <c r="RN111" s="575"/>
      <c r="RO111" s="575"/>
      <c r="RP111" s="575"/>
      <c r="RQ111" s="575"/>
      <c r="RR111" s="575"/>
      <c r="RS111" s="575"/>
      <c r="RT111" s="575"/>
      <c r="RU111" s="575"/>
      <c r="RV111" s="575"/>
      <c r="RW111" s="575"/>
      <c r="RX111" s="575"/>
      <c r="RY111" s="575"/>
      <c r="RZ111" s="575"/>
      <c r="SA111" s="575"/>
      <c r="SB111" s="575"/>
      <c r="SC111" s="575"/>
      <c r="SD111" s="575"/>
      <c r="SE111" s="575"/>
      <c r="SF111" s="575"/>
      <c r="SG111" s="575"/>
      <c r="SH111" s="575"/>
      <c r="SI111" s="575"/>
      <c r="SJ111" s="575"/>
      <c r="SK111" s="575"/>
      <c r="SL111" s="575"/>
      <c r="SM111" s="575"/>
      <c r="SN111" s="575"/>
      <c r="SO111" s="575"/>
      <c r="SP111" s="575"/>
      <c r="SQ111" s="575"/>
      <c r="SR111" s="575"/>
      <c r="SS111" s="575"/>
      <c r="ST111" s="575"/>
      <c r="SU111" s="575"/>
      <c r="SV111" s="575"/>
      <c r="SW111" s="575"/>
      <c r="SX111" s="575"/>
      <c r="SY111" s="575"/>
      <c r="SZ111" s="575"/>
      <c r="TA111" s="575"/>
      <c r="TB111" s="575"/>
      <c r="TC111" s="575"/>
      <c r="TD111" s="575"/>
      <c r="TE111" s="575"/>
      <c r="TF111" s="575"/>
      <c r="TG111" s="575"/>
      <c r="TH111" s="575"/>
      <c r="TI111" s="575"/>
      <c r="TJ111" s="575"/>
      <c r="TK111" s="575"/>
      <c r="TL111" s="575"/>
      <c r="TM111" s="575"/>
      <c r="TN111" s="575"/>
      <c r="TO111" s="575"/>
      <c r="TP111" s="575"/>
      <c r="TQ111" s="575"/>
      <c r="TR111" s="575"/>
      <c r="TS111" s="575"/>
      <c r="TT111" s="575"/>
      <c r="TU111" s="575"/>
      <c r="TV111" s="575"/>
      <c r="TW111" s="575"/>
      <c r="TX111" s="575"/>
      <c r="TY111" s="575"/>
      <c r="TZ111" s="575"/>
      <c r="UA111" s="575"/>
      <c r="UB111" s="575"/>
      <c r="UC111" s="575"/>
      <c r="UD111" s="575"/>
      <c r="UE111" s="575"/>
      <c r="UF111" s="575"/>
      <c r="UG111" s="575"/>
      <c r="UH111" s="575"/>
      <c r="UI111" s="575"/>
      <c r="UJ111" s="575"/>
      <c r="UK111" s="575"/>
      <c r="UL111" s="575"/>
      <c r="UM111" s="575"/>
      <c r="UN111" s="575"/>
      <c r="UO111" s="575"/>
      <c r="UP111" s="575"/>
      <c r="UQ111" s="575"/>
      <c r="UR111" s="575"/>
      <c r="US111" s="575"/>
      <c r="UT111" s="575"/>
      <c r="UU111" s="575"/>
      <c r="UV111" s="575"/>
      <c r="UW111" s="575"/>
      <c r="UX111" s="575"/>
      <c r="UY111" s="575"/>
      <c r="UZ111" s="575"/>
      <c r="VA111" s="575"/>
      <c r="VB111" s="575"/>
      <c r="VC111" s="575"/>
      <c r="VD111" s="575"/>
      <c r="VE111" s="575"/>
      <c r="VF111" s="575"/>
      <c r="VG111" s="575"/>
      <c r="VH111" s="575"/>
      <c r="VI111" s="575"/>
      <c r="VJ111" s="575"/>
      <c r="VK111" s="575"/>
      <c r="VL111" s="575"/>
      <c r="VM111" s="575"/>
      <c r="VN111" s="575"/>
      <c r="VO111" s="575"/>
      <c r="VP111" s="575"/>
      <c r="VQ111" s="575"/>
      <c r="VR111" s="575"/>
      <c r="VS111" s="575"/>
      <c r="VT111" s="575"/>
      <c r="VU111" s="575"/>
      <c r="VV111" s="575"/>
      <c r="VW111" s="575"/>
      <c r="VX111" s="575"/>
      <c r="VY111" s="575"/>
      <c r="VZ111" s="575"/>
      <c r="WA111" s="575"/>
      <c r="WB111" s="575"/>
      <c r="WC111" s="575"/>
      <c r="WD111" s="575"/>
      <c r="WE111" s="575"/>
      <c r="WF111" s="575"/>
      <c r="WG111" s="575"/>
      <c r="WH111" s="575"/>
      <c r="WI111" s="575"/>
      <c r="WJ111" s="575"/>
      <c r="WK111" s="575"/>
      <c r="WL111" s="575"/>
      <c r="WM111" s="575"/>
      <c r="WN111" s="575"/>
      <c r="WO111" s="575"/>
      <c r="WP111" s="575"/>
      <c r="WQ111" s="575"/>
      <c r="WR111" s="575"/>
      <c r="WS111" s="575"/>
      <c r="WT111" s="575"/>
      <c r="WU111" s="575"/>
      <c r="WV111" s="575"/>
      <c r="WW111" s="575"/>
      <c r="WX111" s="575"/>
      <c r="WY111" s="575"/>
      <c r="WZ111" s="575"/>
      <c r="XA111" s="575"/>
      <c r="XB111" s="575"/>
      <c r="XC111" s="575"/>
      <c r="XD111" s="575"/>
      <c r="XE111" s="575"/>
      <c r="XF111" s="575"/>
      <c r="XG111" s="575"/>
      <c r="XH111" s="575"/>
      <c r="XI111" s="575"/>
      <c r="XJ111" s="575"/>
      <c r="XK111" s="575"/>
      <c r="XL111" s="575"/>
      <c r="XM111" s="575"/>
      <c r="XN111" s="575"/>
      <c r="XO111" s="575"/>
      <c r="XP111" s="575"/>
      <c r="XQ111" s="575"/>
      <c r="XR111" s="575"/>
      <c r="XS111" s="575"/>
      <c r="XT111" s="575"/>
      <c r="XU111" s="575"/>
      <c r="XV111" s="575"/>
      <c r="XW111" s="575"/>
      <c r="XX111" s="575"/>
      <c r="XY111" s="575"/>
      <c r="XZ111" s="575"/>
      <c r="YA111" s="575"/>
      <c r="YB111" s="575"/>
      <c r="YC111" s="575"/>
      <c r="YD111" s="575"/>
      <c r="YE111" s="575"/>
      <c r="YF111" s="575"/>
      <c r="YG111" s="575"/>
      <c r="YH111" s="575"/>
      <c r="YI111" s="575"/>
      <c r="YJ111" s="575"/>
      <c r="YK111" s="575"/>
      <c r="YL111" s="575"/>
      <c r="YM111" s="575"/>
      <c r="YN111" s="575"/>
      <c r="YO111" s="575"/>
      <c r="YP111" s="575"/>
      <c r="YQ111" s="575"/>
      <c r="YR111" s="575"/>
      <c r="YS111" s="575"/>
      <c r="YT111" s="575"/>
      <c r="YU111" s="575"/>
      <c r="YV111" s="575"/>
      <c r="YW111" s="575"/>
      <c r="YX111" s="575"/>
      <c r="YY111" s="575"/>
      <c r="YZ111" s="575"/>
      <c r="ZA111" s="575"/>
      <c r="ZB111" s="575"/>
      <c r="ZC111" s="575"/>
      <c r="ZD111" s="575"/>
      <c r="ZE111" s="575"/>
      <c r="ZF111" s="575"/>
      <c r="ZG111" s="575"/>
      <c r="ZH111" s="575"/>
      <c r="ZI111" s="575"/>
      <c r="ZJ111" s="575"/>
      <c r="ZK111" s="575"/>
      <c r="ZL111" s="575"/>
      <c r="ZM111" s="575"/>
      <c r="ZN111" s="575"/>
      <c r="ZO111" s="575"/>
      <c r="ZP111" s="575"/>
      <c r="ZQ111" s="575"/>
      <c r="ZR111" s="575"/>
      <c r="ZS111" s="575"/>
      <c r="ZT111" s="575"/>
      <c r="ZU111" s="575"/>
      <c r="ZV111" s="575"/>
      <c r="ZW111" s="575"/>
      <c r="ZX111" s="575"/>
      <c r="ZY111" s="575"/>
      <c r="ZZ111" s="575"/>
      <c r="AAA111" s="575"/>
      <c r="AAB111" s="575"/>
      <c r="AAC111" s="575"/>
      <c r="AAD111" s="575"/>
      <c r="AAE111" s="575"/>
      <c r="AAF111" s="575"/>
      <c r="AAG111" s="575"/>
      <c r="AAH111" s="575"/>
      <c r="AAI111" s="575"/>
      <c r="AAJ111" s="575"/>
      <c r="AAK111" s="575"/>
      <c r="AAL111" s="575"/>
      <c r="AAM111" s="575"/>
      <c r="AAN111" s="575"/>
      <c r="AAO111" s="575"/>
      <c r="AAP111" s="575"/>
      <c r="AAQ111" s="575"/>
      <c r="AAR111" s="575"/>
      <c r="AAS111" s="575"/>
      <c r="AAT111" s="575"/>
      <c r="AAU111" s="575"/>
      <c r="AAV111" s="575"/>
      <c r="AAW111" s="575"/>
      <c r="AAX111" s="575"/>
      <c r="AAY111" s="575"/>
      <c r="AAZ111" s="575"/>
      <c r="ABA111" s="575"/>
      <c r="ABB111" s="575"/>
      <c r="ABC111" s="575"/>
      <c r="ABD111" s="575"/>
      <c r="ABE111" s="575"/>
      <c r="ABF111" s="575"/>
      <c r="ABG111" s="575"/>
      <c r="ABH111" s="575"/>
      <c r="ABI111" s="575"/>
      <c r="ABJ111" s="575"/>
      <c r="ABK111" s="575"/>
      <c r="ABL111" s="575"/>
      <c r="ABM111" s="575"/>
      <c r="ABN111" s="575"/>
      <c r="ABO111" s="575"/>
      <c r="ABP111" s="575"/>
      <c r="ABQ111" s="575"/>
      <c r="ABR111" s="575"/>
      <c r="ABS111" s="575"/>
      <c r="ABT111" s="575"/>
      <c r="ABU111" s="575"/>
      <c r="ABV111" s="575"/>
      <c r="ABW111" s="575"/>
      <c r="ABX111" s="575"/>
      <c r="ABY111" s="575"/>
      <c r="ABZ111" s="575"/>
      <c r="ACA111" s="575"/>
      <c r="ACB111" s="575"/>
      <c r="ACC111" s="575"/>
      <c r="ACD111" s="575"/>
      <c r="ACE111" s="575"/>
      <c r="ACF111" s="575"/>
      <c r="ACG111" s="575"/>
      <c r="ACH111" s="575"/>
      <c r="ACI111" s="575"/>
      <c r="ACJ111" s="575"/>
      <c r="ACK111" s="575"/>
      <c r="ACL111" s="575"/>
      <c r="ACM111" s="575"/>
      <c r="ACN111" s="575"/>
      <c r="ACO111" s="575"/>
      <c r="ACP111" s="575"/>
      <c r="ACQ111" s="575"/>
      <c r="ACR111" s="575"/>
      <c r="ACS111" s="575"/>
      <c r="ACT111" s="575"/>
      <c r="ACU111" s="575"/>
      <c r="ACV111" s="575"/>
      <c r="ACW111" s="575"/>
      <c r="ACX111" s="575"/>
      <c r="ACY111" s="575"/>
      <c r="ACZ111" s="575"/>
      <c r="ADA111" s="575"/>
      <c r="ADB111" s="575"/>
      <c r="ADC111" s="575"/>
      <c r="ADD111" s="575"/>
      <c r="ADE111" s="575"/>
      <c r="ADF111" s="575"/>
      <c r="ADG111" s="575"/>
      <c r="ADH111" s="575"/>
      <c r="ADI111" s="575"/>
      <c r="ADJ111" s="575"/>
      <c r="ADK111" s="575"/>
      <c r="ADL111" s="575"/>
      <c r="ADM111" s="575"/>
      <c r="ADN111" s="575"/>
      <c r="ADO111" s="575"/>
      <c r="ADP111" s="575"/>
      <c r="ADQ111" s="575"/>
      <c r="ADR111" s="575"/>
      <c r="ADS111" s="575"/>
      <c r="ADT111" s="575"/>
      <c r="ADU111" s="575"/>
      <c r="ADV111" s="575"/>
      <c r="ADW111" s="575"/>
      <c r="ADX111" s="575"/>
      <c r="ADY111" s="575"/>
      <c r="ADZ111" s="575"/>
      <c r="AEA111" s="575"/>
      <c r="AEB111" s="575"/>
      <c r="AEC111" s="575"/>
      <c r="AED111" s="575"/>
      <c r="AEE111" s="575"/>
      <c r="AEF111" s="575"/>
      <c r="AEG111" s="575"/>
      <c r="AEH111" s="575"/>
      <c r="AEI111" s="575"/>
      <c r="AEJ111" s="575"/>
      <c r="AEK111" s="575"/>
      <c r="AEL111" s="575"/>
      <c r="AEM111" s="575"/>
      <c r="AEN111" s="575"/>
      <c r="AEO111" s="575"/>
      <c r="AEP111" s="575"/>
      <c r="AEQ111" s="575"/>
      <c r="AER111" s="575"/>
      <c r="AES111" s="575"/>
      <c r="AET111" s="575"/>
      <c r="AEU111" s="575"/>
      <c r="AEV111" s="575"/>
      <c r="AEW111" s="575"/>
      <c r="AEX111" s="575"/>
      <c r="AEY111" s="575"/>
      <c r="AEZ111" s="575"/>
      <c r="AFA111" s="575"/>
      <c r="AFB111" s="575"/>
      <c r="AFC111" s="575"/>
      <c r="AFD111" s="575"/>
      <c r="AFE111" s="575"/>
      <c r="AFF111" s="575"/>
      <c r="AFG111" s="575"/>
      <c r="AFH111" s="575"/>
      <c r="AFI111" s="575"/>
      <c r="AFJ111" s="575"/>
      <c r="AFK111" s="575"/>
      <c r="AFL111" s="575"/>
      <c r="AFM111" s="575"/>
      <c r="AFN111" s="575"/>
      <c r="AFO111" s="575"/>
      <c r="AFP111" s="575"/>
      <c r="AFQ111" s="575"/>
      <c r="AFR111" s="575"/>
      <c r="AFS111" s="575"/>
      <c r="AFT111" s="575"/>
      <c r="AFU111" s="575"/>
      <c r="AFV111" s="575"/>
      <c r="AFW111" s="575"/>
      <c r="AFX111" s="575"/>
      <c r="AFY111" s="575"/>
      <c r="AFZ111" s="575"/>
      <c r="AGA111" s="575"/>
      <c r="AGB111" s="575"/>
      <c r="AGC111" s="575"/>
      <c r="AGD111" s="575"/>
      <c r="AGE111" s="575"/>
      <c r="AGF111" s="575"/>
      <c r="AGG111" s="575"/>
      <c r="AGH111" s="575"/>
      <c r="AGI111" s="575"/>
      <c r="AGJ111" s="575"/>
      <c r="AGK111" s="575"/>
      <c r="AGL111" s="575"/>
      <c r="AGM111" s="575"/>
      <c r="AGN111" s="575"/>
      <c r="AGO111" s="575"/>
      <c r="AGP111" s="575"/>
      <c r="AGQ111" s="575"/>
      <c r="AGR111" s="575"/>
      <c r="AGS111" s="575"/>
      <c r="AGT111" s="575"/>
      <c r="AGU111" s="575"/>
      <c r="AGV111" s="575"/>
      <c r="AGW111" s="575"/>
      <c r="AGX111" s="575"/>
      <c r="AGY111" s="575"/>
      <c r="AGZ111" s="575"/>
      <c r="AHA111" s="575"/>
      <c r="AHB111" s="575"/>
      <c r="AHC111" s="575"/>
      <c r="AHD111" s="575"/>
      <c r="AHE111" s="575"/>
      <c r="AHF111" s="575"/>
      <c r="AHG111" s="575"/>
      <c r="AHH111" s="575"/>
      <c r="AHI111" s="575"/>
      <c r="AHJ111" s="575"/>
      <c r="AHK111" s="575"/>
      <c r="AHL111" s="575"/>
      <c r="AHM111" s="575"/>
      <c r="AHN111" s="575"/>
      <c r="AHO111" s="575"/>
      <c r="AHP111" s="575"/>
      <c r="AHQ111" s="575"/>
      <c r="AHR111" s="575"/>
      <c r="AHS111" s="575"/>
      <c r="AHT111" s="575"/>
      <c r="AHU111" s="575"/>
      <c r="AHV111" s="575"/>
      <c r="AHW111" s="575"/>
      <c r="AHX111" s="575"/>
      <c r="AHY111" s="575"/>
      <c r="AHZ111" s="575"/>
      <c r="AIA111" s="575"/>
      <c r="AIB111" s="575"/>
      <c r="AIC111" s="575"/>
      <c r="AID111" s="575"/>
      <c r="AIE111" s="575"/>
      <c r="AIF111" s="575"/>
      <c r="AIG111" s="575"/>
      <c r="AIH111" s="575"/>
      <c r="AII111" s="575"/>
      <c r="AIJ111" s="575"/>
      <c r="AIK111" s="575"/>
      <c r="AIL111" s="575"/>
      <c r="AIM111" s="575"/>
      <c r="AIN111" s="575"/>
      <c r="AIO111" s="575"/>
      <c r="AIP111" s="575"/>
      <c r="AIQ111" s="575"/>
      <c r="AIR111" s="575"/>
      <c r="AIS111" s="575"/>
      <c r="AIT111" s="575"/>
      <c r="AIU111" s="575"/>
      <c r="AIV111" s="575"/>
      <c r="AIW111" s="575"/>
      <c r="AIX111" s="575"/>
      <c r="AIY111" s="575"/>
      <c r="AIZ111" s="575"/>
      <c r="AJA111" s="575"/>
      <c r="AJB111" s="575"/>
      <c r="AJC111" s="575"/>
      <c r="AJD111" s="575"/>
      <c r="AJE111" s="575"/>
      <c r="AJF111" s="575"/>
      <c r="AJG111" s="575"/>
      <c r="AJH111" s="575"/>
      <c r="AJI111" s="575"/>
      <c r="AJJ111" s="575"/>
      <c r="AJK111" s="575"/>
      <c r="AJL111" s="575"/>
      <c r="AJM111" s="575"/>
      <c r="AJN111" s="575"/>
      <c r="AJO111" s="575"/>
      <c r="AJP111" s="575"/>
      <c r="AJQ111" s="575"/>
      <c r="AJR111" s="575"/>
      <c r="AJS111" s="575"/>
      <c r="AJT111" s="575"/>
      <c r="AJU111" s="575"/>
      <c r="AJV111" s="575"/>
      <c r="AJW111" s="575"/>
      <c r="AJX111" s="575"/>
      <c r="AJY111" s="575"/>
      <c r="AJZ111" s="575"/>
      <c r="AKA111" s="575"/>
      <c r="AKB111" s="575"/>
      <c r="AKC111" s="575"/>
      <c r="AKD111" s="575"/>
      <c r="AKE111" s="575"/>
      <c r="AKF111" s="575"/>
      <c r="AKG111" s="575"/>
      <c r="AKH111" s="575"/>
      <c r="AKI111" s="575"/>
      <c r="AKJ111" s="575"/>
      <c r="AKK111" s="575"/>
      <c r="AKL111" s="575"/>
      <c r="AKM111" s="575"/>
      <c r="AKN111" s="575"/>
      <c r="AKO111" s="575"/>
      <c r="AKP111" s="575"/>
      <c r="AKQ111" s="575"/>
      <c r="AKR111" s="575"/>
      <c r="AKS111" s="575"/>
      <c r="AKT111" s="575"/>
      <c r="AKU111" s="575"/>
      <c r="AKV111" s="575"/>
      <c r="AKW111" s="575"/>
      <c r="AKX111" s="575"/>
      <c r="AKY111" s="575"/>
      <c r="AKZ111" s="575"/>
      <c r="ALA111" s="575"/>
      <c r="ALB111" s="575"/>
      <c r="ALC111" s="575"/>
      <c r="ALD111" s="575"/>
      <c r="ALE111" s="575"/>
      <c r="ALF111" s="575"/>
      <c r="ALG111" s="575"/>
      <c r="ALH111" s="575"/>
      <c r="ALI111" s="575"/>
      <c r="ALJ111" s="575"/>
      <c r="ALK111" s="575"/>
      <c r="ALL111" s="575"/>
      <c r="ALM111" s="575"/>
      <c r="ALN111" s="575"/>
      <c r="ALO111" s="575"/>
      <c r="ALP111" s="575"/>
      <c r="ALQ111" s="575"/>
      <c r="ALR111" s="575"/>
      <c r="ALS111" s="575"/>
      <c r="ALT111" s="575"/>
      <c r="ALU111" s="575"/>
      <c r="ALV111" s="575"/>
      <c r="ALW111" s="575"/>
      <c r="ALX111" s="575"/>
      <c r="ALY111" s="575"/>
      <c r="ALZ111" s="575"/>
      <c r="AMA111" s="575"/>
      <c r="AMB111" s="575"/>
      <c r="AMC111" s="575"/>
      <c r="AMD111" s="575"/>
      <c r="AME111" s="575"/>
      <c r="AMF111" s="575"/>
      <c r="AMG111" s="575"/>
      <c r="AMH111" s="575"/>
      <c r="AMI111" s="575"/>
      <c r="AMJ111" s="575"/>
      <c r="AMK111" s="575"/>
      <c r="AML111" s="575"/>
      <c r="AMM111" s="575"/>
      <c r="AMN111" s="575"/>
      <c r="AMO111" s="575"/>
      <c r="AMP111" s="575"/>
      <c r="AMQ111" s="575"/>
      <c r="AMR111" s="575"/>
      <c r="AMS111" s="575"/>
      <c r="AMT111" s="575"/>
      <c r="AMU111" s="575"/>
      <c r="AMV111" s="575"/>
      <c r="AMW111" s="575"/>
      <c r="AMX111" s="575"/>
      <c r="AMY111" s="575"/>
      <c r="AMZ111" s="575"/>
      <c r="ANA111" s="575"/>
      <c r="ANB111" s="575"/>
      <c r="ANC111" s="575"/>
      <c r="AND111" s="575"/>
      <c r="ANE111" s="575"/>
      <c r="ANF111" s="575"/>
      <c r="ANG111" s="575"/>
      <c r="ANH111" s="575"/>
      <c r="ANI111" s="575"/>
      <c r="ANJ111" s="575"/>
      <c r="ANK111" s="575"/>
      <c r="ANL111" s="575"/>
      <c r="ANM111" s="575"/>
      <c r="ANN111" s="575"/>
      <c r="ANO111" s="575"/>
      <c r="ANP111" s="575"/>
      <c r="ANQ111" s="575"/>
      <c r="ANR111" s="575"/>
      <c r="ANS111" s="575"/>
      <c r="ANT111" s="575"/>
      <c r="ANU111" s="575"/>
      <c r="ANV111" s="575"/>
      <c r="ANW111" s="575"/>
      <c r="ANX111" s="575"/>
      <c r="ANY111" s="575"/>
      <c r="ANZ111" s="575"/>
      <c r="AOA111" s="575"/>
      <c r="AOB111" s="575"/>
      <c r="AOC111" s="575"/>
      <c r="AOD111" s="575"/>
      <c r="AOE111" s="575"/>
      <c r="AOF111" s="575"/>
      <c r="AOG111" s="575"/>
      <c r="AOH111" s="575"/>
      <c r="AOI111" s="575"/>
      <c r="AOJ111" s="575"/>
      <c r="AOK111" s="575"/>
      <c r="AOL111" s="575"/>
      <c r="AOM111" s="575"/>
      <c r="AON111" s="575"/>
      <c r="AOO111" s="575"/>
      <c r="AOP111" s="575"/>
      <c r="AOQ111" s="575"/>
      <c r="AOR111" s="575"/>
      <c r="AOS111" s="575"/>
      <c r="AOT111" s="575"/>
      <c r="AOU111" s="575"/>
      <c r="AOV111" s="575"/>
      <c r="AOW111" s="575"/>
      <c r="AOX111" s="575"/>
      <c r="AOY111" s="575"/>
      <c r="AOZ111" s="575"/>
      <c r="APA111" s="575"/>
      <c r="APB111" s="575"/>
      <c r="APC111" s="575"/>
      <c r="APD111" s="575"/>
      <c r="APE111" s="575"/>
      <c r="APF111" s="575"/>
      <c r="APG111" s="575"/>
      <c r="APH111" s="575"/>
      <c r="API111" s="575"/>
      <c r="APJ111" s="575"/>
      <c r="APK111" s="575"/>
      <c r="APL111" s="575"/>
      <c r="APM111" s="575"/>
      <c r="APN111" s="575"/>
      <c r="APO111" s="575"/>
      <c r="APP111" s="575"/>
      <c r="APQ111" s="575"/>
      <c r="APR111" s="575"/>
      <c r="APS111" s="575"/>
      <c r="APT111" s="575"/>
      <c r="APU111" s="575"/>
      <c r="APV111" s="575"/>
      <c r="APW111" s="575"/>
      <c r="APX111" s="575"/>
      <c r="APY111" s="575"/>
      <c r="APZ111" s="575"/>
      <c r="AQA111" s="575"/>
      <c r="AQB111" s="575"/>
      <c r="AQC111" s="575"/>
      <c r="AQD111" s="575"/>
      <c r="AQE111" s="575"/>
      <c r="AQF111" s="575"/>
      <c r="AQG111" s="575"/>
      <c r="AQH111" s="575"/>
      <c r="AQI111" s="575"/>
      <c r="AQJ111" s="575"/>
      <c r="AQK111" s="575"/>
      <c r="AQL111" s="575"/>
      <c r="AQM111" s="575"/>
      <c r="AQN111" s="575"/>
      <c r="AQO111" s="575"/>
      <c r="AQP111" s="575"/>
      <c r="AQQ111" s="575"/>
      <c r="AQR111" s="575"/>
      <c r="AQS111" s="575"/>
      <c r="AQT111" s="575"/>
      <c r="AQU111" s="575"/>
      <c r="AQV111" s="575"/>
      <c r="AQW111" s="575"/>
      <c r="AQX111" s="575"/>
      <c r="AQY111" s="575"/>
      <c r="AQZ111" s="575"/>
      <c r="ARA111" s="575"/>
      <c r="ARB111" s="575"/>
      <c r="ARC111" s="575"/>
      <c r="ARD111" s="575"/>
      <c r="ARE111" s="575"/>
      <c r="ARF111" s="575"/>
      <c r="ARG111" s="575"/>
      <c r="ARH111" s="575"/>
      <c r="ARI111" s="575"/>
      <c r="ARJ111" s="575"/>
      <c r="ARK111" s="575"/>
      <c r="ARL111" s="575"/>
      <c r="ARM111" s="575"/>
      <c r="ARN111" s="575"/>
      <c r="ARO111" s="575"/>
      <c r="ARP111" s="575"/>
      <c r="ARQ111" s="575"/>
      <c r="ARR111" s="575"/>
      <c r="ARS111" s="575"/>
      <c r="ART111" s="575"/>
      <c r="ARU111" s="575"/>
      <c r="ARV111" s="575"/>
      <c r="ARW111" s="575"/>
      <c r="ARX111" s="575"/>
      <c r="ARY111" s="575"/>
      <c r="ARZ111" s="575"/>
      <c r="ASA111" s="575"/>
      <c r="ASB111" s="575"/>
      <c r="ASC111" s="575"/>
      <c r="ASD111" s="575"/>
      <c r="ASE111" s="575"/>
      <c r="ASF111" s="575"/>
      <c r="ASG111" s="575"/>
      <c r="ASH111" s="575"/>
      <c r="ASI111" s="575"/>
      <c r="ASJ111" s="575"/>
      <c r="ASK111" s="575"/>
      <c r="ASL111" s="575"/>
      <c r="ASM111" s="575"/>
      <c r="ASN111" s="575"/>
      <c r="ASO111" s="575"/>
      <c r="ASP111" s="575"/>
      <c r="ASQ111" s="575"/>
      <c r="ASR111" s="575"/>
      <c r="ASS111" s="575"/>
      <c r="AST111" s="575"/>
      <c r="ASU111" s="575"/>
      <c r="ASV111" s="575"/>
      <c r="ASW111" s="575"/>
      <c r="ASX111" s="575"/>
      <c r="ASY111" s="575"/>
      <c r="ASZ111" s="575"/>
      <c r="ATA111" s="575"/>
      <c r="ATB111" s="575"/>
      <c r="ATC111" s="575"/>
      <c r="ATD111" s="575"/>
      <c r="ATE111" s="575"/>
      <c r="ATF111" s="575"/>
      <c r="ATG111" s="575"/>
      <c r="ATH111" s="575"/>
      <c r="ATI111" s="575"/>
      <c r="ATJ111" s="575"/>
      <c r="ATK111" s="575"/>
      <c r="ATL111" s="575"/>
      <c r="ATM111" s="575"/>
      <c r="ATN111" s="575"/>
      <c r="ATO111" s="575"/>
      <c r="ATP111" s="575"/>
      <c r="ATQ111" s="575"/>
      <c r="ATR111" s="575"/>
      <c r="ATS111" s="575"/>
      <c r="ATT111" s="575"/>
      <c r="ATU111" s="575"/>
      <c r="ATV111" s="575"/>
      <c r="ATW111" s="575"/>
      <c r="ATX111" s="575"/>
      <c r="ATY111" s="575"/>
      <c r="ATZ111" s="575"/>
      <c r="AUA111" s="575"/>
      <c r="AUB111" s="575"/>
      <c r="AUC111" s="575"/>
      <c r="AUD111" s="575"/>
      <c r="AUE111" s="575"/>
      <c r="AUF111" s="575"/>
      <c r="AUG111" s="575"/>
      <c r="AUH111" s="575"/>
      <c r="AUI111" s="575"/>
      <c r="AUJ111" s="575"/>
      <c r="AUK111" s="575"/>
      <c r="AUL111" s="575"/>
      <c r="AUM111" s="575"/>
      <c r="AUN111" s="575"/>
      <c r="AUO111" s="575"/>
      <c r="AUP111" s="575"/>
      <c r="AUQ111" s="575"/>
      <c r="AUR111" s="575"/>
      <c r="AUS111" s="575"/>
      <c r="AUT111" s="575"/>
      <c r="AUU111" s="575"/>
      <c r="AUV111" s="575"/>
      <c r="AUW111" s="575"/>
      <c r="AUX111" s="575"/>
      <c r="AUY111" s="575"/>
      <c r="AUZ111" s="575"/>
      <c r="AVA111" s="575"/>
      <c r="AVB111" s="575"/>
      <c r="AVC111" s="575"/>
      <c r="AVD111" s="575"/>
      <c r="AVE111" s="575"/>
      <c r="AVF111" s="575"/>
      <c r="AVG111" s="575"/>
      <c r="AVH111" s="575"/>
      <c r="AVI111" s="575"/>
      <c r="AVJ111" s="575"/>
      <c r="AVK111" s="575"/>
      <c r="AVL111" s="575"/>
      <c r="AVM111" s="575"/>
      <c r="AVN111" s="575"/>
      <c r="AVO111" s="575"/>
      <c r="AVP111" s="575"/>
      <c r="AVQ111" s="575"/>
      <c r="AVR111" s="575"/>
      <c r="AVS111" s="575"/>
      <c r="AVT111" s="575"/>
      <c r="AVU111" s="575"/>
      <c r="AVV111" s="575"/>
      <c r="AVW111" s="575"/>
      <c r="AVX111" s="575"/>
      <c r="AVY111" s="575"/>
      <c r="AVZ111" s="575"/>
      <c r="AWA111" s="575"/>
      <c r="AWB111" s="575"/>
      <c r="AWC111" s="575"/>
      <c r="AWD111" s="575"/>
      <c r="AWE111" s="575"/>
      <c r="AWF111" s="575"/>
      <c r="AWG111" s="575"/>
      <c r="AWH111" s="575"/>
      <c r="AWI111" s="575"/>
      <c r="AWJ111" s="575"/>
      <c r="AWK111" s="575"/>
      <c r="AWL111" s="575"/>
      <c r="AWM111" s="575"/>
      <c r="AWN111" s="575"/>
      <c r="AWO111" s="575"/>
      <c r="AWP111" s="575"/>
      <c r="AWQ111" s="575"/>
      <c r="AWR111" s="575"/>
      <c r="AWS111" s="575"/>
      <c r="AWT111" s="575"/>
      <c r="AWU111" s="575"/>
      <c r="AWV111" s="575"/>
      <c r="AWW111" s="575"/>
      <c r="AWX111" s="575"/>
      <c r="AWY111" s="575"/>
      <c r="AWZ111" s="575"/>
      <c r="AXA111" s="575"/>
      <c r="AXB111" s="575"/>
      <c r="AXC111" s="575"/>
      <c r="AXD111" s="575"/>
      <c r="AXE111" s="575"/>
      <c r="AXF111" s="575"/>
      <c r="AXG111" s="575"/>
      <c r="AXH111" s="575"/>
      <c r="AXI111" s="575"/>
      <c r="AXJ111" s="575"/>
      <c r="AXK111" s="575"/>
      <c r="AXL111" s="575"/>
      <c r="AXM111" s="575"/>
      <c r="AXN111" s="575"/>
      <c r="AXO111" s="575"/>
      <c r="AXP111" s="575"/>
      <c r="AXQ111" s="575"/>
      <c r="AXR111" s="575"/>
      <c r="AXS111" s="575"/>
      <c r="AXT111" s="575"/>
      <c r="AXU111" s="575"/>
      <c r="AXV111" s="575"/>
      <c r="AXW111" s="575"/>
      <c r="AXX111" s="575"/>
      <c r="AXY111" s="575"/>
      <c r="AXZ111" s="575"/>
      <c r="AYA111" s="575"/>
      <c r="AYB111" s="575"/>
      <c r="AYC111" s="575"/>
      <c r="AYD111" s="575"/>
      <c r="AYE111" s="575"/>
      <c r="AYF111" s="575"/>
      <c r="AYG111" s="575"/>
      <c r="AYH111" s="575"/>
      <c r="AYI111" s="575"/>
      <c r="AYJ111" s="575"/>
      <c r="AYK111" s="575"/>
      <c r="AYL111" s="575"/>
      <c r="AYM111" s="575"/>
      <c r="AYN111" s="575"/>
      <c r="AYO111" s="575"/>
      <c r="AYP111" s="575"/>
      <c r="AYQ111" s="575"/>
      <c r="AYR111" s="575"/>
      <c r="AYS111" s="575"/>
      <c r="AYT111" s="575"/>
      <c r="AYU111" s="575"/>
      <c r="AYV111" s="575"/>
      <c r="AYW111" s="575"/>
      <c r="AYX111" s="575"/>
      <c r="AYY111" s="575"/>
      <c r="AYZ111" s="575"/>
      <c r="AZA111" s="575"/>
      <c r="AZB111" s="575"/>
      <c r="AZC111" s="575"/>
      <c r="AZD111" s="575"/>
      <c r="AZE111" s="575"/>
      <c r="AZF111" s="575"/>
      <c r="AZG111" s="575"/>
      <c r="AZH111" s="575"/>
      <c r="AZI111" s="575"/>
      <c r="AZJ111" s="575"/>
      <c r="AZK111" s="575"/>
      <c r="AZL111" s="575"/>
      <c r="AZM111" s="575"/>
      <c r="AZN111" s="575"/>
      <c r="AZO111" s="575"/>
      <c r="AZP111" s="575"/>
      <c r="AZQ111" s="575"/>
      <c r="AZR111" s="575"/>
      <c r="AZS111" s="575"/>
      <c r="AZT111" s="575"/>
      <c r="AZU111" s="575"/>
      <c r="AZV111" s="575"/>
      <c r="AZW111" s="575"/>
      <c r="AZX111" s="575"/>
      <c r="AZY111" s="575"/>
      <c r="AZZ111" s="575"/>
      <c r="BAA111" s="575"/>
      <c r="BAB111" s="575"/>
      <c r="BAC111" s="575"/>
      <c r="BAD111" s="575"/>
      <c r="BAE111" s="575"/>
      <c r="BAF111" s="575"/>
      <c r="BAG111" s="575"/>
      <c r="BAH111" s="575"/>
      <c r="BAI111" s="575"/>
      <c r="BAJ111" s="575"/>
      <c r="BAK111" s="575"/>
      <c r="BAL111" s="575"/>
      <c r="BAM111" s="575"/>
      <c r="BAN111" s="575"/>
      <c r="BAO111" s="575"/>
      <c r="BAP111" s="575"/>
      <c r="BAQ111" s="575"/>
      <c r="BAR111" s="575"/>
      <c r="BAS111" s="575"/>
      <c r="BAT111" s="575"/>
      <c r="BAU111" s="575"/>
      <c r="BAV111" s="575"/>
      <c r="BAW111" s="575"/>
      <c r="BAX111" s="575"/>
      <c r="BAY111" s="575"/>
      <c r="BAZ111" s="575"/>
      <c r="BBA111" s="575"/>
      <c r="BBB111" s="575"/>
      <c r="BBC111" s="575"/>
      <c r="BBD111" s="575"/>
      <c r="BBE111" s="575"/>
      <c r="BBF111" s="575"/>
      <c r="BBG111" s="575"/>
      <c r="BBH111" s="575"/>
      <c r="BBI111" s="575"/>
      <c r="BBJ111" s="575"/>
      <c r="BBK111" s="575"/>
      <c r="BBL111" s="575"/>
      <c r="BBM111" s="575"/>
      <c r="BBN111" s="575"/>
      <c r="BBO111" s="575"/>
      <c r="BBP111" s="575"/>
      <c r="BBQ111" s="575"/>
      <c r="BBR111" s="575"/>
      <c r="BBS111" s="575"/>
      <c r="BBT111" s="575"/>
      <c r="BBU111" s="575"/>
      <c r="BBV111" s="575"/>
      <c r="BBW111" s="575"/>
      <c r="BBX111" s="575"/>
      <c r="BBY111" s="575"/>
      <c r="BBZ111" s="575"/>
      <c r="BCA111" s="575"/>
      <c r="BCB111" s="575"/>
      <c r="BCC111" s="575"/>
      <c r="BCD111" s="575"/>
      <c r="BCE111" s="575"/>
      <c r="BCF111" s="575"/>
      <c r="BCG111" s="575"/>
      <c r="BCH111" s="575"/>
      <c r="BCI111" s="575"/>
      <c r="BCJ111" s="575"/>
      <c r="BCK111" s="575"/>
      <c r="BCL111" s="575"/>
      <c r="BCM111" s="575"/>
      <c r="BCN111" s="575"/>
      <c r="BCO111" s="575"/>
      <c r="BCP111" s="575"/>
      <c r="BCQ111" s="575"/>
      <c r="BCR111" s="575"/>
      <c r="BCS111" s="575"/>
      <c r="BCT111" s="575"/>
      <c r="BCU111" s="575"/>
      <c r="BCV111" s="575"/>
      <c r="BCW111" s="575"/>
      <c r="BCX111" s="575"/>
      <c r="BCY111" s="575"/>
      <c r="BCZ111" s="575"/>
      <c r="BDA111" s="575"/>
      <c r="BDB111" s="575"/>
      <c r="BDC111" s="575"/>
      <c r="BDD111" s="575"/>
      <c r="BDE111" s="575"/>
      <c r="BDF111" s="575"/>
      <c r="BDG111" s="575"/>
      <c r="BDH111" s="575"/>
      <c r="BDI111" s="575"/>
      <c r="BDJ111" s="575"/>
      <c r="BDK111" s="575"/>
      <c r="BDL111" s="575"/>
      <c r="BDM111" s="575"/>
      <c r="BDN111" s="575"/>
      <c r="BDO111" s="575"/>
      <c r="BDP111" s="575"/>
      <c r="BDQ111" s="575"/>
      <c r="BDR111" s="575"/>
      <c r="BDS111" s="575"/>
      <c r="BDT111" s="575"/>
    </row>
    <row r="112" spans="1:1476" x14ac:dyDescent="0.25">
      <c r="A112" s="608">
        <v>5587</v>
      </c>
      <c r="B112" s="609" t="s">
        <v>109</v>
      </c>
      <c r="C112" s="610">
        <v>24803526.59</v>
      </c>
      <c r="D112" s="610">
        <v>4401213.04</v>
      </c>
      <c r="E112" s="610"/>
      <c r="F112" s="611"/>
      <c r="G112" s="610">
        <v>1933536.05</v>
      </c>
      <c r="H112" s="610">
        <v>369703.9</v>
      </c>
      <c r="I112" s="610">
        <v>275234.95</v>
      </c>
      <c r="J112" s="610">
        <v>534999.24</v>
      </c>
      <c r="K112" s="610">
        <v>366915.15</v>
      </c>
      <c r="L112" s="610">
        <v>3392273.85</v>
      </c>
      <c r="M112" s="434">
        <f t="shared" si="4"/>
        <v>36077402.769999996</v>
      </c>
      <c r="N112" s="612">
        <v>464624.55</v>
      </c>
      <c r="O112" s="612">
        <v>1921762.6</v>
      </c>
      <c r="P112" s="612">
        <v>1446366.7</v>
      </c>
      <c r="Q112" s="612">
        <v>62316.08</v>
      </c>
      <c r="R112" s="612">
        <v>1048974.6499999999</v>
      </c>
      <c r="S112" s="610">
        <v>240700.4</v>
      </c>
      <c r="T112" s="543">
        <f t="shared" si="5"/>
        <v>41262147.749999993</v>
      </c>
      <c r="U112" s="575">
        <v>-210338.26</v>
      </c>
      <c r="V112" s="612"/>
      <c r="W112" s="612">
        <v>-27002.71</v>
      </c>
      <c r="X112" s="624">
        <v>73.5</v>
      </c>
      <c r="Y112" s="631">
        <v>1.2</v>
      </c>
      <c r="Z112" s="628">
        <f>VLOOKUP(A112,'[2]2022 toutes communes'!$B$9:$D$317,3,FALSE)</f>
        <v>9297</v>
      </c>
      <c r="AA112" s="617"/>
      <c r="AB112" s="618">
        <v>571918</v>
      </c>
      <c r="AC112" s="547">
        <f>AB112/VPI!R112</f>
        <v>1.1815258946238938</v>
      </c>
      <c r="AD112" s="548">
        <f t="shared" si="6"/>
        <v>2673876</v>
      </c>
      <c r="AE112" s="547">
        <f>AD112/VPI!R112</f>
        <v>5.5239627586705762</v>
      </c>
      <c r="AF112" s="618">
        <v>3245794</v>
      </c>
      <c r="AG112" s="618">
        <v>3018024</v>
      </c>
      <c r="AH112" s="618">
        <v>803039</v>
      </c>
      <c r="AI112" s="627"/>
      <c r="AJ112" s="628">
        <v>0</v>
      </c>
      <c r="AK112" s="547">
        <f>AJ112/VPI!R112</f>
        <v>0</v>
      </c>
      <c r="AL112" s="548">
        <f t="shared" si="7"/>
        <v>103681</v>
      </c>
      <c r="AM112" s="547">
        <f>AL112/VPI!R112</f>
        <v>0.21419466825751232</v>
      </c>
      <c r="AN112" s="628">
        <v>103681</v>
      </c>
      <c r="AO112" s="627"/>
      <c r="AP112" s="629">
        <v>23.418616403211388</v>
      </c>
      <c r="AR112" s="630">
        <v>0</v>
      </c>
    </row>
    <row r="113" spans="1:44" x14ac:dyDescent="0.25">
      <c r="A113" s="608">
        <v>5588</v>
      </c>
      <c r="B113" s="609" t="s">
        <v>110</v>
      </c>
      <c r="C113" s="610">
        <v>4677921.8</v>
      </c>
      <c r="D113" s="610">
        <v>1864738.63</v>
      </c>
      <c r="E113" s="610"/>
      <c r="F113" s="611"/>
      <c r="G113" s="610">
        <v>481760.7</v>
      </c>
      <c r="H113" s="610">
        <v>398789.95</v>
      </c>
      <c r="I113" s="610">
        <v>697545.62</v>
      </c>
      <c r="J113" s="610">
        <v>382480.49</v>
      </c>
      <c r="K113" s="610">
        <v>46010.95</v>
      </c>
      <c r="L113" s="610">
        <v>395498.3</v>
      </c>
      <c r="M113" s="434">
        <f t="shared" si="4"/>
        <v>8944746.4399999995</v>
      </c>
      <c r="N113" s="612">
        <v>15604.6</v>
      </c>
      <c r="O113" s="612">
        <v>185956.6</v>
      </c>
      <c r="P113" s="612">
        <v>329477.5</v>
      </c>
      <c r="Q113" s="612">
        <v>7826.85</v>
      </c>
      <c r="R113" s="612">
        <v>63196.25</v>
      </c>
      <c r="S113" s="610">
        <v>92022.06</v>
      </c>
      <c r="T113" s="543">
        <f t="shared" si="5"/>
        <v>9638830.2999999989</v>
      </c>
      <c r="U113" s="575">
        <v>-9392.98</v>
      </c>
      <c r="V113" s="612"/>
      <c r="W113" s="612">
        <v>-57193.65</v>
      </c>
      <c r="X113" s="624">
        <v>66.5</v>
      </c>
      <c r="Y113" s="631">
        <v>0.7</v>
      </c>
      <c r="Z113" s="628">
        <f>VLOOKUP(A113,'[2]2022 toutes communes'!$B$9:$D$317,3,FALSE)</f>
        <v>1550</v>
      </c>
      <c r="AA113" s="617"/>
      <c r="AB113" s="618">
        <v>82840</v>
      </c>
      <c r="AC113" s="547">
        <f>AB113/VPI!R113</f>
        <v>0.60222521862368772</v>
      </c>
      <c r="AD113" s="548">
        <f t="shared" si="6"/>
        <v>154672</v>
      </c>
      <c r="AE113" s="547">
        <f>AD113/VPI!R113</f>
        <v>1.1244251450381824</v>
      </c>
      <c r="AF113" s="618">
        <v>237512</v>
      </c>
      <c r="AG113" s="618">
        <v>690788</v>
      </c>
      <c r="AH113" s="618">
        <v>44059</v>
      </c>
      <c r="AI113" s="627"/>
      <c r="AJ113" s="628">
        <v>0</v>
      </c>
      <c r="AK113" s="547">
        <f>AJ113/VPI!R113</f>
        <v>0</v>
      </c>
      <c r="AL113" s="548">
        <f t="shared" si="7"/>
        <v>0</v>
      </c>
      <c r="AM113" s="547">
        <f>AL113/VPI!R113</f>
        <v>0</v>
      </c>
      <c r="AN113" s="628">
        <v>0</v>
      </c>
      <c r="AO113" s="627"/>
      <c r="AP113" s="629">
        <v>47.201896533994592</v>
      </c>
      <c r="AR113" s="630">
        <v>1</v>
      </c>
    </row>
    <row r="114" spans="1:44" x14ac:dyDescent="0.25">
      <c r="A114" s="608">
        <v>5589</v>
      </c>
      <c r="B114" s="609" t="s">
        <v>111</v>
      </c>
      <c r="C114" s="610">
        <v>18610572.949999999</v>
      </c>
      <c r="D114" s="610">
        <v>2397743.61</v>
      </c>
      <c r="E114" s="610"/>
      <c r="F114" s="611"/>
      <c r="G114" s="610">
        <v>3544894.95</v>
      </c>
      <c r="H114" s="610">
        <v>243223.65</v>
      </c>
      <c r="I114" s="610">
        <v>84190.25</v>
      </c>
      <c r="J114" s="610">
        <v>1456662.44</v>
      </c>
      <c r="K114" s="610">
        <v>425656</v>
      </c>
      <c r="L114" s="610">
        <v>3114195.45</v>
      </c>
      <c r="M114" s="434">
        <f t="shared" si="4"/>
        <v>29877139.299999997</v>
      </c>
      <c r="N114" s="612">
        <v>1184545.2</v>
      </c>
      <c r="O114" s="612">
        <v>138578.29999999999</v>
      </c>
      <c r="P114" s="612">
        <v>1260897.8999999999</v>
      </c>
      <c r="Q114" s="612">
        <v>141535.81</v>
      </c>
      <c r="R114" s="612">
        <v>1378761.05</v>
      </c>
      <c r="S114" s="610">
        <v>395877.84</v>
      </c>
      <c r="T114" s="543">
        <f t="shared" si="5"/>
        <v>34377335.399999999</v>
      </c>
      <c r="U114" s="575">
        <v>-383235.47</v>
      </c>
      <c r="V114" s="612"/>
      <c r="W114" s="612">
        <v>-6772.24</v>
      </c>
      <c r="X114" s="624">
        <v>72.5</v>
      </c>
      <c r="Y114" s="631">
        <v>1.3</v>
      </c>
      <c r="Z114" s="628">
        <f>VLOOKUP(A114,'[2]2022 toutes communes'!$B$9:$D$317,3,FALSE)</f>
        <v>12318</v>
      </c>
      <c r="AA114" s="617"/>
      <c r="AB114" s="618">
        <v>1041006</v>
      </c>
      <c r="AC114" s="547">
        <f>AB114/VPI!R114</f>
        <v>2.5753508430090282</v>
      </c>
      <c r="AD114" s="548">
        <f t="shared" si="6"/>
        <v>1904078</v>
      </c>
      <c r="AE114" s="547">
        <f>AD114/VPI!R114</f>
        <v>4.7105097208420936</v>
      </c>
      <c r="AF114" s="618">
        <v>2945084</v>
      </c>
      <c r="AG114" s="618">
        <v>4661924</v>
      </c>
      <c r="AH114" s="618">
        <v>160170</v>
      </c>
      <c r="AI114" s="627"/>
      <c r="AJ114" s="628">
        <v>0</v>
      </c>
      <c r="AK114" s="547">
        <f>AJ114/VPI!R114</f>
        <v>0</v>
      </c>
      <c r="AL114" s="548">
        <f t="shared" si="7"/>
        <v>22903</v>
      </c>
      <c r="AM114" s="547">
        <f>AL114/VPI!R114</f>
        <v>5.6659865896484529E-2</v>
      </c>
      <c r="AN114" s="628">
        <v>22903</v>
      </c>
      <c r="AO114" s="627"/>
      <c r="AP114" s="629">
        <v>5.0367081815805124</v>
      </c>
      <c r="AR114" s="630">
        <v>1</v>
      </c>
    </row>
    <row r="115" spans="1:44" x14ac:dyDescent="0.25">
      <c r="A115" s="608">
        <v>5590</v>
      </c>
      <c r="B115" s="609" t="s">
        <v>112</v>
      </c>
      <c r="C115" s="610">
        <v>56321039.859999999</v>
      </c>
      <c r="D115" s="610">
        <v>16110074.220000001</v>
      </c>
      <c r="E115" s="610"/>
      <c r="F115" s="611"/>
      <c r="G115" s="610">
        <v>2114100.25</v>
      </c>
      <c r="H115" s="610">
        <v>2227289.85</v>
      </c>
      <c r="I115" s="610">
        <v>2335527.14</v>
      </c>
      <c r="J115" s="610">
        <v>1272358.1399999999</v>
      </c>
      <c r="K115" s="610">
        <v>412106.55</v>
      </c>
      <c r="L115" s="610">
        <v>3824738.75</v>
      </c>
      <c r="M115" s="434">
        <f t="shared" si="4"/>
        <v>84617234.75999999</v>
      </c>
      <c r="N115" s="612">
        <v>201845.05</v>
      </c>
      <c r="O115" s="612">
        <v>2030374.65</v>
      </c>
      <c r="P115" s="612">
        <v>3236255.25</v>
      </c>
      <c r="Q115" s="612">
        <v>203865.32</v>
      </c>
      <c r="R115" s="612">
        <v>3502627.2</v>
      </c>
      <c r="S115" s="610">
        <v>453697.55</v>
      </c>
      <c r="T115" s="543">
        <f t="shared" si="5"/>
        <v>94245899.779999986</v>
      </c>
      <c r="U115" s="575">
        <v>-498047.88</v>
      </c>
      <c r="V115" s="612"/>
      <c r="W115" s="612">
        <v>-1231121.6399999999</v>
      </c>
      <c r="X115" s="624">
        <v>61</v>
      </c>
      <c r="Y115" s="631">
        <v>0.7</v>
      </c>
      <c r="Z115" s="628">
        <f>VLOOKUP(A115,'[2]2022 toutes communes'!$B$9:$D$317,3,FALSE)</f>
        <v>19005</v>
      </c>
      <c r="AA115" s="617"/>
      <c r="AB115" s="618">
        <v>2183102</v>
      </c>
      <c r="AC115" s="547">
        <f>AB115/VPI!R115</f>
        <v>1.5632979016475463</v>
      </c>
      <c r="AD115" s="548">
        <f t="shared" si="6"/>
        <v>3878759</v>
      </c>
      <c r="AE115" s="547">
        <f>AD115/VPI!R115</f>
        <v>2.7775412260611438</v>
      </c>
      <c r="AF115" s="618">
        <v>6061861</v>
      </c>
      <c r="AG115" s="618">
        <v>10706031</v>
      </c>
      <c r="AH115" s="618">
        <v>357718</v>
      </c>
      <c r="AI115" s="627"/>
      <c r="AJ115" s="628">
        <v>25326</v>
      </c>
      <c r="AK115" s="547">
        <f>AJ115/VPI!R115</f>
        <v>1.813569986978426E-2</v>
      </c>
      <c r="AL115" s="548">
        <f t="shared" si="7"/>
        <v>469057</v>
      </c>
      <c r="AM115" s="547">
        <f>AL115/VPI!R115</f>
        <v>0.33588711102508867</v>
      </c>
      <c r="AN115" s="628">
        <v>494383</v>
      </c>
      <c r="AO115" s="627"/>
      <c r="AP115" s="629">
        <v>30.189560998117585</v>
      </c>
      <c r="AR115" s="630">
        <v>1</v>
      </c>
    </row>
    <row r="116" spans="1:44" x14ac:dyDescent="0.25">
      <c r="A116" s="608">
        <v>5591</v>
      </c>
      <c r="B116" s="609" t="s">
        <v>324</v>
      </c>
      <c r="C116" s="610">
        <v>28815931.27</v>
      </c>
      <c r="D116" s="610">
        <v>3193094.07</v>
      </c>
      <c r="E116" s="610"/>
      <c r="F116" s="611"/>
      <c r="G116" s="610">
        <v>5524248.5999999996</v>
      </c>
      <c r="H116" s="610">
        <v>586544.6</v>
      </c>
      <c r="I116" s="610"/>
      <c r="J116" s="610">
        <v>3001968.75</v>
      </c>
      <c r="K116" s="610">
        <v>907219.95</v>
      </c>
      <c r="L116" s="610">
        <v>5608288.5499999998</v>
      </c>
      <c r="M116" s="434">
        <f t="shared" si="4"/>
        <v>47637295.789999999</v>
      </c>
      <c r="N116" s="612">
        <v>2707366.5</v>
      </c>
      <c r="O116" s="612">
        <v>438463.5</v>
      </c>
      <c r="P116" s="612">
        <v>1546278.25</v>
      </c>
      <c r="Q116" s="612">
        <v>341109.08</v>
      </c>
      <c r="R116" s="612">
        <v>2287015</v>
      </c>
      <c r="S116" s="610">
        <v>638609.26</v>
      </c>
      <c r="T116" s="543">
        <f t="shared" si="5"/>
        <v>55596137.379999995</v>
      </c>
      <c r="U116" s="575">
        <v>-1349093.16</v>
      </c>
      <c r="V116" s="612"/>
      <c r="W116" s="612">
        <v>-11657.28</v>
      </c>
      <c r="X116" s="624">
        <v>77</v>
      </c>
      <c r="Y116" s="631">
        <v>1.4</v>
      </c>
      <c r="Z116" s="628">
        <f>VLOOKUP(A116,'[2]2022 toutes communes'!$B$9:$D$317,3,FALSE)</f>
        <v>21116</v>
      </c>
      <c r="AA116" s="617"/>
      <c r="AB116" s="618">
        <v>889369</v>
      </c>
      <c r="AC116" s="547">
        <f>AB116/VPI!R116</f>
        <v>1.5000124786879112</v>
      </c>
      <c r="AD116" s="548">
        <f t="shared" si="6"/>
        <v>3128663</v>
      </c>
      <c r="AE116" s="547">
        <f>AD116/VPI!R116</f>
        <v>5.2768125959069359</v>
      </c>
      <c r="AF116" s="618">
        <v>4018032</v>
      </c>
      <c r="AG116" s="618">
        <v>10519575</v>
      </c>
      <c r="AH116" s="618">
        <v>174692</v>
      </c>
      <c r="AI116" s="627"/>
      <c r="AJ116" s="628">
        <v>0</v>
      </c>
      <c r="AK116" s="547">
        <f>AJ116/VPI!R116</f>
        <v>0</v>
      </c>
      <c r="AL116" s="548">
        <f t="shared" si="7"/>
        <v>24173</v>
      </c>
      <c r="AM116" s="547">
        <f>AL116/VPI!R116</f>
        <v>4.0770255818814098E-2</v>
      </c>
      <c r="AN116" s="628">
        <v>24173</v>
      </c>
      <c r="AO116" s="627"/>
      <c r="AP116" s="629">
        <v>-15.53639944944795</v>
      </c>
      <c r="AR116" s="630">
        <v>1</v>
      </c>
    </row>
    <row r="117" spans="1:44" x14ac:dyDescent="0.25">
      <c r="A117" s="608">
        <v>5592</v>
      </c>
      <c r="B117" s="609" t="s">
        <v>191</v>
      </c>
      <c r="C117" s="610">
        <v>5693829.3300000001</v>
      </c>
      <c r="D117" s="610">
        <v>847195.76</v>
      </c>
      <c r="E117" s="610"/>
      <c r="F117" s="611"/>
      <c r="G117" s="610">
        <v>242337.5</v>
      </c>
      <c r="H117" s="610">
        <v>101659.55</v>
      </c>
      <c r="I117" s="610">
        <v>-45356.85</v>
      </c>
      <c r="J117" s="610">
        <v>225493.06</v>
      </c>
      <c r="K117" s="610">
        <v>161525.35</v>
      </c>
      <c r="L117" s="610">
        <v>1020259.05</v>
      </c>
      <c r="M117" s="434">
        <f t="shared" si="4"/>
        <v>8246942.7499999991</v>
      </c>
      <c r="N117" s="612">
        <v>267061.65000000002</v>
      </c>
      <c r="O117" s="612">
        <v>3062.1</v>
      </c>
      <c r="P117" s="612">
        <v>788636.25</v>
      </c>
      <c r="Q117" s="612">
        <v>32450.22</v>
      </c>
      <c r="R117" s="612">
        <v>616070.15</v>
      </c>
      <c r="S117" s="610">
        <v>35949.46</v>
      </c>
      <c r="T117" s="543">
        <f t="shared" si="5"/>
        <v>9990172.5800000001</v>
      </c>
      <c r="U117" s="575">
        <v>-96637.86</v>
      </c>
      <c r="V117" s="612"/>
      <c r="W117" s="612">
        <v>-5525.39</v>
      </c>
      <c r="X117" s="624">
        <v>70.5</v>
      </c>
      <c r="Y117" s="631">
        <v>1.25</v>
      </c>
      <c r="Z117" s="628">
        <f>VLOOKUP(A117,'[2]2022 toutes communes'!$B$9:$D$317,3,FALSE)</f>
        <v>3798</v>
      </c>
      <c r="AA117" s="617"/>
      <c r="AB117" s="618">
        <v>158009</v>
      </c>
      <c r="AC117" s="547">
        <f>AB117/VPI!R117</f>
        <v>1.3908674422791707</v>
      </c>
      <c r="AD117" s="548">
        <f t="shared" si="6"/>
        <v>820771</v>
      </c>
      <c r="AE117" s="547">
        <f>AD117/VPI!R117</f>
        <v>7.2248015079325683</v>
      </c>
      <c r="AF117" s="618">
        <v>978780</v>
      </c>
      <c r="AG117" s="618">
        <v>337389</v>
      </c>
      <c r="AH117" s="618">
        <v>29520</v>
      </c>
      <c r="AI117" s="627"/>
      <c r="AJ117" s="628">
        <v>0</v>
      </c>
      <c r="AK117" s="547">
        <f>AJ117/VPI!R117</f>
        <v>0</v>
      </c>
      <c r="AL117" s="548">
        <f t="shared" si="7"/>
        <v>9480</v>
      </c>
      <c r="AM117" s="547">
        <f>AL117/VPI!R117</f>
        <v>8.3447293209921822E-2</v>
      </c>
      <c r="AN117" s="628">
        <v>9480</v>
      </c>
      <c r="AO117" s="627"/>
      <c r="AP117" s="629">
        <v>14.293870113930197</v>
      </c>
      <c r="AR117" s="630">
        <v>0</v>
      </c>
    </row>
    <row r="118" spans="1:44" x14ac:dyDescent="0.25">
      <c r="A118" s="608">
        <v>5601</v>
      </c>
      <c r="B118" s="609" t="s">
        <v>253</v>
      </c>
      <c r="C118" s="610">
        <v>5204129.28</v>
      </c>
      <c r="D118" s="610">
        <v>1214363.79</v>
      </c>
      <c r="E118" s="610"/>
      <c r="F118" s="611"/>
      <c r="G118" s="610">
        <v>70956.45</v>
      </c>
      <c r="H118" s="610">
        <v>13943.45</v>
      </c>
      <c r="I118" s="610">
        <v>0</v>
      </c>
      <c r="J118" s="610">
        <v>131129.57999999999</v>
      </c>
      <c r="K118" s="610">
        <v>27519.95</v>
      </c>
      <c r="L118" s="610">
        <v>531188.69999999995</v>
      </c>
      <c r="M118" s="434">
        <f t="shared" si="4"/>
        <v>7193231.2000000011</v>
      </c>
      <c r="N118" s="612">
        <v>66937.55</v>
      </c>
      <c r="O118" s="612">
        <v>262825.59999999998</v>
      </c>
      <c r="P118" s="612">
        <v>282662.65000000002</v>
      </c>
      <c r="Q118" s="612">
        <v>30442.58</v>
      </c>
      <c r="R118" s="612">
        <v>333813.05</v>
      </c>
      <c r="S118" s="610">
        <v>8872.48</v>
      </c>
      <c r="T118" s="543">
        <f t="shared" si="5"/>
        <v>8178785.1100000013</v>
      </c>
      <c r="U118" s="575">
        <v>-69891.5</v>
      </c>
      <c r="V118" s="612"/>
      <c r="W118" s="612">
        <v>-6622.34</v>
      </c>
      <c r="X118" s="624">
        <v>67.5</v>
      </c>
      <c r="Y118" s="631">
        <v>1</v>
      </c>
      <c r="Z118" s="628">
        <f>VLOOKUP(A118,'[2]2022 toutes communes'!$B$9:$D$317,3,FALSE)</f>
        <v>2204</v>
      </c>
      <c r="AA118" s="617"/>
      <c r="AB118" s="618">
        <v>234961</v>
      </c>
      <c r="AC118" s="547">
        <f>AB118/VPI!R118</f>
        <v>2.2162934108115735</v>
      </c>
      <c r="AD118" s="548">
        <f t="shared" si="6"/>
        <v>551879</v>
      </c>
      <c r="AE118" s="547">
        <f>AD118/VPI!R118</f>
        <v>5.2056545182616709</v>
      </c>
      <c r="AF118" s="618">
        <v>786840</v>
      </c>
      <c r="AG118" s="618">
        <v>218967</v>
      </c>
      <c r="AH118" s="618">
        <v>313231</v>
      </c>
      <c r="AI118" s="627"/>
      <c r="AJ118" s="628">
        <v>0</v>
      </c>
      <c r="AK118" s="547">
        <f>AJ118/VPI!R118</f>
        <v>0</v>
      </c>
      <c r="AL118" s="548">
        <f t="shared" si="7"/>
        <v>37282</v>
      </c>
      <c r="AM118" s="547">
        <f>AL118/VPI!R118</f>
        <v>0.35166623797939695</v>
      </c>
      <c r="AN118" s="628">
        <v>37282</v>
      </c>
      <c r="AO118" s="627"/>
      <c r="AP118" s="629">
        <v>25.299159852215311</v>
      </c>
      <c r="AR118" s="630">
        <v>1</v>
      </c>
    </row>
    <row r="119" spans="1:44" x14ac:dyDescent="0.25">
      <c r="A119" s="608">
        <v>5604</v>
      </c>
      <c r="B119" s="609" t="s">
        <v>128</v>
      </c>
      <c r="C119" s="610">
        <v>3601452.39</v>
      </c>
      <c r="D119" s="610">
        <v>569310.22</v>
      </c>
      <c r="E119" s="610"/>
      <c r="F119" s="611"/>
      <c r="G119" s="610">
        <v>235442.45</v>
      </c>
      <c r="H119" s="610">
        <v>4699.5</v>
      </c>
      <c r="I119" s="610"/>
      <c r="J119" s="610">
        <v>54026.31</v>
      </c>
      <c r="K119" s="610">
        <v>30025.15</v>
      </c>
      <c r="L119" s="610">
        <v>421616</v>
      </c>
      <c r="M119" s="434">
        <f t="shared" si="4"/>
        <v>4916572.0200000005</v>
      </c>
      <c r="N119" s="612">
        <v>123228.75</v>
      </c>
      <c r="O119" s="612">
        <v>11.8</v>
      </c>
      <c r="P119" s="612">
        <v>156134.85</v>
      </c>
      <c r="Q119" s="612">
        <v>56537.36</v>
      </c>
      <c r="R119" s="612">
        <v>226751.85</v>
      </c>
      <c r="S119" s="610">
        <v>25096.07</v>
      </c>
      <c r="T119" s="543">
        <f t="shared" si="5"/>
        <v>5504332.7000000002</v>
      </c>
      <c r="U119" s="575">
        <v>-101263.12</v>
      </c>
      <c r="V119" s="612"/>
      <c r="W119" s="612">
        <v>-611.53</v>
      </c>
      <c r="X119" s="624">
        <v>69</v>
      </c>
      <c r="Y119" s="631">
        <v>1</v>
      </c>
      <c r="Z119" s="628">
        <f>VLOOKUP(A119,'[2]2022 toutes communes'!$B$9:$D$317,3,FALSE)</f>
        <v>2067</v>
      </c>
      <c r="AA119" s="617"/>
      <c r="AB119" s="618">
        <v>132856</v>
      </c>
      <c r="AC119" s="547">
        <f>AB119/VPI!R119</f>
        <v>1.8722313451533947</v>
      </c>
      <c r="AD119" s="548">
        <f t="shared" si="6"/>
        <v>527972</v>
      </c>
      <c r="AE119" s="547">
        <f>AD119/VPI!R119</f>
        <v>7.4402791576092024</v>
      </c>
      <c r="AF119" s="618">
        <v>660828</v>
      </c>
      <c r="AG119" s="618">
        <v>122669</v>
      </c>
      <c r="AH119" s="618">
        <v>311289</v>
      </c>
      <c r="AI119" s="627"/>
      <c r="AJ119" s="628">
        <v>0</v>
      </c>
      <c r="AK119" s="547">
        <f>AJ119/VPI!R119</f>
        <v>0</v>
      </c>
      <c r="AL119" s="548">
        <f t="shared" si="7"/>
        <v>105497</v>
      </c>
      <c r="AM119" s="547">
        <f>AL119/VPI!R119</f>
        <v>1.4866832526919951</v>
      </c>
      <c r="AN119" s="628">
        <v>105497</v>
      </c>
      <c r="AO119" s="627"/>
      <c r="AP119" s="629">
        <v>17.500631815976849</v>
      </c>
      <c r="AR119" s="630">
        <v>0</v>
      </c>
    </row>
    <row r="120" spans="1:44" x14ac:dyDescent="0.25">
      <c r="A120" s="608">
        <v>5606</v>
      </c>
      <c r="B120" s="609" t="s">
        <v>129</v>
      </c>
      <c r="C120" s="610">
        <v>35133666.960000001</v>
      </c>
      <c r="D120" s="610">
        <v>8952702.9499999993</v>
      </c>
      <c r="E120" s="610"/>
      <c r="F120" s="611"/>
      <c r="G120" s="610">
        <v>14562866.99</v>
      </c>
      <c r="H120" s="610">
        <v>176032.15</v>
      </c>
      <c r="I120" s="610">
        <v>1212906.26</v>
      </c>
      <c r="J120" s="610">
        <v>752716.53</v>
      </c>
      <c r="K120" s="610">
        <v>146921.60000000001</v>
      </c>
      <c r="L120" s="610">
        <v>2420964.25</v>
      </c>
      <c r="M120" s="434">
        <f t="shared" si="4"/>
        <v>63358777.689999998</v>
      </c>
      <c r="N120" s="612">
        <v>156322.04999999999</v>
      </c>
      <c r="O120" s="612">
        <v>1630596.3</v>
      </c>
      <c r="P120" s="612">
        <v>2393509.25</v>
      </c>
      <c r="Q120" s="612">
        <v>80465.960000000006</v>
      </c>
      <c r="R120" s="612">
        <v>2331739.1</v>
      </c>
      <c r="S120" s="610">
        <v>1540290.63</v>
      </c>
      <c r="T120" s="543">
        <f t="shared" si="5"/>
        <v>71491700.979999974</v>
      </c>
      <c r="U120" s="575">
        <v>-461209.8</v>
      </c>
      <c r="V120" s="612"/>
      <c r="W120" s="612">
        <v>-98634.42</v>
      </c>
      <c r="X120" s="624">
        <v>54</v>
      </c>
      <c r="Y120" s="631">
        <v>0.7</v>
      </c>
      <c r="Z120" s="628">
        <f>VLOOKUP(A120,'[2]2022 toutes communes'!$B$9:$D$317,3,FALSE)</f>
        <v>10713</v>
      </c>
      <c r="AA120" s="617"/>
      <c r="AB120" s="618">
        <v>927778</v>
      </c>
      <c r="AC120" s="547">
        <f>AB120/VPI!R120</f>
        <v>0.76538526952495556</v>
      </c>
      <c r="AD120" s="548">
        <f t="shared" si="6"/>
        <v>3612095</v>
      </c>
      <c r="AE120" s="547">
        <f>AD120/VPI!R120</f>
        <v>2.9798554235223778</v>
      </c>
      <c r="AF120" s="618">
        <v>4539873</v>
      </c>
      <c r="AG120" s="618">
        <v>4805657</v>
      </c>
      <c r="AH120" s="618">
        <v>1398911</v>
      </c>
      <c r="AI120" s="627"/>
      <c r="AJ120" s="628">
        <v>0</v>
      </c>
      <c r="AK120" s="547">
        <f>AJ120/VPI!R120</f>
        <v>0</v>
      </c>
      <c r="AL120" s="548">
        <f t="shared" si="7"/>
        <v>193116</v>
      </c>
      <c r="AM120" s="547">
        <f>AL120/VPI!R120</f>
        <v>0.15931412655784177</v>
      </c>
      <c r="AN120" s="628">
        <v>193116</v>
      </c>
      <c r="AO120" s="627"/>
      <c r="AP120" s="629">
        <v>32.466963405285384</v>
      </c>
      <c r="AR120" s="630">
        <v>1</v>
      </c>
    </row>
    <row r="121" spans="1:44" x14ac:dyDescent="0.25">
      <c r="A121" s="608">
        <v>5607</v>
      </c>
      <c r="B121" s="609" t="s">
        <v>255</v>
      </c>
      <c r="C121" s="610">
        <v>5519577.6699999999</v>
      </c>
      <c r="D121" s="610">
        <v>1020846.35</v>
      </c>
      <c r="E121" s="610"/>
      <c r="F121" s="611"/>
      <c r="G121" s="610">
        <v>553177.4</v>
      </c>
      <c r="H121" s="610">
        <v>4043.3000000000102</v>
      </c>
      <c r="I121" s="610">
        <v>8.5</v>
      </c>
      <c r="J121" s="610">
        <v>146986.91</v>
      </c>
      <c r="K121" s="610">
        <v>35256.9</v>
      </c>
      <c r="L121" s="610">
        <v>874569.8</v>
      </c>
      <c r="M121" s="434">
        <f t="shared" si="4"/>
        <v>8154466.8300000001</v>
      </c>
      <c r="N121" s="612">
        <v>235821.95</v>
      </c>
      <c r="O121" s="612">
        <v>-101797.5</v>
      </c>
      <c r="P121" s="612">
        <v>1138688.6499999999</v>
      </c>
      <c r="Q121" s="612">
        <v>3935.43</v>
      </c>
      <c r="R121" s="612">
        <v>175550.45</v>
      </c>
      <c r="S121" s="610">
        <v>58232.42</v>
      </c>
      <c r="T121" s="543">
        <f t="shared" si="5"/>
        <v>9664898.2299999986</v>
      </c>
      <c r="U121" s="575">
        <v>-51057.17</v>
      </c>
      <c r="V121" s="612"/>
      <c r="W121" s="612">
        <v>-3024.38</v>
      </c>
      <c r="X121" s="624">
        <v>68.5</v>
      </c>
      <c r="Y121" s="631">
        <v>1.1499999999999999</v>
      </c>
      <c r="Z121" s="628">
        <f>VLOOKUP(A121,'[2]2022 toutes communes'!$B$9:$D$317,3,FALSE)</f>
        <v>2991</v>
      </c>
      <c r="AA121" s="617"/>
      <c r="AB121" s="618">
        <v>368700</v>
      </c>
      <c r="AC121" s="547">
        <f>AB121/VPI!R121</f>
        <v>3.1379780703500857</v>
      </c>
      <c r="AD121" s="548">
        <f t="shared" si="6"/>
        <v>1188665</v>
      </c>
      <c r="AE121" s="547">
        <f>AD121/VPI!R121</f>
        <v>10.116638738792201</v>
      </c>
      <c r="AF121" s="618">
        <v>1557365</v>
      </c>
      <c r="AG121" s="618">
        <v>359051</v>
      </c>
      <c r="AH121" s="618">
        <v>441693</v>
      </c>
      <c r="AI121" s="627"/>
      <c r="AJ121" s="628">
        <v>0</v>
      </c>
      <c r="AK121" s="547">
        <f>AJ121/VPI!R121</f>
        <v>0</v>
      </c>
      <c r="AL121" s="548">
        <f t="shared" si="7"/>
        <v>39224</v>
      </c>
      <c r="AM121" s="547">
        <f>AL121/VPI!R121</f>
        <v>0.33383252463089713</v>
      </c>
      <c r="AN121" s="628">
        <v>39224</v>
      </c>
      <c r="AO121" s="627"/>
      <c r="AP121" s="629">
        <v>18.686736665427265</v>
      </c>
      <c r="AR121" s="630">
        <v>1</v>
      </c>
    </row>
    <row r="122" spans="1:44" x14ac:dyDescent="0.25">
      <c r="A122" s="608">
        <v>5609</v>
      </c>
      <c r="B122" s="609" t="s">
        <v>114</v>
      </c>
      <c r="C122" s="610">
        <v>676541.78</v>
      </c>
      <c r="D122" s="610">
        <v>161057.79</v>
      </c>
      <c r="E122" s="610"/>
      <c r="F122" s="611"/>
      <c r="G122" s="610">
        <v>8546.9500000000007</v>
      </c>
      <c r="H122" s="610">
        <v>374.35</v>
      </c>
      <c r="I122" s="610"/>
      <c r="J122" s="610">
        <v>21318.27</v>
      </c>
      <c r="K122" s="610">
        <v>1050.4000000000001</v>
      </c>
      <c r="L122" s="610">
        <v>60957.9</v>
      </c>
      <c r="M122" s="434">
        <f t="shared" si="4"/>
        <v>929847.44000000006</v>
      </c>
      <c r="N122" s="612">
        <v>0</v>
      </c>
      <c r="O122" s="612"/>
      <c r="P122" s="612">
        <v>40460.199999999997</v>
      </c>
      <c r="Q122" s="612"/>
      <c r="R122" s="612">
        <v>100714.15</v>
      </c>
      <c r="S122" s="610">
        <v>932.32</v>
      </c>
      <c r="T122" s="543">
        <f t="shared" si="5"/>
        <v>1071954.1100000001</v>
      </c>
      <c r="U122" s="575">
        <v>-4521.76</v>
      </c>
      <c r="V122" s="612"/>
      <c r="W122" s="612">
        <v>-585.5</v>
      </c>
      <c r="X122" s="624">
        <v>62</v>
      </c>
      <c r="Y122" s="631">
        <v>1</v>
      </c>
      <c r="Z122" s="628">
        <f>VLOOKUP(A122,'[2]2022 toutes communes'!$B$9:$D$317,3,FALSE)</f>
        <v>332</v>
      </c>
      <c r="AA122" s="617"/>
      <c r="AB122" s="618">
        <v>0</v>
      </c>
      <c r="AC122" s="547">
        <f>AB122/VPI!R122</f>
        <v>0</v>
      </c>
      <c r="AD122" s="548">
        <f t="shared" si="6"/>
        <v>137397</v>
      </c>
      <c r="AE122" s="547">
        <f>AD122/VPI!R122</f>
        <v>9.2026218776078998</v>
      </c>
      <c r="AF122" s="618">
        <v>137397</v>
      </c>
      <c r="AG122" s="618">
        <v>40645</v>
      </c>
      <c r="AH122" s="618">
        <v>36401</v>
      </c>
      <c r="AI122" s="627"/>
      <c r="AJ122" s="628">
        <v>0</v>
      </c>
      <c r="AK122" s="547">
        <f>AJ122/VPI!R122</f>
        <v>0</v>
      </c>
      <c r="AL122" s="548">
        <f t="shared" si="7"/>
        <v>19824</v>
      </c>
      <c r="AM122" s="547">
        <f>AL122/VPI!R122</f>
        <v>1.3277784529625758</v>
      </c>
      <c r="AN122" s="628">
        <v>19824</v>
      </c>
      <c r="AO122" s="627"/>
      <c r="AP122" s="629">
        <v>26.924556763635032</v>
      </c>
      <c r="AR122" s="630">
        <v>1</v>
      </c>
    </row>
    <row r="123" spans="1:44" x14ac:dyDescent="0.25">
      <c r="A123" s="608">
        <v>5610</v>
      </c>
      <c r="B123" s="609" t="s">
        <v>115</v>
      </c>
      <c r="C123" s="610">
        <v>1123787.96</v>
      </c>
      <c r="D123" s="610">
        <v>243217.65</v>
      </c>
      <c r="E123" s="610"/>
      <c r="F123" s="611"/>
      <c r="G123" s="610">
        <v>24184.85</v>
      </c>
      <c r="H123" s="610">
        <v>1428.85</v>
      </c>
      <c r="I123" s="610">
        <v>689.599999999999</v>
      </c>
      <c r="J123" s="610">
        <v>32843.82</v>
      </c>
      <c r="K123" s="610">
        <v>6721.15</v>
      </c>
      <c r="L123" s="610">
        <v>126034</v>
      </c>
      <c r="M123" s="434">
        <f t="shared" si="4"/>
        <v>1558907.8800000001</v>
      </c>
      <c r="N123" s="612">
        <v>0</v>
      </c>
      <c r="O123" s="612">
        <v>-102.25</v>
      </c>
      <c r="P123" s="612">
        <v>26455</v>
      </c>
      <c r="Q123" s="612"/>
      <c r="R123" s="612">
        <v>48658.6</v>
      </c>
      <c r="S123" s="610">
        <v>2676.76</v>
      </c>
      <c r="T123" s="543">
        <f t="shared" si="5"/>
        <v>1636595.9900000002</v>
      </c>
      <c r="U123" s="575">
        <v>-4930.59</v>
      </c>
      <c r="V123" s="612"/>
      <c r="W123" s="612">
        <v>-127.45</v>
      </c>
      <c r="X123" s="624">
        <v>72</v>
      </c>
      <c r="Y123" s="631">
        <v>1.2</v>
      </c>
      <c r="Z123" s="628">
        <f>VLOOKUP(A123,'[2]2022 toutes communes'!$B$9:$D$317,3,FALSE)</f>
        <v>402</v>
      </c>
      <c r="AA123" s="617"/>
      <c r="AB123" s="618">
        <v>33804</v>
      </c>
      <c r="AC123" s="547">
        <f>AB123/VPI!R123</f>
        <v>1.5850568671287844</v>
      </c>
      <c r="AD123" s="548">
        <f t="shared" si="6"/>
        <v>44304</v>
      </c>
      <c r="AE123" s="547">
        <f>AD123/VPI!R123</f>
        <v>2.0773979245436536</v>
      </c>
      <c r="AF123" s="618">
        <v>78108</v>
      </c>
      <c r="AG123" s="618">
        <v>48627</v>
      </c>
      <c r="AH123" s="618">
        <v>53236</v>
      </c>
      <c r="AI123" s="627"/>
      <c r="AJ123" s="628">
        <v>0</v>
      </c>
      <c r="AK123" s="547">
        <f>AJ123/VPI!R123</f>
        <v>0</v>
      </c>
      <c r="AL123" s="548">
        <f t="shared" si="7"/>
        <v>9545</v>
      </c>
      <c r="AM123" s="547">
        <f>AL123/VPI!R123</f>
        <v>0.4475614660023739</v>
      </c>
      <c r="AN123" s="628">
        <v>9545</v>
      </c>
      <c r="AO123" s="627"/>
      <c r="AP123" s="629">
        <v>31.516074205789643</v>
      </c>
      <c r="AR123" s="630">
        <v>1</v>
      </c>
    </row>
    <row r="124" spans="1:44" x14ac:dyDescent="0.25">
      <c r="A124" s="608">
        <v>5611</v>
      </c>
      <c r="B124" s="609" t="s">
        <v>252</v>
      </c>
      <c r="C124" s="610">
        <v>7087686.3700000001</v>
      </c>
      <c r="D124" s="610">
        <v>1275206.1499999999</v>
      </c>
      <c r="E124" s="610"/>
      <c r="F124" s="611"/>
      <c r="G124" s="610">
        <v>270439.40000000002</v>
      </c>
      <c r="H124" s="610">
        <v>29540.9</v>
      </c>
      <c r="I124" s="610">
        <v>194791.07</v>
      </c>
      <c r="J124" s="610">
        <v>142647.49</v>
      </c>
      <c r="K124" s="610">
        <v>-11676.65</v>
      </c>
      <c r="L124" s="610">
        <v>838517.25</v>
      </c>
      <c r="M124" s="434">
        <f t="shared" si="4"/>
        <v>9827151.9800000004</v>
      </c>
      <c r="N124" s="612">
        <v>144819.9</v>
      </c>
      <c r="O124" s="612">
        <v>85027.5</v>
      </c>
      <c r="P124" s="612">
        <v>357359.9</v>
      </c>
      <c r="Q124" s="612">
        <v>1434.81</v>
      </c>
      <c r="R124" s="612">
        <v>383324.2</v>
      </c>
      <c r="S124" s="610">
        <v>31349.48</v>
      </c>
      <c r="T124" s="543">
        <f t="shared" si="5"/>
        <v>10830467.770000001</v>
      </c>
      <c r="U124" s="575">
        <v>-84373.38</v>
      </c>
      <c r="V124" s="612"/>
      <c r="W124" s="612">
        <v>-1362.76</v>
      </c>
      <c r="X124" s="624">
        <v>69</v>
      </c>
      <c r="Y124" s="631">
        <v>1.2</v>
      </c>
      <c r="Z124" s="628">
        <f>VLOOKUP(A124,'[2]2022 toutes communes'!$B$9:$D$317,3,FALSE)</f>
        <v>3421</v>
      </c>
      <c r="AA124" s="617"/>
      <c r="AB124" s="618">
        <v>289358</v>
      </c>
      <c r="AC124" s="547">
        <f>AB124/VPI!R124</f>
        <v>2.0723245944014459</v>
      </c>
      <c r="AD124" s="548">
        <f t="shared" si="6"/>
        <v>1144222</v>
      </c>
      <c r="AE124" s="547">
        <f>AD124/VPI!R124</f>
        <v>8.1946909781489072</v>
      </c>
      <c r="AF124" s="618">
        <v>1433580</v>
      </c>
      <c r="AG124" s="618">
        <v>195922</v>
      </c>
      <c r="AH124" s="618">
        <v>496773</v>
      </c>
      <c r="AI124" s="627"/>
      <c r="AJ124" s="628">
        <v>0</v>
      </c>
      <c r="AK124" s="547">
        <f>AJ124/VPI!R124</f>
        <v>0</v>
      </c>
      <c r="AL124" s="548">
        <f t="shared" si="7"/>
        <v>97596</v>
      </c>
      <c r="AM124" s="547">
        <f>AL124/VPI!R124</f>
        <v>0.69896319132425411</v>
      </c>
      <c r="AN124" s="628">
        <v>97596</v>
      </c>
      <c r="AO124" s="627"/>
      <c r="AP124" s="629">
        <v>20.72244817701354</v>
      </c>
      <c r="AR124" s="630">
        <v>1</v>
      </c>
    </row>
    <row r="125" spans="1:44" x14ac:dyDescent="0.25">
      <c r="A125" s="608">
        <v>5613</v>
      </c>
      <c r="B125" s="609" t="s">
        <v>342</v>
      </c>
      <c r="C125" s="610">
        <v>16286684.6</v>
      </c>
      <c r="D125" s="610">
        <v>4125393.52</v>
      </c>
      <c r="E125" s="610"/>
      <c r="F125" s="611"/>
      <c r="G125" s="610">
        <v>115174.95</v>
      </c>
      <c r="H125" s="610">
        <v>54241.45</v>
      </c>
      <c r="I125" s="610">
        <v>161532.93</v>
      </c>
      <c r="J125" s="610">
        <v>580976.21</v>
      </c>
      <c r="K125" s="610">
        <v>33459.9</v>
      </c>
      <c r="L125" s="610">
        <v>2405017.5499999998</v>
      </c>
      <c r="M125" s="434">
        <f t="shared" si="4"/>
        <v>23762481.109999999</v>
      </c>
      <c r="N125" s="612">
        <v>47430.1</v>
      </c>
      <c r="O125" s="612">
        <v>129708.8</v>
      </c>
      <c r="P125" s="612">
        <v>1456226.6</v>
      </c>
      <c r="Q125" s="612">
        <v>77821.679999999993</v>
      </c>
      <c r="R125" s="612">
        <v>1867720.65</v>
      </c>
      <c r="S125" s="610">
        <v>17704.88</v>
      </c>
      <c r="T125" s="543">
        <f t="shared" si="5"/>
        <v>27359093.82</v>
      </c>
      <c r="U125" s="575">
        <v>-69130.13</v>
      </c>
      <c r="V125" s="612"/>
      <c r="W125" s="612">
        <v>-36807.72</v>
      </c>
      <c r="X125" s="624">
        <v>62.5</v>
      </c>
      <c r="Y125" s="631">
        <v>1.5</v>
      </c>
      <c r="Z125" s="628">
        <f>VLOOKUP(A125,'[2]2022 toutes communes'!$B$9:$D$317,3,FALSE)</f>
        <v>5389</v>
      </c>
      <c r="AA125" s="617"/>
      <c r="AB125" s="618">
        <v>185495</v>
      </c>
      <c r="AC125" s="547">
        <f>AB125/VPI!R125</f>
        <v>0.50515193034658967</v>
      </c>
      <c r="AD125" s="548">
        <f t="shared" si="6"/>
        <v>1285666</v>
      </c>
      <c r="AE125" s="547">
        <f>AD125/VPI!R125</f>
        <v>3.5012084513381954</v>
      </c>
      <c r="AF125" s="618">
        <v>1471161</v>
      </c>
      <c r="AG125" s="618">
        <v>520036</v>
      </c>
      <c r="AH125" s="618">
        <v>699944</v>
      </c>
      <c r="AI125" s="627"/>
      <c r="AJ125" s="628">
        <v>0</v>
      </c>
      <c r="AK125" s="547">
        <f>AJ125/VPI!R125</f>
        <v>0</v>
      </c>
      <c r="AL125" s="548">
        <f t="shared" si="7"/>
        <v>184940</v>
      </c>
      <c r="AM125" s="547">
        <f>AL125/VPI!R125</f>
        <v>0.50364051860318759</v>
      </c>
      <c r="AN125" s="628">
        <v>184940</v>
      </c>
      <c r="AO125" s="627"/>
      <c r="AP125" s="629">
        <v>29.346387429960178</v>
      </c>
      <c r="AR125" s="630">
        <v>1</v>
      </c>
    </row>
    <row r="126" spans="1:44" x14ac:dyDescent="0.25">
      <c r="A126" s="608">
        <v>5621</v>
      </c>
      <c r="B126" s="609" t="s">
        <v>333</v>
      </c>
      <c r="C126" s="610">
        <v>1233433.8500000001</v>
      </c>
      <c r="D126" s="610">
        <v>131005.33</v>
      </c>
      <c r="E126" s="610"/>
      <c r="F126" s="611"/>
      <c r="G126" s="610">
        <v>539185.19999999995</v>
      </c>
      <c r="H126" s="610">
        <v>26782.799999999999</v>
      </c>
      <c r="I126" s="610"/>
      <c r="J126" s="610">
        <v>105751.2</v>
      </c>
      <c r="K126" s="610">
        <v>35902.75</v>
      </c>
      <c r="L126" s="610">
        <v>333481.25</v>
      </c>
      <c r="M126" s="434">
        <f t="shared" si="4"/>
        <v>2405542.38</v>
      </c>
      <c r="N126" s="612">
        <v>263613.5</v>
      </c>
      <c r="O126" s="612">
        <v>-17590.5</v>
      </c>
      <c r="P126" s="612">
        <v>108499.85</v>
      </c>
      <c r="Q126" s="612">
        <v>2940.49</v>
      </c>
      <c r="R126" s="612">
        <v>92906.7</v>
      </c>
      <c r="S126" s="610">
        <v>59146.559999999998</v>
      </c>
      <c r="T126" s="543">
        <f t="shared" si="5"/>
        <v>2915058.9800000004</v>
      </c>
      <c r="U126" s="575">
        <v>-6670.87</v>
      </c>
      <c r="V126" s="612"/>
      <c r="W126" s="612">
        <v>-50.25</v>
      </c>
      <c r="X126" s="624">
        <v>62</v>
      </c>
      <c r="Y126" s="631">
        <v>1.1000000000000001</v>
      </c>
      <c r="Z126" s="628">
        <f>VLOOKUP(A126,'[2]2022 toutes communes'!$B$9:$D$317,3,FALSE)</f>
        <v>557</v>
      </c>
      <c r="AA126" s="617"/>
      <c r="AB126" s="618">
        <v>73179</v>
      </c>
      <c r="AC126" s="547">
        <f>AB126/VPI!R126</f>
        <v>1.8666638877450263</v>
      </c>
      <c r="AD126" s="548">
        <f t="shared" si="6"/>
        <v>99539</v>
      </c>
      <c r="AE126" s="547">
        <f>AD126/VPI!R126</f>
        <v>2.5390597947806364</v>
      </c>
      <c r="AF126" s="618">
        <v>172718</v>
      </c>
      <c r="AG126" s="618">
        <v>30446</v>
      </c>
      <c r="AH126" s="618">
        <v>62510</v>
      </c>
      <c r="AI126" s="627"/>
      <c r="AJ126" s="628">
        <v>0</v>
      </c>
      <c r="AK126" s="547">
        <f>AJ126/VPI!R126</f>
        <v>0</v>
      </c>
      <c r="AL126" s="548">
        <f t="shared" si="7"/>
        <v>9890</v>
      </c>
      <c r="AM126" s="547">
        <f>AL126/VPI!R126</f>
        <v>0.25227600609188855</v>
      </c>
      <c r="AN126" s="628">
        <v>9890</v>
      </c>
      <c r="AO126" s="627"/>
      <c r="AP126" s="629">
        <v>32.0722717696556</v>
      </c>
      <c r="AR126" s="630">
        <v>0</v>
      </c>
    </row>
    <row r="127" spans="1:44" x14ac:dyDescent="0.25">
      <c r="A127" s="608">
        <v>5622</v>
      </c>
      <c r="B127" s="609" t="s">
        <v>130</v>
      </c>
      <c r="C127" s="610">
        <v>1635076.41</v>
      </c>
      <c r="D127" s="610">
        <v>240941.08</v>
      </c>
      <c r="E127" s="610"/>
      <c r="F127" s="611"/>
      <c r="G127" s="610">
        <v>61386.65</v>
      </c>
      <c r="H127" s="610">
        <v>5129.3500000000004</v>
      </c>
      <c r="I127" s="610"/>
      <c r="J127" s="610">
        <v>18105.21</v>
      </c>
      <c r="K127" s="610">
        <v>-5671.9</v>
      </c>
      <c r="L127" s="610">
        <v>159874.5</v>
      </c>
      <c r="M127" s="434">
        <f t="shared" si="4"/>
        <v>2114841.2999999998</v>
      </c>
      <c r="N127" s="612">
        <v>29179.1</v>
      </c>
      <c r="O127" s="612"/>
      <c r="P127" s="612">
        <v>141268.6</v>
      </c>
      <c r="Q127" s="612"/>
      <c r="R127" s="612">
        <v>157153.70000000001</v>
      </c>
      <c r="S127" s="610">
        <v>6951.26</v>
      </c>
      <c r="T127" s="543">
        <f t="shared" si="5"/>
        <v>2449393.96</v>
      </c>
      <c r="U127" s="575">
        <v>-23464.13</v>
      </c>
      <c r="V127" s="612"/>
      <c r="W127" s="612">
        <v>-340.64</v>
      </c>
      <c r="X127" s="624">
        <v>68</v>
      </c>
      <c r="Y127" s="631">
        <v>1</v>
      </c>
      <c r="Z127" s="628">
        <f>VLOOKUP(A127,'[2]2022 toutes communes'!$B$9:$D$317,3,FALSE)</f>
        <v>604</v>
      </c>
      <c r="AA127" s="617"/>
      <c r="AB127" s="618">
        <v>0</v>
      </c>
      <c r="AC127" s="547">
        <f>AB127/VPI!R127</f>
        <v>0</v>
      </c>
      <c r="AD127" s="548">
        <f t="shared" si="6"/>
        <v>135749</v>
      </c>
      <c r="AE127" s="547">
        <f>AD127/VPI!R127</f>
        <v>4.3998978659451593</v>
      </c>
      <c r="AF127" s="618">
        <v>135749</v>
      </c>
      <c r="AG127" s="618">
        <v>35746</v>
      </c>
      <c r="AH127" s="618">
        <v>61630</v>
      </c>
      <c r="AI127" s="627"/>
      <c r="AJ127" s="628">
        <v>0</v>
      </c>
      <c r="AK127" s="547">
        <f>AJ127/VPI!R127</f>
        <v>0</v>
      </c>
      <c r="AL127" s="548">
        <f t="shared" si="7"/>
        <v>5100</v>
      </c>
      <c r="AM127" s="547">
        <f>AL127/VPI!R127</f>
        <v>0.16530124801155302</v>
      </c>
      <c r="AN127" s="628">
        <v>5100</v>
      </c>
      <c r="AO127" s="627"/>
      <c r="AP127" s="629">
        <v>27.738019278444892</v>
      </c>
      <c r="AR127" s="630">
        <v>0</v>
      </c>
    </row>
    <row r="128" spans="1:44" x14ac:dyDescent="0.25">
      <c r="A128" s="608">
        <v>5623</v>
      </c>
      <c r="B128" s="609" t="s">
        <v>131</v>
      </c>
      <c r="C128" s="610">
        <v>2745788.83</v>
      </c>
      <c r="D128" s="610">
        <v>1181473.75</v>
      </c>
      <c r="E128" s="610"/>
      <c r="F128" s="611"/>
      <c r="G128" s="610">
        <v>67856.350000000006</v>
      </c>
      <c r="H128" s="610">
        <v>78053.5</v>
      </c>
      <c r="I128" s="610">
        <v>161315.03</v>
      </c>
      <c r="J128" s="610">
        <v>35154.949999999997</v>
      </c>
      <c r="K128" s="610">
        <v>3049</v>
      </c>
      <c r="L128" s="610">
        <v>367777.35</v>
      </c>
      <c r="M128" s="434">
        <f t="shared" si="4"/>
        <v>4640468.76</v>
      </c>
      <c r="N128" s="612">
        <v>3341.85</v>
      </c>
      <c r="O128" s="612">
        <v>7464.6</v>
      </c>
      <c r="P128" s="612">
        <v>98752.5</v>
      </c>
      <c r="Q128" s="612">
        <v>68.2</v>
      </c>
      <c r="R128" s="612">
        <v>73004.600000000006</v>
      </c>
      <c r="S128" s="610">
        <v>15248.33</v>
      </c>
      <c r="T128" s="543">
        <f t="shared" si="5"/>
        <v>4838348.8399999989</v>
      </c>
      <c r="U128" s="575">
        <v>-6749.01</v>
      </c>
      <c r="V128" s="612"/>
      <c r="W128" s="612">
        <v>-52075.94</v>
      </c>
      <c r="X128" s="624">
        <v>52</v>
      </c>
      <c r="Y128" s="631">
        <v>1</v>
      </c>
      <c r="Z128" s="628">
        <f>VLOOKUP(A128,'[2]2022 toutes communes'!$B$9:$D$317,3,FALSE)</f>
        <v>670</v>
      </c>
      <c r="AA128" s="617"/>
      <c r="AB128" s="618">
        <v>0</v>
      </c>
      <c r="AC128" s="547">
        <f>AB128/VPI!R128</f>
        <v>0</v>
      </c>
      <c r="AD128" s="548">
        <f t="shared" si="6"/>
        <v>70465</v>
      </c>
      <c r="AE128" s="547">
        <f>AD128/VPI!R128</f>
        <v>0.79708758157352311</v>
      </c>
      <c r="AF128" s="618">
        <v>70465</v>
      </c>
      <c r="AG128" s="618">
        <v>70101</v>
      </c>
      <c r="AH128" s="618">
        <v>71083</v>
      </c>
      <c r="AI128" s="627"/>
      <c r="AJ128" s="628">
        <v>0</v>
      </c>
      <c r="AK128" s="547">
        <f>AJ128/VPI!R128</f>
        <v>0</v>
      </c>
      <c r="AL128" s="548">
        <f t="shared" si="7"/>
        <v>9842</v>
      </c>
      <c r="AM128" s="547">
        <f>AL128/VPI!R128</f>
        <v>0.11133095831755643</v>
      </c>
      <c r="AN128" s="628">
        <v>9842</v>
      </c>
      <c r="AO128" s="627"/>
      <c r="AP128" s="629">
        <v>43.27615740979445</v>
      </c>
      <c r="AR128" s="630">
        <v>1</v>
      </c>
    </row>
    <row r="129" spans="1:1476" s="632" customFormat="1" x14ac:dyDescent="0.25">
      <c r="A129" s="608">
        <v>5624</v>
      </c>
      <c r="B129" s="609" t="s">
        <v>351</v>
      </c>
      <c r="C129" s="610">
        <v>15929703.07</v>
      </c>
      <c r="D129" s="610">
        <v>1602113.3</v>
      </c>
      <c r="E129" s="610"/>
      <c r="F129" s="611"/>
      <c r="G129" s="610">
        <v>10200752.1</v>
      </c>
      <c r="H129" s="610">
        <v>133196.1</v>
      </c>
      <c r="I129" s="610"/>
      <c r="J129" s="610">
        <v>901078.31</v>
      </c>
      <c r="K129" s="610">
        <v>498778.2</v>
      </c>
      <c r="L129" s="610">
        <v>3169933.55</v>
      </c>
      <c r="M129" s="434">
        <f t="shared" si="4"/>
        <v>32435554.629999999</v>
      </c>
      <c r="N129" s="612">
        <v>1175452</v>
      </c>
      <c r="O129" s="612">
        <v>115620.6</v>
      </c>
      <c r="P129" s="612">
        <v>1476042.95</v>
      </c>
      <c r="Q129" s="612">
        <v>22798.04</v>
      </c>
      <c r="R129" s="612">
        <v>773790.35</v>
      </c>
      <c r="S129" s="610">
        <v>1079950.6399999999</v>
      </c>
      <c r="T129" s="543">
        <f t="shared" si="5"/>
        <v>37079209.210000001</v>
      </c>
      <c r="U129" s="575">
        <v>-250394.66</v>
      </c>
      <c r="V129" s="612"/>
      <c r="W129" s="612">
        <v>-2625.03</v>
      </c>
      <c r="X129" s="624">
        <v>62.5</v>
      </c>
      <c r="Y129" s="631">
        <v>1.25</v>
      </c>
      <c r="Z129" s="628">
        <f>VLOOKUP(A129,'[2]2022 toutes communes'!$B$9:$D$317,3,FALSE)</f>
        <v>10392</v>
      </c>
      <c r="AA129" s="617"/>
      <c r="AB129" s="618">
        <v>878810.36</v>
      </c>
      <c r="AC129" s="547">
        <f>AB129/VPI!R129</f>
        <v>1.6821888469360651</v>
      </c>
      <c r="AD129" s="548">
        <f t="shared" si="6"/>
        <v>1820412.3000000003</v>
      </c>
      <c r="AE129" s="547">
        <f>AD129/VPI!R129</f>
        <v>3.4845711967770052</v>
      </c>
      <c r="AF129" s="618">
        <v>2699222.66</v>
      </c>
      <c r="AG129" s="618">
        <v>3728794.45</v>
      </c>
      <c r="AH129" s="618">
        <v>246105</v>
      </c>
      <c r="AI129" s="627"/>
      <c r="AJ129" s="628">
        <v>0</v>
      </c>
      <c r="AK129" s="547">
        <f>AJ129/VPI!R129</f>
        <v>0</v>
      </c>
      <c r="AL129" s="548">
        <f t="shared" si="7"/>
        <v>215853.51</v>
      </c>
      <c r="AM129" s="547">
        <f>AL129/VPI!R129</f>
        <v>0.41317943394978002</v>
      </c>
      <c r="AN129" s="628">
        <v>215853.51</v>
      </c>
      <c r="AO129" s="627"/>
      <c r="AP129" s="629">
        <v>16.994594506724209</v>
      </c>
      <c r="AQ129" s="575"/>
      <c r="AR129" s="630">
        <v>1</v>
      </c>
      <c r="AS129" s="575"/>
      <c r="AT129" s="575"/>
      <c r="AU129" s="575"/>
      <c r="AV129" s="575"/>
      <c r="AW129" s="575"/>
      <c r="AX129" s="575"/>
      <c r="AY129" s="575"/>
      <c r="AZ129" s="575"/>
      <c r="BA129" s="575"/>
      <c r="BB129" s="575"/>
      <c r="BC129" s="575"/>
      <c r="BD129" s="575"/>
      <c r="BE129" s="575"/>
      <c r="BF129" s="575"/>
      <c r="BG129" s="575"/>
      <c r="BH129" s="575"/>
      <c r="BI129" s="575"/>
      <c r="BJ129" s="575"/>
      <c r="BK129" s="575"/>
      <c r="BL129" s="575"/>
      <c r="BM129" s="575"/>
      <c r="BN129" s="575"/>
      <c r="BO129" s="575"/>
      <c r="BP129" s="575"/>
      <c r="BQ129" s="575"/>
      <c r="BR129" s="575"/>
      <c r="BS129" s="575"/>
      <c r="BT129" s="575"/>
      <c r="BU129" s="575"/>
      <c r="BV129" s="575"/>
      <c r="BW129" s="575"/>
      <c r="BX129" s="575"/>
      <c r="BY129" s="575"/>
      <c r="BZ129" s="575"/>
      <c r="CA129" s="575"/>
      <c r="CB129" s="575"/>
      <c r="CC129" s="575"/>
      <c r="CD129" s="575"/>
      <c r="CE129" s="575"/>
      <c r="CF129" s="575"/>
      <c r="CG129" s="575"/>
      <c r="CH129" s="575"/>
      <c r="CI129" s="575"/>
      <c r="CJ129" s="575"/>
      <c r="CK129" s="575"/>
      <c r="CL129" s="575"/>
      <c r="CM129" s="575"/>
      <c r="CN129" s="575"/>
      <c r="CO129" s="575"/>
      <c r="CP129" s="575"/>
      <c r="CQ129" s="575"/>
      <c r="CR129" s="575"/>
      <c r="CS129" s="575"/>
      <c r="CT129" s="575"/>
      <c r="CU129" s="575"/>
      <c r="CV129" s="575"/>
      <c r="CW129" s="575"/>
      <c r="CX129" s="575"/>
      <c r="CY129" s="575"/>
      <c r="CZ129" s="575"/>
      <c r="DA129" s="575"/>
      <c r="DB129" s="575"/>
      <c r="DC129" s="575"/>
      <c r="DD129" s="575"/>
      <c r="DE129" s="575"/>
      <c r="DF129" s="575"/>
      <c r="DG129" s="575"/>
      <c r="DH129" s="575"/>
      <c r="DI129" s="575"/>
      <c r="DJ129" s="575"/>
      <c r="DK129" s="575"/>
      <c r="DL129" s="575"/>
      <c r="DM129" s="575"/>
      <c r="DN129" s="575"/>
      <c r="DO129" s="575"/>
      <c r="DP129" s="575"/>
      <c r="DQ129" s="575"/>
      <c r="DR129" s="575"/>
      <c r="DS129" s="575"/>
      <c r="DT129" s="575"/>
      <c r="DU129" s="575"/>
      <c r="DV129" s="575"/>
      <c r="DW129" s="575"/>
      <c r="DX129" s="575"/>
      <c r="DY129" s="575"/>
      <c r="DZ129" s="575"/>
      <c r="EA129" s="575"/>
      <c r="EB129" s="575"/>
      <c r="EC129" s="575"/>
      <c r="ED129" s="575"/>
      <c r="EE129" s="575"/>
      <c r="EF129" s="575"/>
      <c r="EG129" s="575"/>
      <c r="EH129" s="575"/>
      <c r="EI129" s="575"/>
      <c r="EJ129" s="575"/>
      <c r="EK129" s="575"/>
      <c r="EL129" s="575"/>
      <c r="EM129" s="575"/>
      <c r="EN129" s="575"/>
      <c r="EO129" s="575"/>
      <c r="EP129" s="575"/>
      <c r="EQ129" s="575"/>
      <c r="ER129" s="575"/>
      <c r="ES129" s="575"/>
      <c r="ET129" s="575"/>
      <c r="EU129" s="575"/>
      <c r="EV129" s="575"/>
      <c r="EW129" s="575"/>
      <c r="EX129" s="575"/>
      <c r="EY129" s="575"/>
      <c r="EZ129" s="575"/>
      <c r="FA129" s="575"/>
      <c r="FB129" s="575"/>
      <c r="FC129" s="575"/>
      <c r="FD129" s="575"/>
      <c r="FE129" s="575"/>
      <c r="FF129" s="575"/>
      <c r="FG129" s="575"/>
      <c r="FH129" s="575"/>
      <c r="FI129" s="575"/>
      <c r="FJ129" s="575"/>
      <c r="FK129" s="575"/>
      <c r="FL129" s="575"/>
      <c r="FM129" s="575"/>
      <c r="FN129" s="575"/>
      <c r="FO129" s="575"/>
      <c r="FP129" s="575"/>
      <c r="FQ129" s="575"/>
      <c r="FR129" s="575"/>
      <c r="FS129" s="575"/>
      <c r="FT129" s="575"/>
      <c r="FU129" s="575"/>
      <c r="FV129" s="575"/>
      <c r="FW129" s="575"/>
      <c r="FX129" s="575"/>
      <c r="FY129" s="575"/>
      <c r="FZ129" s="575"/>
      <c r="GA129" s="575"/>
      <c r="GB129" s="575"/>
      <c r="GC129" s="575"/>
      <c r="GD129" s="575"/>
      <c r="GE129" s="575"/>
      <c r="GF129" s="575"/>
      <c r="GG129" s="575"/>
      <c r="GH129" s="575"/>
      <c r="GI129" s="575"/>
      <c r="GJ129" s="575"/>
      <c r="GK129" s="575"/>
      <c r="GL129" s="575"/>
      <c r="GM129" s="575"/>
      <c r="GN129" s="575"/>
      <c r="GO129" s="575"/>
      <c r="GP129" s="575"/>
      <c r="GQ129" s="575"/>
      <c r="GR129" s="575"/>
      <c r="GS129" s="575"/>
      <c r="GT129" s="575"/>
      <c r="GU129" s="575"/>
      <c r="GV129" s="575"/>
      <c r="GW129" s="575"/>
      <c r="GX129" s="575"/>
      <c r="GY129" s="575"/>
      <c r="GZ129" s="575"/>
      <c r="HA129" s="575"/>
      <c r="HB129" s="575"/>
      <c r="HC129" s="575"/>
      <c r="HD129" s="575"/>
      <c r="HE129" s="575"/>
      <c r="HF129" s="575"/>
      <c r="HG129" s="575"/>
      <c r="HH129" s="575"/>
      <c r="HI129" s="575"/>
      <c r="HJ129" s="575"/>
      <c r="HK129" s="575"/>
      <c r="HL129" s="575"/>
      <c r="HM129" s="575"/>
      <c r="HN129" s="575"/>
      <c r="HO129" s="575"/>
      <c r="HP129" s="575"/>
      <c r="HQ129" s="575"/>
      <c r="HR129" s="575"/>
      <c r="HS129" s="575"/>
      <c r="HT129" s="575"/>
      <c r="HU129" s="575"/>
      <c r="HV129" s="575"/>
      <c r="HW129" s="575"/>
      <c r="HX129" s="575"/>
      <c r="HY129" s="575"/>
      <c r="HZ129" s="575"/>
      <c r="IA129" s="575"/>
      <c r="IB129" s="575"/>
      <c r="IC129" s="575"/>
      <c r="ID129" s="575"/>
      <c r="IE129" s="575"/>
      <c r="IF129" s="575"/>
      <c r="IG129" s="575"/>
      <c r="IH129" s="575"/>
      <c r="II129" s="575"/>
      <c r="IJ129" s="575"/>
      <c r="IK129" s="575"/>
      <c r="IL129" s="575"/>
      <c r="IM129" s="575"/>
      <c r="IN129" s="575"/>
      <c r="IO129" s="575"/>
      <c r="IP129" s="575"/>
      <c r="IQ129" s="575"/>
      <c r="IR129" s="575"/>
      <c r="IS129" s="575"/>
      <c r="IT129" s="575"/>
      <c r="IU129" s="575"/>
      <c r="IV129" s="575"/>
      <c r="IW129" s="575"/>
      <c r="IX129" s="575"/>
      <c r="IY129" s="575"/>
      <c r="IZ129" s="575"/>
      <c r="JA129" s="575"/>
      <c r="JB129" s="575"/>
      <c r="JC129" s="575"/>
      <c r="JD129" s="575"/>
      <c r="JE129" s="575"/>
      <c r="JF129" s="575"/>
      <c r="JG129" s="575"/>
      <c r="JH129" s="575"/>
      <c r="JI129" s="575"/>
      <c r="JJ129" s="575"/>
      <c r="JK129" s="575"/>
      <c r="JL129" s="575"/>
      <c r="JM129" s="575"/>
      <c r="JN129" s="575"/>
      <c r="JO129" s="575"/>
      <c r="JP129" s="575"/>
      <c r="JQ129" s="575"/>
      <c r="JR129" s="575"/>
      <c r="JS129" s="575"/>
      <c r="JT129" s="575"/>
      <c r="JU129" s="575"/>
      <c r="JV129" s="575"/>
      <c r="JW129" s="575"/>
      <c r="JX129" s="575"/>
      <c r="JY129" s="575"/>
      <c r="JZ129" s="575"/>
      <c r="KA129" s="575"/>
      <c r="KB129" s="575"/>
      <c r="KC129" s="575"/>
      <c r="KD129" s="575"/>
      <c r="KE129" s="575"/>
      <c r="KF129" s="575"/>
      <c r="KG129" s="575"/>
      <c r="KH129" s="575"/>
      <c r="KI129" s="575"/>
      <c r="KJ129" s="575"/>
      <c r="KK129" s="575"/>
      <c r="KL129" s="575"/>
      <c r="KM129" s="575"/>
      <c r="KN129" s="575"/>
      <c r="KO129" s="575"/>
      <c r="KP129" s="575"/>
      <c r="KQ129" s="575"/>
      <c r="KR129" s="575"/>
      <c r="KS129" s="575"/>
      <c r="KT129" s="575"/>
      <c r="KU129" s="575"/>
      <c r="KV129" s="575"/>
      <c r="KW129" s="575"/>
      <c r="KX129" s="575"/>
      <c r="KY129" s="575"/>
      <c r="KZ129" s="575"/>
      <c r="LA129" s="575"/>
      <c r="LB129" s="575"/>
      <c r="LC129" s="575"/>
      <c r="LD129" s="575"/>
      <c r="LE129" s="575"/>
      <c r="LF129" s="575"/>
      <c r="LG129" s="575"/>
      <c r="LH129" s="575"/>
      <c r="LI129" s="575"/>
      <c r="LJ129" s="575"/>
      <c r="LK129" s="575"/>
      <c r="LL129" s="575"/>
      <c r="LM129" s="575"/>
      <c r="LN129" s="575"/>
      <c r="LO129" s="575"/>
      <c r="LP129" s="575"/>
      <c r="LQ129" s="575"/>
      <c r="LR129" s="575"/>
      <c r="LS129" s="575"/>
      <c r="LT129" s="575"/>
      <c r="LU129" s="575"/>
      <c r="LV129" s="575"/>
      <c r="LW129" s="575"/>
      <c r="LX129" s="575"/>
      <c r="LY129" s="575"/>
      <c r="LZ129" s="575"/>
      <c r="MA129" s="575"/>
      <c r="MB129" s="575"/>
      <c r="MC129" s="575"/>
      <c r="MD129" s="575"/>
      <c r="ME129" s="575"/>
      <c r="MF129" s="575"/>
      <c r="MG129" s="575"/>
      <c r="MH129" s="575"/>
      <c r="MI129" s="575"/>
      <c r="MJ129" s="575"/>
      <c r="MK129" s="575"/>
      <c r="ML129" s="575"/>
      <c r="MM129" s="575"/>
      <c r="MN129" s="575"/>
      <c r="MO129" s="575"/>
      <c r="MP129" s="575"/>
      <c r="MQ129" s="575"/>
      <c r="MR129" s="575"/>
      <c r="MS129" s="575"/>
      <c r="MT129" s="575"/>
      <c r="MU129" s="575"/>
      <c r="MV129" s="575"/>
      <c r="MW129" s="575"/>
      <c r="MX129" s="575"/>
      <c r="MY129" s="575"/>
      <c r="MZ129" s="575"/>
      <c r="NA129" s="575"/>
      <c r="NB129" s="575"/>
      <c r="NC129" s="575"/>
      <c r="ND129" s="575"/>
      <c r="NE129" s="575"/>
      <c r="NF129" s="575"/>
      <c r="NG129" s="575"/>
      <c r="NH129" s="575"/>
      <c r="NI129" s="575"/>
      <c r="NJ129" s="575"/>
      <c r="NK129" s="575"/>
      <c r="NL129" s="575"/>
      <c r="NM129" s="575"/>
      <c r="NN129" s="575"/>
      <c r="NO129" s="575"/>
      <c r="NP129" s="575"/>
      <c r="NQ129" s="575"/>
      <c r="NR129" s="575"/>
      <c r="NS129" s="575"/>
      <c r="NT129" s="575"/>
      <c r="NU129" s="575"/>
      <c r="NV129" s="575"/>
      <c r="NW129" s="575"/>
      <c r="NX129" s="575"/>
      <c r="NY129" s="575"/>
      <c r="NZ129" s="575"/>
      <c r="OA129" s="575"/>
      <c r="OB129" s="575"/>
      <c r="OC129" s="575"/>
      <c r="OD129" s="575"/>
      <c r="OE129" s="575"/>
      <c r="OF129" s="575"/>
      <c r="OG129" s="575"/>
      <c r="OH129" s="575"/>
      <c r="OI129" s="575"/>
      <c r="OJ129" s="575"/>
      <c r="OK129" s="575"/>
      <c r="OL129" s="575"/>
      <c r="OM129" s="575"/>
      <c r="ON129" s="575"/>
      <c r="OO129" s="575"/>
      <c r="OP129" s="575"/>
      <c r="OQ129" s="575"/>
      <c r="OR129" s="575"/>
      <c r="OS129" s="575"/>
      <c r="OT129" s="575"/>
      <c r="OU129" s="575"/>
      <c r="OV129" s="575"/>
      <c r="OW129" s="575"/>
      <c r="OX129" s="575"/>
      <c r="OY129" s="575"/>
      <c r="OZ129" s="575"/>
      <c r="PA129" s="575"/>
      <c r="PB129" s="575"/>
      <c r="PC129" s="575"/>
      <c r="PD129" s="575"/>
      <c r="PE129" s="575"/>
      <c r="PF129" s="575"/>
      <c r="PG129" s="575"/>
      <c r="PH129" s="575"/>
      <c r="PI129" s="575"/>
      <c r="PJ129" s="575"/>
      <c r="PK129" s="575"/>
      <c r="PL129" s="575"/>
      <c r="PM129" s="575"/>
      <c r="PN129" s="575"/>
      <c r="PO129" s="575"/>
      <c r="PP129" s="575"/>
      <c r="PQ129" s="575"/>
      <c r="PR129" s="575"/>
      <c r="PS129" s="575"/>
      <c r="PT129" s="575"/>
      <c r="PU129" s="575"/>
      <c r="PV129" s="575"/>
      <c r="PW129" s="575"/>
      <c r="PX129" s="575"/>
      <c r="PY129" s="575"/>
      <c r="PZ129" s="575"/>
      <c r="QA129" s="575"/>
      <c r="QB129" s="575"/>
      <c r="QC129" s="575"/>
      <c r="QD129" s="575"/>
      <c r="QE129" s="575"/>
      <c r="QF129" s="575"/>
      <c r="QG129" s="575"/>
      <c r="QH129" s="575"/>
      <c r="QI129" s="575"/>
      <c r="QJ129" s="575"/>
      <c r="QK129" s="575"/>
      <c r="QL129" s="575"/>
      <c r="QM129" s="575"/>
      <c r="QN129" s="575"/>
      <c r="QO129" s="575"/>
      <c r="QP129" s="575"/>
      <c r="QQ129" s="575"/>
      <c r="QR129" s="575"/>
      <c r="QS129" s="575"/>
      <c r="QT129" s="575"/>
      <c r="QU129" s="575"/>
      <c r="QV129" s="575"/>
      <c r="QW129" s="575"/>
      <c r="QX129" s="575"/>
      <c r="QY129" s="575"/>
      <c r="QZ129" s="575"/>
      <c r="RA129" s="575"/>
      <c r="RB129" s="575"/>
      <c r="RC129" s="575"/>
      <c r="RD129" s="575"/>
      <c r="RE129" s="575"/>
      <c r="RF129" s="575"/>
      <c r="RG129" s="575"/>
      <c r="RH129" s="575"/>
      <c r="RI129" s="575"/>
      <c r="RJ129" s="575"/>
      <c r="RK129" s="575"/>
      <c r="RL129" s="575"/>
      <c r="RM129" s="575"/>
      <c r="RN129" s="575"/>
      <c r="RO129" s="575"/>
      <c r="RP129" s="575"/>
      <c r="RQ129" s="575"/>
      <c r="RR129" s="575"/>
      <c r="RS129" s="575"/>
      <c r="RT129" s="575"/>
      <c r="RU129" s="575"/>
      <c r="RV129" s="575"/>
      <c r="RW129" s="575"/>
      <c r="RX129" s="575"/>
      <c r="RY129" s="575"/>
      <c r="RZ129" s="575"/>
      <c r="SA129" s="575"/>
      <c r="SB129" s="575"/>
      <c r="SC129" s="575"/>
      <c r="SD129" s="575"/>
      <c r="SE129" s="575"/>
      <c r="SF129" s="575"/>
      <c r="SG129" s="575"/>
      <c r="SH129" s="575"/>
      <c r="SI129" s="575"/>
      <c r="SJ129" s="575"/>
      <c r="SK129" s="575"/>
      <c r="SL129" s="575"/>
      <c r="SM129" s="575"/>
      <c r="SN129" s="575"/>
      <c r="SO129" s="575"/>
      <c r="SP129" s="575"/>
      <c r="SQ129" s="575"/>
      <c r="SR129" s="575"/>
      <c r="SS129" s="575"/>
      <c r="ST129" s="575"/>
      <c r="SU129" s="575"/>
      <c r="SV129" s="575"/>
      <c r="SW129" s="575"/>
      <c r="SX129" s="575"/>
      <c r="SY129" s="575"/>
      <c r="SZ129" s="575"/>
      <c r="TA129" s="575"/>
      <c r="TB129" s="575"/>
      <c r="TC129" s="575"/>
      <c r="TD129" s="575"/>
      <c r="TE129" s="575"/>
      <c r="TF129" s="575"/>
      <c r="TG129" s="575"/>
      <c r="TH129" s="575"/>
      <c r="TI129" s="575"/>
      <c r="TJ129" s="575"/>
      <c r="TK129" s="575"/>
      <c r="TL129" s="575"/>
      <c r="TM129" s="575"/>
      <c r="TN129" s="575"/>
      <c r="TO129" s="575"/>
      <c r="TP129" s="575"/>
      <c r="TQ129" s="575"/>
      <c r="TR129" s="575"/>
      <c r="TS129" s="575"/>
      <c r="TT129" s="575"/>
      <c r="TU129" s="575"/>
      <c r="TV129" s="575"/>
      <c r="TW129" s="575"/>
      <c r="TX129" s="575"/>
      <c r="TY129" s="575"/>
      <c r="TZ129" s="575"/>
      <c r="UA129" s="575"/>
      <c r="UB129" s="575"/>
      <c r="UC129" s="575"/>
      <c r="UD129" s="575"/>
      <c r="UE129" s="575"/>
      <c r="UF129" s="575"/>
      <c r="UG129" s="575"/>
      <c r="UH129" s="575"/>
      <c r="UI129" s="575"/>
      <c r="UJ129" s="575"/>
      <c r="UK129" s="575"/>
      <c r="UL129" s="575"/>
      <c r="UM129" s="575"/>
      <c r="UN129" s="575"/>
      <c r="UO129" s="575"/>
      <c r="UP129" s="575"/>
      <c r="UQ129" s="575"/>
      <c r="UR129" s="575"/>
      <c r="US129" s="575"/>
      <c r="UT129" s="575"/>
      <c r="UU129" s="575"/>
      <c r="UV129" s="575"/>
      <c r="UW129" s="575"/>
      <c r="UX129" s="575"/>
      <c r="UY129" s="575"/>
      <c r="UZ129" s="575"/>
      <c r="VA129" s="575"/>
      <c r="VB129" s="575"/>
      <c r="VC129" s="575"/>
      <c r="VD129" s="575"/>
      <c r="VE129" s="575"/>
      <c r="VF129" s="575"/>
      <c r="VG129" s="575"/>
      <c r="VH129" s="575"/>
      <c r="VI129" s="575"/>
      <c r="VJ129" s="575"/>
      <c r="VK129" s="575"/>
      <c r="VL129" s="575"/>
      <c r="VM129" s="575"/>
      <c r="VN129" s="575"/>
      <c r="VO129" s="575"/>
      <c r="VP129" s="575"/>
      <c r="VQ129" s="575"/>
      <c r="VR129" s="575"/>
      <c r="VS129" s="575"/>
      <c r="VT129" s="575"/>
      <c r="VU129" s="575"/>
      <c r="VV129" s="575"/>
      <c r="VW129" s="575"/>
      <c r="VX129" s="575"/>
      <c r="VY129" s="575"/>
      <c r="VZ129" s="575"/>
      <c r="WA129" s="575"/>
      <c r="WB129" s="575"/>
      <c r="WC129" s="575"/>
      <c r="WD129" s="575"/>
      <c r="WE129" s="575"/>
      <c r="WF129" s="575"/>
      <c r="WG129" s="575"/>
      <c r="WH129" s="575"/>
      <c r="WI129" s="575"/>
      <c r="WJ129" s="575"/>
      <c r="WK129" s="575"/>
      <c r="WL129" s="575"/>
      <c r="WM129" s="575"/>
      <c r="WN129" s="575"/>
      <c r="WO129" s="575"/>
      <c r="WP129" s="575"/>
      <c r="WQ129" s="575"/>
      <c r="WR129" s="575"/>
      <c r="WS129" s="575"/>
      <c r="WT129" s="575"/>
      <c r="WU129" s="575"/>
      <c r="WV129" s="575"/>
      <c r="WW129" s="575"/>
      <c r="WX129" s="575"/>
      <c r="WY129" s="575"/>
      <c r="WZ129" s="575"/>
      <c r="XA129" s="575"/>
      <c r="XB129" s="575"/>
      <c r="XC129" s="575"/>
      <c r="XD129" s="575"/>
      <c r="XE129" s="575"/>
      <c r="XF129" s="575"/>
      <c r="XG129" s="575"/>
      <c r="XH129" s="575"/>
      <c r="XI129" s="575"/>
      <c r="XJ129" s="575"/>
      <c r="XK129" s="575"/>
      <c r="XL129" s="575"/>
      <c r="XM129" s="575"/>
      <c r="XN129" s="575"/>
      <c r="XO129" s="575"/>
      <c r="XP129" s="575"/>
      <c r="XQ129" s="575"/>
      <c r="XR129" s="575"/>
      <c r="XS129" s="575"/>
      <c r="XT129" s="575"/>
      <c r="XU129" s="575"/>
      <c r="XV129" s="575"/>
      <c r="XW129" s="575"/>
      <c r="XX129" s="575"/>
      <c r="XY129" s="575"/>
      <c r="XZ129" s="575"/>
      <c r="YA129" s="575"/>
      <c r="YB129" s="575"/>
      <c r="YC129" s="575"/>
      <c r="YD129" s="575"/>
      <c r="YE129" s="575"/>
      <c r="YF129" s="575"/>
      <c r="YG129" s="575"/>
      <c r="YH129" s="575"/>
      <c r="YI129" s="575"/>
      <c r="YJ129" s="575"/>
      <c r="YK129" s="575"/>
      <c r="YL129" s="575"/>
      <c r="YM129" s="575"/>
      <c r="YN129" s="575"/>
      <c r="YO129" s="575"/>
      <c r="YP129" s="575"/>
      <c r="YQ129" s="575"/>
      <c r="YR129" s="575"/>
      <c r="YS129" s="575"/>
      <c r="YT129" s="575"/>
      <c r="YU129" s="575"/>
      <c r="YV129" s="575"/>
      <c r="YW129" s="575"/>
      <c r="YX129" s="575"/>
      <c r="YY129" s="575"/>
      <c r="YZ129" s="575"/>
      <c r="ZA129" s="575"/>
      <c r="ZB129" s="575"/>
      <c r="ZC129" s="575"/>
      <c r="ZD129" s="575"/>
      <c r="ZE129" s="575"/>
      <c r="ZF129" s="575"/>
      <c r="ZG129" s="575"/>
      <c r="ZH129" s="575"/>
      <c r="ZI129" s="575"/>
      <c r="ZJ129" s="575"/>
      <c r="ZK129" s="575"/>
      <c r="ZL129" s="575"/>
      <c r="ZM129" s="575"/>
      <c r="ZN129" s="575"/>
      <c r="ZO129" s="575"/>
      <c r="ZP129" s="575"/>
      <c r="ZQ129" s="575"/>
      <c r="ZR129" s="575"/>
      <c r="ZS129" s="575"/>
      <c r="ZT129" s="575"/>
      <c r="ZU129" s="575"/>
      <c r="ZV129" s="575"/>
      <c r="ZW129" s="575"/>
      <c r="ZX129" s="575"/>
      <c r="ZY129" s="575"/>
      <c r="ZZ129" s="575"/>
      <c r="AAA129" s="575"/>
      <c r="AAB129" s="575"/>
      <c r="AAC129" s="575"/>
      <c r="AAD129" s="575"/>
      <c r="AAE129" s="575"/>
      <c r="AAF129" s="575"/>
      <c r="AAG129" s="575"/>
      <c r="AAH129" s="575"/>
      <c r="AAI129" s="575"/>
      <c r="AAJ129" s="575"/>
      <c r="AAK129" s="575"/>
      <c r="AAL129" s="575"/>
      <c r="AAM129" s="575"/>
      <c r="AAN129" s="575"/>
      <c r="AAO129" s="575"/>
      <c r="AAP129" s="575"/>
      <c r="AAQ129" s="575"/>
      <c r="AAR129" s="575"/>
      <c r="AAS129" s="575"/>
      <c r="AAT129" s="575"/>
      <c r="AAU129" s="575"/>
      <c r="AAV129" s="575"/>
      <c r="AAW129" s="575"/>
      <c r="AAX129" s="575"/>
      <c r="AAY129" s="575"/>
      <c r="AAZ129" s="575"/>
      <c r="ABA129" s="575"/>
      <c r="ABB129" s="575"/>
      <c r="ABC129" s="575"/>
      <c r="ABD129" s="575"/>
      <c r="ABE129" s="575"/>
      <c r="ABF129" s="575"/>
      <c r="ABG129" s="575"/>
      <c r="ABH129" s="575"/>
      <c r="ABI129" s="575"/>
      <c r="ABJ129" s="575"/>
      <c r="ABK129" s="575"/>
      <c r="ABL129" s="575"/>
      <c r="ABM129" s="575"/>
      <c r="ABN129" s="575"/>
      <c r="ABO129" s="575"/>
      <c r="ABP129" s="575"/>
      <c r="ABQ129" s="575"/>
      <c r="ABR129" s="575"/>
      <c r="ABS129" s="575"/>
      <c r="ABT129" s="575"/>
      <c r="ABU129" s="575"/>
      <c r="ABV129" s="575"/>
      <c r="ABW129" s="575"/>
      <c r="ABX129" s="575"/>
      <c r="ABY129" s="575"/>
      <c r="ABZ129" s="575"/>
      <c r="ACA129" s="575"/>
      <c r="ACB129" s="575"/>
      <c r="ACC129" s="575"/>
      <c r="ACD129" s="575"/>
      <c r="ACE129" s="575"/>
      <c r="ACF129" s="575"/>
      <c r="ACG129" s="575"/>
      <c r="ACH129" s="575"/>
      <c r="ACI129" s="575"/>
      <c r="ACJ129" s="575"/>
      <c r="ACK129" s="575"/>
      <c r="ACL129" s="575"/>
      <c r="ACM129" s="575"/>
      <c r="ACN129" s="575"/>
      <c r="ACO129" s="575"/>
      <c r="ACP129" s="575"/>
      <c r="ACQ129" s="575"/>
      <c r="ACR129" s="575"/>
      <c r="ACS129" s="575"/>
      <c r="ACT129" s="575"/>
      <c r="ACU129" s="575"/>
      <c r="ACV129" s="575"/>
      <c r="ACW129" s="575"/>
      <c r="ACX129" s="575"/>
      <c r="ACY129" s="575"/>
      <c r="ACZ129" s="575"/>
      <c r="ADA129" s="575"/>
      <c r="ADB129" s="575"/>
      <c r="ADC129" s="575"/>
      <c r="ADD129" s="575"/>
      <c r="ADE129" s="575"/>
      <c r="ADF129" s="575"/>
      <c r="ADG129" s="575"/>
      <c r="ADH129" s="575"/>
      <c r="ADI129" s="575"/>
      <c r="ADJ129" s="575"/>
      <c r="ADK129" s="575"/>
      <c r="ADL129" s="575"/>
      <c r="ADM129" s="575"/>
      <c r="ADN129" s="575"/>
      <c r="ADO129" s="575"/>
      <c r="ADP129" s="575"/>
      <c r="ADQ129" s="575"/>
      <c r="ADR129" s="575"/>
      <c r="ADS129" s="575"/>
      <c r="ADT129" s="575"/>
      <c r="ADU129" s="575"/>
      <c r="ADV129" s="575"/>
      <c r="ADW129" s="575"/>
      <c r="ADX129" s="575"/>
      <c r="ADY129" s="575"/>
      <c r="ADZ129" s="575"/>
      <c r="AEA129" s="575"/>
      <c r="AEB129" s="575"/>
      <c r="AEC129" s="575"/>
      <c r="AED129" s="575"/>
      <c r="AEE129" s="575"/>
      <c r="AEF129" s="575"/>
      <c r="AEG129" s="575"/>
      <c r="AEH129" s="575"/>
      <c r="AEI129" s="575"/>
      <c r="AEJ129" s="575"/>
      <c r="AEK129" s="575"/>
      <c r="AEL129" s="575"/>
      <c r="AEM129" s="575"/>
      <c r="AEN129" s="575"/>
      <c r="AEO129" s="575"/>
      <c r="AEP129" s="575"/>
      <c r="AEQ129" s="575"/>
      <c r="AER129" s="575"/>
      <c r="AES129" s="575"/>
      <c r="AET129" s="575"/>
      <c r="AEU129" s="575"/>
      <c r="AEV129" s="575"/>
      <c r="AEW129" s="575"/>
      <c r="AEX129" s="575"/>
      <c r="AEY129" s="575"/>
      <c r="AEZ129" s="575"/>
      <c r="AFA129" s="575"/>
      <c r="AFB129" s="575"/>
      <c r="AFC129" s="575"/>
      <c r="AFD129" s="575"/>
      <c r="AFE129" s="575"/>
      <c r="AFF129" s="575"/>
      <c r="AFG129" s="575"/>
      <c r="AFH129" s="575"/>
      <c r="AFI129" s="575"/>
      <c r="AFJ129" s="575"/>
      <c r="AFK129" s="575"/>
      <c r="AFL129" s="575"/>
      <c r="AFM129" s="575"/>
      <c r="AFN129" s="575"/>
      <c r="AFO129" s="575"/>
      <c r="AFP129" s="575"/>
      <c r="AFQ129" s="575"/>
      <c r="AFR129" s="575"/>
      <c r="AFS129" s="575"/>
      <c r="AFT129" s="575"/>
      <c r="AFU129" s="575"/>
      <c r="AFV129" s="575"/>
      <c r="AFW129" s="575"/>
      <c r="AFX129" s="575"/>
      <c r="AFY129" s="575"/>
      <c r="AFZ129" s="575"/>
      <c r="AGA129" s="575"/>
      <c r="AGB129" s="575"/>
      <c r="AGC129" s="575"/>
      <c r="AGD129" s="575"/>
      <c r="AGE129" s="575"/>
      <c r="AGF129" s="575"/>
      <c r="AGG129" s="575"/>
      <c r="AGH129" s="575"/>
      <c r="AGI129" s="575"/>
      <c r="AGJ129" s="575"/>
      <c r="AGK129" s="575"/>
      <c r="AGL129" s="575"/>
      <c r="AGM129" s="575"/>
      <c r="AGN129" s="575"/>
      <c r="AGO129" s="575"/>
      <c r="AGP129" s="575"/>
      <c r="AGQ129" s="575"/>
      <c r="AGR129" s="575"/>
      <c r="AGS129" s="575"/>
      <c r="AGT129" s="575"/>
      <c r="AGU129" s="575"/>
      <c r="AGV129" s="575"/>
      <c r="AGW129" s="575"/>
      <c r="AGX129" s="575"/>
      <c r="AGY129" s="575"/>
      <c r="AGZ129" s="575"/>
      <c r="AHA129" s="575"/>
      <c r="AHB129" s="575"/>
      <c r="AHC129" s="575"/>
      <c r="AHD129" s="575"/>
      <c r="AHE129" s="575"/>
      <c r="AHF129" s="575"/>
      <c r="AHG129" s="575"/>
      <c r="AHH129" s="575"/>
      <c r="AHI129" s="575"/>
      <c r="AHJ129" s="575"/>
      <c r="AHK129" s="575"/>
      <c r="AHL129" s="575"/>
      <c r="AHM129" s="575"/>
      <c r="AHN129" s="575"/>
      <c r="AHO129" s="575"/>
      <c r="AHP129" s="575"/>
      <c r="AHQ129" s="575"/>
      <c r="AHR129" s="575"/>
      <c r="AHS129" s="575"/>
      <c r="AHT129" s="575"/>
      <c r="AHU129" s="575"/>
      <c r="AHV129" s="575"/>
      <c r="AHW129" s="575"/>
      <c r="AHX129" s="575"/>
      <c r="AHY129" s="575"/>
      <c r="AHZ129" s="575"/>
      <c r="AIA129" s="575"/>
      <c r="AIB129" s="575"/>
      <c r="AIC129" s="575"/>
      <c r="AID129" s="575"/>
      <c r="AIE129" s="575"/>
      <c r="AIF129" s="575"/>
      <c r="AIG129" s="575"/>
      <c r="AIH129" s="575"/>
      <c r="AII129" s="575"/>
      <c r="AIJ129" s="575"/>
      <c r="AIK129" s="575"/>
      <c r="AIL129" s="575"/>
      <c r="AIM129" s="575"/>
      <c r="AIN129" s="575"/>
      <c r="AIO129" s="575"/>
      <c r="AIP129" s="575"/>
      <c r="AIQ129" s="575"/>
      <c r="AIR129" s="575"/>
      <c r="AIS129" s="575"/>
      <c r="AIT129" s="575"/>
      <c r="AIU129" s="575"/>
      <c r="AIV129" s="575"/>
      <c r="AIW129" s="575"/>
      <c r="AIX129" s="575"/>
      <c r="AIY129" s="575"/>
      <c r="AIZ129" s="575"/>
      <c r="AJA129" s="575"/>
      <c r="AJB129" s="575"/>
      <c r="AJC129" s="575"/>
      <c r="AJD129" s="575"/>
      <c r="AJE129" s="575"/>
      <c r="AJF129" s="575"/>
      <c r="AJG129" s="575"/>
      <c r="AJH129" s="575"/>
      <c r="AJI129" s="575"/>
      <c r="AJJ129" s="575"/>
      <c r="AJK129" s="575"/>
      <c r="AJL129" s="575"/>
      <c r="AJM129" s="575"/>
      <c r="AJN129" s="575"/>
      <c r="AJO129" s="575"/>
      <c r="AJP129" s="575"/>
      <c r="AJQ129" s="575"/>
      <c r="AJR129" s="575"/>
      <c r="AJS129" s="575"/>
      <c r="AJT129" s="575"/>
      <c r="AJU129" s="575"/>
      <c r="AJV129" s="575"/>
      <c r="AJW129" s="575"/>
      <c r="AJX129" s="575"/>
      <c r="AJY129" s="575"/>
      <c r="AJZ129" s="575"/>
      <c r="AKA129" s="575"/>
      <c r="AKB129" s="575"/>
      <c r="AKC129" s="575"/>
      <c r="AKD129" s="575"/>
      <c r="AKE129" s="575"/>
      <c r="AKF129" s="575"/>
      <c r="AKG129" s="575"/>
      <c r="AKH129" s="575"/>
      <c r="AKI129" s="575"/>
      <c r="AKJ129" s="575"/>
      <c r="AKK129" s="575"/>
      <c r="AKL129" s="575"/>
      <c r="AKM129" s="575"/>
      <c r="AKN129" s="575"/>
      <c r="AKO129" s="575"/>
      <c r="AKP129" s="575"/>
      <c r="AKQ129" s="575"/>
      <c r="AKR129" s="575"/>
      <c r="AKS129" s="575"/>
      <c r="AKT129" s="575"/>
      <c r="AKU129" s="575"/>
      <c r="AKV129" s="575"/>
      <c r="AKW129" s="575"/>
      <c r="AKX129" s="575"/>
      <c r="AKY129" s="575"/>
      <c r="AKZ129" s="575"/>
      <c r="ALA129" s="575"/>
      <c r="ALB129" s="575"/>
      <c r="ALC129" s="575"/>
      <c r="ALD129" s="575"/>
      <c r="ALE129" s="575"/>
      <c r="ALF129" s="575"/>
      <c r="ALG129" s="575"/>
      <c r="ALH129" s="575"/>
      <c r="ALI129" s="575"/>
      <c r="ALJ129" s="575"/>
      <c r="ALK129" s="575"/>
      <c r="ALL129" s="575"/>
      <c r="ALM129" s="575"/>
      <c r="ALN129" s="575"/>
      <c r="ALO129" s="575"/>
      <c r="ALP129" s="575"/>
      <c r="ALQ129" s="575"/>
      <c r="ALR129" s="575"/>
      <c r="ALS129" s="575"/>
      <c r="ALT129" s="575"/>
      <c r="ALU129" s="575"/>
      <c r="ALV129" s="575"/>
      <c r="ALW129" s="575"/>
      <c r="ALX129" s="575"/>
      <c r="ALY129" s="575"/>
      <c r="ALZ129" s="575"/>
      <c r="AMA129" s="575"/>
      <c r="AMB129" s="575"/>
      <c r="AMC129" s="575"/>
      <c r="AMD129" s="575"/>
      <c r="AME129" s="575"/>
      <c r="AMF129" s="575"/>
      <c r="AMG129" s="575"/>
      <c r="AMH129" s="575"/>
      <c r="AMI129" s="575"/>
      <c r="AMJ129" s="575"/>
      <c r="AMK129" s="575"/>
      <c r="AML129" s="575"/>
      <c r="AMM129" s="575"/>
      <c r="AMN129" s="575"/>
      <c r="AMO129" s="575"/>
      <c r="AMP129" s="575"/>
      <c r="AMQ129" s="575"/>
      <c r="AMR129" s="575"/>
      <c r="AMS129" s="575"/>
      <c r="AMT129" s="575"/>
      <c r="AMU129" s="575"/>
      <c r="AMV129" s="575"/>
      <c r="AMW129" s="575"/>
      <c r="AMX129" s="575"/>
      <c r="AMY129" s="575"/>
      <c r="AMZ129" s="575"/>
      <c r="ANA129" s="575"/>
      <c r="ANB129" s="575"/>
      <c r="ANC129" s="575"/>
      <c r="AND129" s="575"/>
      <c r="ANE129" s="575"/>
      <c r="ANF129" s="575"/>
      <c r="ANG129" s="575"/>
      <c r="ANH129" s="575"/>
      <c r="ANI129" s="575"/>
      <c r="ANJ129" s="575"/>
      <c r="ANK129" s="575"/>
      <c r="ANL129" s="575"/>
      <c r="ANM129" s="575"/>
      <c r="ANN129" s="575"/>
      <c r="ANO129" s="575"/>
      <c r="ANP129" s="575"/>
      <c r="ANQ129" s="575"/>
      <c r="ANR129" s="575"/>
      <c r="ANS129" s="575"/>
      <c r="ANT129" s="575"/>
      <c r="ANU129" s="575"/>
      <c r="ANV129" s="575"/>
      <c r="ANW129" s="575"/>
      <c r="ANX129" s="575"/>
      <c r="ANY129" s="575"/>
      <c r="ANZ129" s="575"/>
      <c r="AOA129" s="575"/>
      <c r="AOB129" s="575"/>
      <c r="AOC129" s="575"/>
      <c r="AOD129" s="575"/>
      <c r="AOE129" s="575"/>
      <c r="AOF129" s="575"/>
      <c r="AOG129" s="575"/>
      <c r="AOH129" s="575"/>
      <c r="AOI129" s="575"/>
      <c r="AOJ129" s="575"/>
      <c r="AOK129" s="575"/>
      <c r="AOL129" s="575"/>
      <c r="AOM129" s="575"/>
      <c r="AON129" s="575"/>
      <c r="AOO129" s="575"/>
      <c r="AOP129" s="575"/>
      <c r="AOQ129" s="575"/>
      <c r="AOR129" s="575"/>
      <c r="AOS129" s="575"/>
      <c r="AOT129" s="575"/>
      <c r="AOU129" s="575"/>
      <c r="AOV129" s="575"/>
      <c r="AOW129" s="575"/>
      <c r="AOX129" s="575"/>
      <c r="AOY129" s="575"/>
      <c r="AOZ129" s="575"/>
      <c r="APA129" s="575"/>
      <c r="APB129" s="575"/>
      <c r="APC129" s="575"/>
      <c r="APD129" s="575"/>
      <c r="APE129" s="575"/>
      <c r="APF129" s="575"/>
      <c r="APG129" s="575"/>
      <c r="APH129" s="575"/>
      <c r="API129" s="575"/>
      <c r="APJ129" s="575"/>
      <c r="APK129" s="575"/>
      <c r="APL129" s="575"/>
      <c r="APM129" s="575"/>
      <c r="APN129" s="575"/>
      <c r="APO129" s="575"/>
      <c r="APP129" s="575"/>
      <c r="APQ129" s="575"/>
      <c r="APR129" s="575"/>
      <c r="APS129" s="575"/>
      <c r="APT129" s="575"/>
      <c r="APU129" s="575"/>
      <c r="APV129" s="575"/>
      <c r="APW129" s="575"/>
      <c r="APX129" s="575"/>
      <c r="APY129" s="575"/>
      <c r="APZ129" s="575"/>
      <c r="AQA129" s="575"/>
      <c r="AQB129" s="575"/>
      <c r="AQC129" s="575"/>
      <c r="AQD129" s="575"/>
      <c r="AQE129" s="575"/>
      <c r="AQF129" s="575"/>
      <c r="AQG129" s="575"/>
      <c r="AQH129" s="575"/>
      <c r="AQI129" s="575"/>
      <c r="AQJ129" s="575"/>
      <c r="AQK129" s="575"/>
      <c r="AQL129" s="575"/>
      <c r="AQM129" s="575"/>
      <c r="AQN129" s="575"/>
      <c r="AQO129" s="575"/>
      <c r="AQP129" s="575"/>
      <c r="AQQ129" s="575"/>
      <c r="AQR129" s="575"/>
      <c r="AQS129" s="575"/>
      <c r="AQT129" s="575"/>
      <c r="AQU129" s="575"/>
      <c r="AQV129" s="575"/>
      <c r="AQW129" s="575"/>
      <c r="AQX129" s="575"/>
      <c r="AQY129" s="575"/>
      <c r="AQZ129" s="575"/>
      <c r="ARA129" s="575"/>
      <c r="ARB129" s="575"/>
      <c r="ARC129" s="575"/>
      <c r="ARD129" s="575"/>
      <c r="ARE129" s="575"/>
      <c r="ARF129" s="575"/>
      <c r="ARG129" s="575"/>
      <c r="ARH129" s="575"/>
      <c r="ARI129" s="575"/>
      <c r="ARJ129" s="575"/>
      <c r="ARK129" s="575"/>
      <c r="ARL129" s="575"/>
      <c r="ARM129" s="575"/>
      <c r="ARN129" s="575"/>
      <c r="ARO129" s="575"/>
      <c r="ARP129" s="575"/>
      <c r="ARQ129" s="575"/>
      <c r="ARR129" s="575"/>
      <c r="ARS129" s="575"/>
      <c r="ART129" s="575"/>
      <c r="ARU129" s="575"/>
      <c r="ARV129" s="575"/>
      <c r="ARW129" s="575"/>
      <c r="ARX129" s="575"/>
      <c r="ARY129" s="575"/>
      <c r="ARZ129" s="575"/>
      <c r="ASA129" s="575"/>
      <c r="ASB129" s="575"/>
      <c r="ASC129" s="575"/>
      <c r="ASD129" s="575"/>
      <c r="ASE129" s="575"/>
      <c r="ASF129" s="575"/>
      <c r="ASG129" s="575"/>
      <c r="ASH129" s="575"/>
      <c r="ASI129" s="575"/>
      <c r="ASJ129" s="575"/>
      <c r="ASK129" s="575"/>
      <c r="ASL129" s="575"/>
      <c r="ASM129" s="575"/>
      <c r="ASN129" s="575"/>
      <c r="ASO129" s="575"/>
      <c r="ASP129" s="575"/>
      <c r="ASQ129" s="575"/>
      <c r="ASR129" s="575"/>
      <c r="ASS129" s="575"/>
      <c r="AST129" s="575"/>
      <c r="ASU129" s="575"/>
      <c r="ASV129" s="575"/>
      <c r="ASW129" s="575"/>
      <c r="ASX129" s="575"/>
      <c r="ASY129" s="575"/>
      <c r="ASZ129" s="575"/>
      <c r="ATA129" s="575"/>
      <c r="ATB129" s="575"/>
      <c r="ATC129" s="575"/>
      <c r="ATD129" s="575"/>
      <c r="ATE129" s="575"/>
      <c r="ATF129" s="575"/>
      <c r="ATG129" s="575"/>
      <c r="ATH129" s="575"/>
      <c r="ATI129" s="575"/>
      <c r="ATJ129" s="575"/>
      <c r="ATK129" s="575"/>
      <c r="ATL129" s="575"/>
      <c r="ATM129" s="575"/>
      <c r="ATN129" s="575"/>
      <c r="ATO129" s="575"/>
      <c r="ATP129" s="575"/>
      <c r="ATQ129" s="575"/>
      <c r="ATR129" s="575"/>
      <c r="ATS129" s="575"/>
      <c r="ATT129" s="575"/>
      <c r="ATU129" s="575"/>
      <c r="ATV129" s="575"/>
      <c r="ATW129" s="575"/>
      <c r="ATX129" s="575"/>
      <c r="ATY129" s="575"/>
      <c r="ATZ129" s="575"/>
      <c r="AUA129" s="575"/>
      <c r="AUB129" s="575"/>
      <c r="AUC129" s="575"/>
      <c r="AUD129" s="575"/>
      <c r="AUE129" s="575"/>
      <c r="AUF129" s="575"/>
      <c r="AUG129" s="575"/>
      <c r="AUH129" s="575"/>
      <c r="AUI129" s="575"/>
      <c r="AUJ129" s="575"/>
      <c r="AUK129" s="575"/>
      <c r="AUL129" s="575"/>
      <c r="AUM129" s="575"/>
      <c r="AUN129" s="575"/>
      <c r="AUO129" s="575"/>
      <c r="AUP129" s="575"/>
      <c r="AUQ129" s="575"/>
      <c r="AUR129" s="575"/>
      <c r="AUS129" s="575"/>
      <c r="AUT129" s="575"/>
      <c r="AUU129" s="575"/>
      <c r="AUV129" s="575"/>
      <c r="AUW129" s="575"/>
      <c r="AUX129" s="575"/>
      <c r="AUY129" s="575"/>
      <c r="AUZ129" s="575"/>
      <c r="AVA129" s="575"/>
      <c r="AVB129" s="575"/>
      <c r="AVC129" s="575"/>
      <c r="AVD129" s="575"/>
      <c r="AVE129" s="575"/>
      <c r="AVF129" s="575"/>
      <c r="AVG129" s="575"/>
      <c r="AVH129" s="575"/>
      <c r="AVI129" s="575"/>
      <c r="AVJ129" s="575"/>
      <c r="AVK129" s="575"/>
      <c r="AVL129" s="575"/>
      <c r="AVM129" s="575"/>
      <c r="AVN129" s="575"/>
      <c r="AVO129" s="575"/>
      <c r="AVP129" s="575"/>
      <c r="AVQ129" s="575"/>
      <c r="AVR129" s="575"/>
      <c r="AVS129" s="575"/>
      <c r="AVT129" s="575"/>
      <c r="AVU129" s="575"/>
      <c r="AVV129" s="575"/>
      <c r="AVW129" s="575"/>
      <c r="AVX129" s="575"/>
      <c r="AVY129" s="575"/>
      <c r="AVZ129" s="575"/>
      <c r="AWA129" s="575"/>
      <c r="AWB129" s="575"/>
      <c r="AWC129" s="575"/>
      <c r="AWD129" s="575"/>
      <c r="AWE129" s="575"/>
      <c r="AWF129" s="575"/>
      <c r="AWG129" s="575"/>
      <c r="AWH129" s="575"/>
      <c r="AWI129" s="575"/>
      <c r="AWJ129" s="575"/>
      <c r="AWK129" s="575"/>
      <c r="AWL129" s="575"/>
      <c r="AWM129" s="575"/>
      <c r="AWN129" s="575"/>
      <c r="AWO129" s="575"/>
      <c r="AWP129" s="575"/>
      <c r="AWQ129" s="575"/>
      <c r="AWR129" s="575"/>
      <c r="AWS129" s="575"/>
      <c r="AWT129" s="575"/>
      <c r="AWU129" s="575"/>
      <c r="AWV129" s="575"/>
      <c r="AWW129" s="575"/>
      <c r="AWX129" s="575"/>
      <c r="AWY129" s="575"/>
      <c r="AWZ129" s="575"/>
      <c r="AXA129" s="575"/>
      <c r="AXB129" s="575"/>
      <c r="AXC129" s="575"/>
      <c r="AXD129" s="575"/>
      <c r="AXE129" s="575"/>
      <c r="AXF129" s="575"/>
      <c r="AXG129" s="575"/>
      <c r="AXH129" s="575"/>
      <c r="AXI129" s="575"/>
      <c r="AXJ129" s="575"/>
      <c r="AXK129" s="575"/>
      <c r="AXL129" s="575"/>
      <c r="AXM129" s="575"/>
      <c r="AXN129" s="575"/>
      <c r="AXO129" s="575"/>
      <c r="AXP129" s="575"/>
      <c r="AXQ129" s="575"/>
      <c r="AXR129" s="575"/>
      <c r="AXS129" s="575"/>
      <c r="AXT129" s="575"/>
      <c r="AXU129" s="575"/>
      <c r="AXV129" s="575"/>
      <c r="AXW129" s="575"/>
      <c r="AXX129" s="575"/>
      <c r="AXY129" s="575"/>
      <c r="AXZ129" s="575"/>
      <c r="AYA129" s="575"/>
      <c r="AYB129" s="575"/>
      <c r="AYC129" s="575"/>
      <c r="AYD129" s="575"/>
      <c r="AYE129" s="575"/>
      <c r="AYF129" s="575"/>
      <c r="AYG129" s="575"/>
      <c r="AYH129" s="575"/>
      <c r="AYI129" s="575"/>
      <c r="AYJ129" s="575"/>
      <c r="AYK129" s="575"/>
      <c r="AYL129" s="575"/>
      <c r="AYM129" s="575"/>
      <c r="AYN129" s="575"/>
      <c r="AYO129" s="575"/>
      <c r="AYP129" s="575"/>
      <c r="AYQ129" s="575"/>
      <c r="AYR129" s="575"/>
      <c r="AYS129" s="575"/>
      <c r="AYT129" s="575"/>
      <c r="AYU129" s="575"/>
      <c r="AYV129" s="575"/>
      <c r="AYW129" s="575"/>
      <c r="AYX129" s="575"/>
      <c r="AYY129" s="575"/>
      <c r="AYZ129" s="575"/>
      <c r="AZA129" s="575"/>
      <c r="AZB129" s="575"/>
      <c r="AZC129" s="575"/>
      <c r="AZD129" s="575"/>
      <c r="AZE129" s="575"/>
      <c r="AZF129" s="575"/>
      <c r="AZG129" s="575"/>
      <c r="AZH129" s="575"/>
      <c r="AZI129" s="575"/>
      <c r="AZJ129" s="575"/>
      <c r="AZK129" s="575"/>
      <c r="AZL129" s="575"/>
      <c r="AZM129" s="575"/>
      <c r="AZN129" s="575"/>
      <c r="AZO129" s="575"/>
      <c r="AZP129" s="575"/>
      <c r="AZQ129" s="575"/>
      <c r="AZR129" s="575"/>
      <c r="AZS129" s="575"/>
      <c r="AZT129" s="575"/>
      <c r="AZU129" s="575"/>
      <c r="AZV129" s="575"/>
      <c r="AZW129" s="575"/>
      <c r="AZX129" s="575"/>
      <c r="AZY129" s="575"/>
      <c r="AZZ129" s="575"/>
      <c r="BAA129" s="575"/>
      <c r="BAB129" s="575"/>
      <c r="BAC129" s="575"/>
      <c r="BAD129" s="575"/>
      <c r="BAE129" s="575"/>
      <c r="BAF129" s="575"/>
      <c r="BAG129" s="575"/>
      <c r="BAH129" s="575"/>
      <c r="BAI129" s="575"/>
      <c r="BAJ129" s="575"/>
      <c r="BAK129" s="575"/>
      <c r="BAL129" s="575"/>
      <c r="BAM129" s="575"/>
      <c r="BAN129" s="575"/>
      <c r="BAO129" s="575"/>
      <c r="BAP129" s="575"/>
      <c r="BAQ129" s="575"/>
      <c r="BAR129" s="575"/>
      <c r="BAS129" s="575"/>
      <c r="BAT129" s="575"/>
      <c r="BAU129" s="575"/>
      <c r="BAV129" s="575"/>
      <c r="BAW129" s="575"/>
      <c r="BAX129" s="575"/>
      <c r="BAY129" s="575"/>
      <c r="BAZ129" s="575"/>
      <c r="BBA129" s="575"/>
      <c r="BBB129" s="575"/>
      <c r="BBC129" s="575"/>
      <c r="BBD129" s="575"/>
      <c r="BBE129" s="575"/>
      <c r="BBF129" s="575"/>
      <c r="BBG129" s="575"/>
      <c r="BBH129" s="575"/>
      <c r="BBI129" s="575"/>
      <c r="BBJ129" s="575"/>
      <c r="BBK129" s="575"/>
      <c r="BBL129" s="575"/>
      <c r="BBM129" s="575"/>
      <c r="BBN129" s="575"/>
      <c r="BBO129" s="575"/>
      <c r="BBP129" s="575"/>
      <c r="BBQ129" s="575"/>
      <c r="BBR129" s="575"/>
      <c r="BBS129" s="575"/>
      <c r="BBT129" s="575"/>
      <c r="BBU129" s="575"/>
      <c r="BBV129" s="575"/>
      <c r="BBW129" s="575"/>
      <c r="BBX129" s="575"/>
      <c r="BBY129" s="575"/>
      <c r="BBZ129" s="575"/>
      <c r="BCA129" s="575"/>
      <c r="BCB129" s="575"/>
      <c r="BCC129" s="575"/>
      <c r="BCD129" s="575"/>
      <c r="BCE129" s="575"/>
      <c r="BCF129" s="575"/>
      <c r="BCG129" s="575"/>
      <c r="BCH129" s="575"/>
      <c r="BCI129" s="575"/>
      <c r="BCJ129" s="575"/>
      <c r="BCK129" s="575"/>
      <c r="BCL129" s="575"/>
      <c r="BCM129" s="575"/>
      <c r="BCN129" s="575"/>
      <c r="BCO129" s="575"/>
      <c r="BCP129" s="575"/>
      <c r="BCQ129" s="575"/>
      <c r="BCR129" s="575"/>
      <c r="BCS129" s="575"/>
      <c r="BCT129" s="575"/>
      <c r="BCU129" s="575"/>
      <c r="BCV129" s="575"/>
      <c r="BCW129" s="575"/>
      <c r="BCX129" s="575"/>
      <c r="BCY129" s="575"/>
      <c r="BCZ129" s="575"/>
      <c r="BDA129" s="575"/>
      <c r="BDB129" s="575"/>
      <c r="BDC129" s="575"/>
      <c r="BDD129" s="575"/>
      <c r="BDE129" s="575"/>
      <c r="BDF129" s="575"/>
      <c r="BDG129" s="575"/>
      <c r="BDH129" s="575"/>
      <c r="BDI129" s="575"/>
      <c r="BDJ129" s="575"/>
      <c r="BDK129" s="575"/>
      <c r="BDL129" s="575"/>
      <c r="BDM129" s="575"/>
      <c r="BDN129" s="575"/>
      <c r="BDO129" s="575"/>
      <c r="BDP129" s="575"/>
      <c r="BDQ129" s="575"/>
      <c r="BDR129" s="575"/>
      <c r="BDS129" s="575"/>
      <c r="BDT129" s="575"/>
    </row>
    <row r="130" spans="1:1476" x14ac:dyDescent="0.25">
      <c r="A130" s="608">
        <v>5627</v>
      </c>
      <c r="B130" s="609" t="s">
        <v>220</v>
      </c>
      <c r="C130" s="610">
        <v>10411109.050000001</v>
      </c>
      <c r="D130" s="610">
        <v>721203.07</v>
      </c>
      <c r="E130" s="610"/>
      <c r="F130" s="611"/>
      <c r="G130" s="610">
        <v>941003.75</v>
      </c>
      <c r="H130" s="610">
        <v>169582.1</v>
      </c>
      <c r="I130" s="610"/>
      <c r="J130" s="610">
        <v>1043045.66</v>
      </c>
      <c r="K130" s="610">
        <v>343110.65</v>
      </c>
      <c r="L130" s="610">
        <v>1731077.1</v>
      </c>
      <c r="M130" s="434">
        <f t="shared" si="4"/>
        <v>15360131.380000001</v>
      </c>
      <c r="N130" s="612">
        <v>448239.95</v>
      </c>
      <c r="O130" s="612">
        <v>273706.7</v>
      </c>
      <c r="P130" s="612">
        <v>1097686.5</v>
      </c>
      <c r="Q130" s="612">
        <v>70635.490000000005</v>
      </c>
      <c r="R130" s="612">
        <v>344514.55</v>
      </c>
      <c r="S130" s="610">
        <v>116061.92</v>
      </c>
      <c r="T130" s="543">
        <f t="shared" si="5"/>
        <v>17710976.490000002</v>
      </c>
      <c r="U130" s="575">
        <v>-344405.42</v>
      </c>
      <c r="V130" s="612"/>
      <c r="W130" s="612">
        <v>-1864.13</v>
      </c>
      <c r="X130" s="624">
        <v>77.5</v>
      </c>
      <c r="Y130" s="631">
        <v>1.5</v>
      </c>
      <c r="Z130" s="628">
        <f>VLOOKUP(A130,'[2]2022 toutes communes'!$B$9:$D$317,3,FALSE)</f>
        <v>8725</v>
      </c>
      <c r="AA130" s="617"/>
      <c r="AB130" s="618">
        <v>400101</v>
      </c>
      <c r="AC130" s="547">
        <f>AB130/VPI!R130</f>
        <v>2.1204059480688278</v>
      </c>
      <c r="AD130" s="548">
        <f t="shared" si="6"/>
        <v>751721</v>
      </c>
      <c r="AE130" s="547">
        <f>AD130/VPI!R130</f>
        <v>3.983878269957454</v>
      </c>
      <c r="AF130" s="618">
        <v>1151822</v>
      </c>
      <c r="AG130" s="618">
        <v>3449366</v>
      </c>
      <c r="AH130" s="618">
        <v>3708</v>
      </c>
      <c r="AI130" s="627"/>
      <c r="AJ130" s="628">
        <v>0</v>
      </c>
      <c r="AK130" s="547">
        <f>AJ130/VPI!R130</f>
        <v>0</v>
      </c>
      <c r="AL130" s="548">
        <f t="shared" si="7"/>
        <v>11346</v>
      </c>
      <c r="AM130" s="547">
        <f>AL130/VPI!R130</f>
        <v>6.0130131858677979E-2</v>
      </c>
      <c r="AN130" s="628">
        <v>11346</v>
      </c>
      <c r="AO130" s="627"/>
      <c r="AP130" s="629">
        <v>-18.604475147736416</v>
      </c>
      <c r="AR130" s="630">
        <v>1</v>
      </c>
    </row>
    <row r="131" spans="1:1476" x14ac:dyDescent="0.25">
      <c r="A131" s="608">
        <v>5628</v>
      </c>
      <c r="B131" s="609" t="s">
        <v>221</v>
      </c>
      <c r="C131" s="610">
        <v>1576307.52</v>
      </c>
      <c r="D131" s="610"/>
      <c r="E131" s="610"/>
      <c r="F131" s="611"/>
      <c r="G131" s="610">
        <v>7491.75</v>
      </c>
      <c r="H131" s="610">
        <v>1858.35</v>
      </c>
      <c r="I131" s="610"/>
      <c r="J131" s="610">
        <v>21662.06</v>
      </c>
      <c r="K131" s="610">
        <v>859.5</v>
      </c>
      <c r="L131" s="610">
        <v>110279.5</v>
      </c>
      <c r="M131" s="434">
        <f t="shared" si="4"/>
        <v>1718458.6800000002</v>
      </c>
      <c r="N131" s="612">
        <v>811.3</v>
      </c>
      <c r="O131" s="612">
        <v>0</v>
      </c>
      <c r="P131" s="612">
        <v>50682.3</v>
      </c>
      <c r="Q131" s="612">
        <v>0</v>
      </c>
      <c r="R131" s="612">
        <v>146560.5</v>
      </c>
      <c r="S131" s="610">
        <v>977.13</v>
      </c>
      <c r="T131" s="543">
        <f t="shared" si="5"/>
        <v>1917489.9100000001</v>
      </c>
      <c r="U131" s="575">
        <v>-4830.5</v>
      </c>
      <c r="V131" s="612"/>
      <c r="W131" s="612">
        <v>-1707.8</v>
      </c>
      <c r="X131" s="624">
        <v>62</v>
      </c>
      <c r="Y131" s="631">
        <v>1</v>
      </c>
      <c r="Z131" s="628">
        <f>VLOOKUP(A131,'[2]2022 toutes communes'!$B$9:$D$317,3,FALSE)</f>
        <v>419</v>
      </c>
      <c r="AA131" s="617"/>
      <c r="AB131" s="618">
        <v>0</v>
      </c>
      <c r="AC131" s="547">
        <f>AB131/VPI!R131</f>
        <v>0</v>
      </c>
      <c r="AD131" s="548">
        <f t="shared" si="6"/>
        <v>31015</v>
      </c>
      <c r="AE131" s="547">
        <f>AD131/VPI!R131</f>
        <v>1.1226182470193444</v>
      </c>
      <c r="AF131" s="618">
        <v>31015</v>
      </c>
      <c r="AG131" s="618">
        <v>39751</v>
      </c>
      <c r="AH131" s="618">
        <v>31188</v>
      </c>
      <c r="AI131" s="627"/>
      <c r="AJ131" s="628">
        <v>0</v>
      </c>
      <c r="AK131" s="547">
        <f>AJ131/VPI!R131</f>
        <v>0</v>
      </c>
      <c r="AL131" s="548">
        <f t="shared" si="7"/>
        <v>3108</v>
      </c>
      <c r="AM131" s="547">
        <f>AL131/VPI!R131</f>
        <v>0.11249709855670233</v>
      </c>
      <c r="AN131" s="628">
        <v>3108</v>
      </c>
      <c r="AO131" s="627"/>
      <c r="AP131" s="629">
        <v>32.416378277294953</v>
      </c>
      <c r="AR131" s="630">
        <v>0</v>
      </c>
    </row>
    <row r="132" spans="1:1476" x14ac:dyDescent="0.25">
      <c r="A132" s="608">
        <v>5629</v>
      </c>
      <c r="B132" s="609" t="s">
        <v>134</v>
      </c>
      <c r="C132" s="610">
        <v>593500.59</v>
      </c>
      <c r="D132" s="610">
        <v>57429.81</v>
      </c>
      <c r="E132" s="610"/>
      <c r="F132" s="611"/>
      <c r="G132" s="610">
        <v>18773.349999999999</v>
      </c>
      <c r="H132" s="610">
        <v>413.25</v>
      </c>
      <c r="I132" s="610"/>
      <c r="J132" s="610">
        <v>7142.14</v>
      </c>
      <c r="K132" s="610">
        <v>386.55</v>
      </c>
      <c r="L132" s="610">
        <v>38891.550000000003</v>
      </c>
      <c r="M132" s="434">
        <f t="shared" si="4"/>
        <v>716537.24</v>
      </c>
      <c r="N132" s="612">
        <v>1329.8</v>
      </c>
      <c r="O132" s="612">
        <v>3323.1</v>
      </c>
      <c r="P132" s="612">
        <v>18315</v>
      </c>
      <c r="Q132" s="612"/>
      <c r="R132" s="612">
        <v>9695.5</v>
      </c>
      <c r="S132" s="610">
        <v>2005.1</v>
      </c>
      <c r="T132" s="543">
        <f t="shared" si="5"/>
        <v>751205.74</v>
      </c>
      <c r="U132" s="575">
        <v>-1080.8399999999999</v>
      </c>
      <c r="V132" s="612"/>
      <c r="W132" s="612">
        <v>0</v>
      </c>
      <c r="X132" s="624">
        <v>72</v>
      </c>
      <c r="Y132" s="631">
        <v>1</v>
      </c>
      <c r="Z132" s="628">
        <f>VLOOKUP(A132,'[2]2022 toutes communes'!$B$9:$D$317,3,FALSE)</f>
        <v>213</v>
      </c>
      <c r="AA132" s="617"/>
      <c r="AB132" s="618">
        <v>57945</v>
      </c>
      <c r="AC132" s="547">
        <f>AB132/VPI!R132</f>
        <v>5.8150019199636498</v>
      </c>
      <c r="AD132" s="548">
        <f t="shared" si="6"/>
        <v>55570</v>
      </c>
      <c r="AE132" s="547">
        <f>AD132/VPI!R132</f>
        <v>5.5766616048387272</v>
      </c>
      <c r="AF132" s="618">
        <v>113515</v>
      </c>
      <c r="AG132" s="618">
        <v>8284</v>
      </c>
      <c r="AH132" s="618">
        <v>28884</v>
      </c>
      <c r="AI132" s="627"/>
      <c r="AJ132" s="628">
        <v>0</v>
      </c>
      <c r="AK132" s="547">
        <f>AJ132/VPI!R132</f>
        <v>0</v>
      </c>
      <c r="AL132" s="548">
        <f t="shared" si="7"/>
        <v>443</v>
      </c>
      <c r="AM132" s="547">
        <f>AL132/VPI!R132</f>
        <v>4.4456740884354078E-2</v>
      </c>
      <c r="AN132" s="628">
        <v>443</v>
      </c>
      <c r="AO132" s="627"/>
      <c r="AP132" s="629">
        <v>27.636928599741729</v>
      </c>
      <c r="AR132" s="630">
        <v>0</v>
      </c>
    </row>
    <row r="133" spans="1:1476" x14ac:dyDescent="0.25">
      <c r="A133" s="608">
        <v>5631</v>
      </c>
      <c r="B133" s="609" t="s">
        <v>135</v>
      </c>
      <c r="C133" s="610">
        <v>2090716.09</v>
      </c>
      <c r="D133" s="610">
        <v>415488.77</v>
      </c>
      <c r="E133" s="610"/>
      <c r="F133" s="611"/>
      <c r="G133" s="610">
        <v>-16128.9</v>
      </c>
      <c r="H133" s="610">
        <v>3295.5</v>
      </c>
      <c r="I133" s="610">
        <v>184625.8</v>
      </c>
      <c r="J133" s="610">
        <v>-38180.25</v>
      </c>
      <c r="K133" s="610">
        <v>-2036.35</v>
      </c>
      <c r="L133" s="610">
        <v>221495.85</v>
      </c>
      <c r="M133" s="434">
        <f t="shared" si="4"/>
        <v>2859276.5100000002</v>
      </c>
      <c r="N133" s="612">
        <v>1062.3</v>
      </c>
      <c r="O133" s="612">
        <v>1656.1</v>
      </c>
      <c r="P133" s="612">
        <v>149679.79999999999</v>
      </c>
      <c r="Q133" s="612">
        <v>33.72</v>
      </c>
      <c r="R133" s="612">
        <v>127407.75</v>
      </c>
      <c r="S133" s="610">
        <v>-1341.16</v>
      </c>
      <c r="T133" s="543">
        <f t="shared" si="5"/>
        <v>3137775.02</v>
      </c>
      <c r="U133" s="575">
        <v>-21275.119999999999</v>
      </c>
      <c r="V133" s="612"/>
      <c r="W133" s="612">
        <v>-1480.83</v>
      </c>
      <c r="X133" s="624">
        <v>68</v>
      </c>
      <c r="Y133" s="631">
        <v>1</v>
      </c>
      <c r="Z133" s="628">
        <f>VLOOKUP(A133,'[2]2022 toutes communes'!$B$9:$D$317,3,FALSE)</f>
        <v>715</v>
      </c>
      <c r="AA133" s="617"/>
      <c r="AB133" s="618">
        <v>0</v>
      </c>
      <c r="AC133" s="547">
        <f>AB133/VPI!R133</f>
        <v>0</v>
      </c>
      <c r="AD133" s="548">
        <f t="shared" si="6"/>
        <v>119615</v>
      </c>
      <c r="AE133" s="547">
        <f>AD133/VPI!R133</f>
        <v>2.8688566452457724</v>
      </c>
      <c r="AF133" s="618">
        <v>119615</v>
      </c>
      <c r="AG133" s="618">
        <v>43167</v>
      </c>
      <c r="AH133" s="618">
        <v>81682</v>
      </c>
      <c r="AI133" s="627"/>
      <c r="AJ133" s="628">
        <v>0</v>
      </c>
      <c r="AK133" s="547">
        <f>AJ133/VPI!R133</f>
        <v>0</v>
      </c>
      <c r="AL133" s="548">
        <f t="shared" si="7"/>
        <v>-790</v>
      </c>
      <c r="AM133" s="547">
        <f>AL133/VPI!R133</f>
        <v>-1.8947429250045229E-2</v>
      </c>
      <c r="AN133" s="628">
        <v>-790</v>
      </c>
      <c r="AO133" s="627"/>
      <c r="AP133" s="629">
        <v>31.310099306135992</v>
      </c>
      <c r="AR133" s="630">
        <v>0</v>
      </c>
    </row>
    <row r="134" spans="1:1476" x14ac:dyDescent="0.25">
      <c r="A134" s="608">
        <v>5632</v>
      </c>
      <c r="B134" s="609" t="s">
        <v>136</v>
      </c>
      <c r="C134" s="610">
        <v>3556874.3</v>
      </c>
      <c r="D134" s="610">
        <v>606104.28</v>
      </c>
      <c r="E134" s="610"/>
      <c r="F134" s="611"/>
      <c r="G134" s="610">
        <v>238783.75</v>
      </c>
      <c r="H134" s="610">
        <v>10588.95</v>
      </c>
      <c r="I134" s="610"/>
      <c r="J134" s="610">
        <v>240064.74</v>
      </c>
      <c r="K134" s="610">
        <v>43382.95</v>
      </c>
      <c r="L134" s="610">
        <v>377997.9</v>
      </c>
      <c r="M134" s="434">
        <f t="shared" si="4"/>
        <v>5073796.870000001</v>
      </c>
      <c r="N134" s="612">
        <v>124686.15</v>
      </c>
      <c r="O134" s="612">
        <v>149058.9</v>
      </c>
      <c r="P134" s="612">
        <v>253256.8</v>
      </c>
      <c r="Q134" s="612">
        <v>319.43</v>
      </c>
      <c r="R134" s="612">
        <v>201687.7</v>
      </c>
      <c r="S134" s="610">
        <v>25943.8</v>
      </c>
      <c r="T134" s="543">
        <f t="shared" si="5"/>
        <v>5828749.6500000013</v>
      </c>
      <c r="U134" s="575">
        <v>-34863.69</v>
      </c>
      <c r="V134" s="612"/>
      <c r="W134" s="612">
        <v>-3359.45</v>
      </c>
      <c r="X134" s="624">
        <v>62</v>
      </c>
      <c r="Y134" s="631">
        <v>1</v>
      </c>
      <c r="Z134" s="628">
        <f>VLOOKUP(A134,'[2]2022 toutes communes'!$B$9:$D$317,3,FALSE)</f>
        <v>1778</v>
      </c>
      <c r="AA134" s="617"/>
      <c r="AB134" s="618">
        <v>3912</v>
      </c>
      <c r="AC134" s="547">
        <f>AB134/VPI!R134</f>
        <v>4.7916201552252284E-2</v>
      </c>
      <c r="AD134" s="548">
        <f t="shared" si="6"/>
        <v>207795</v>
      </c>
      <c r="AE134" s="547">
        <f>AD134/VPI!R134</f>
        <v>2.5451807519300265</v>
      </c>
      <c r="AF134" s="618">
        <v>211707</v>
      </c>
      <c r="AG134" s="618">
        <f>633498-7799-7799</f>
        <v>617900</v>
      </c>
      <c r="AH134" s="618">
        <v>54842</v>
      </c>
      <c r="AI134" s="627"/>
      <c r="AJ134" s="628">
        <v>0</v>
      </c>
      <c r="AK134" s="547">
        <f>AJ134/VPI!R134</f>
        <v>0</v>
      </c>
      <c r="AL134" s="548">
        <f t="shared" si="7"/>
        <v>1047</v>
      </c>
      <c r="AM134" s="547">
        <f>AL134/VPI!R134</f>
        <v>1.2824198114828258E-2</v>
      </c>
      <c r="AN134" s="628">
        <v>1047</v>
      </c>
      <c r="AO134" s="627"/>
      <c r="AP134" s="629">
        <v>25.336604270426928</v>
      </c>
      <c r="AR134" s="630">
        <v>0</v>
      </c>
    </row>
    <row r="135" spans="1:1476" x14ac:dyDescent="0.25">
      <c r="A135" s="608">
        <v>5633</v>
      </c>
      <c r="B135" s="609" t="s">
        <v>137</v>
      </c>
      <c r="C135" s="610">
        <v>5860041.6799999997</v>
      </c>
      <c r="D135" s="610">
        <v>1849324.47</v>
      </c>
      <c r="E135" s="610"/>
      <c r="F135" s="611"/>
      <c r="G135" s="610">
        <v>416259.75</v>
      </c>
      <c r="H135" s="610">
        <v>77853</v>
      </c>
      <c r="I135" s="610"/>
      <c r="J135" s="610">
        <v>209258.7</v>
      </c>
      <c r="K135" s="610">
        <v>12737.45</v>
      </c>
      <c r="L135" s="610">
        <v>690714.4</v>
      </c>
      <c r="M135" s="434">
        <f t="shared" ref="M135:M198" si="8">SUM(C135:L135)</f>
        <v>9116189.4499999993</v>
      </c>
      <c r="N135" s="612">
        <v>142644.15</v>
      </c>
      <c r="O135" s="612">
        <v>148192.9</v>
      </c>
      <c r="P135" s="612">
        <v>625375.4</v>
      </c>
      <c r="Q135" s="612">
        <v>-8001.33</v>
      </c>
      <c r="R135" s="612">
        <v>251776.5</v>
      </c>
      <c r="S135" s="610">
        <v>51637.32</v>
      </c>
      <c r="T135" s="543">
        <f t="shared" ref="T135:T198" si="9">SUM(M135:S135)</f>
        <v>10327814.390000001</v>
      </c>
      <c r="U135" s="575">
        <v>-72342.539999999994</v>
      </c>
      <c r="V135" s="612"/>
      <c r="W135" s="612">
        <v>-22444.35</v>
      </c>
      <c r="X135" s="624">
        <v>60.5</v>
      </c>
      <c r="Y135" s="631">
        <v>1</v>
      </c>
      <c r="Z135" s="628">
        <f>VLOOKUP(A135,'[2]2022 toutes communes'!$B$9:$D$317,3,FALSE)</f>
        <v>2891</v>
      </c>
      <c r="AA135" s="617"/>
      <c r="AB135" s="618">
        <v>346758</v>
      </c>
      <c r="AC135" s="547">
        <f>AB135/VPI!R135</f>
        <v>2.314260318286236</v>
      </c>
      <c r="AD135" s="548">
        <f t="shared" ref="AD135:AD198" si="10">AF135-AB135</f>
        <v>811647</v>
      </c>
      <c r="AE135" s="547">
        <f>AD135/VPI!R135</f>
        <v>5.4169260537783375</v>
      </c>
      <c r="AF135" s="618">
        <v>1158405</v>
      </c>
      <c r="AG135" s="618">
        <f>1099017-(14923*2)</f>
        <v>1069171</v>
      </c>
      <c r="AH135" s="618">
        <v>97740</v>
      </c>
      <c r="AI135" s="627"/>
      <c r="AJ135" s="628">
        <v>0</v>
      </c>
      <c r="AK135" s="547">
        <f>AJ135/VPI!R135</f>
        <v>0</v>
      </c>
      <c r="AL135" s="548">
        <f t="shared" ref="AL135:AL198" si="11">AN135-AJ135</f>
        <v>8617</v>
      </c>
      <c r="AM135" s="547">
        <f>AL135/VPI!R135</f>
        <v>5.7509794042740169E-2</v>
      </c>
      <c r="AN135" s="628">
        <v>8617</v>
      </c>
      <c r="AO135" s="627"/>
      <c r="AP135" s="629">
        <v>29.193563209628181</v>
      </c>
      <c r="AR135" s="630">
        <v>0</v>
      </c>
    </row>
    <row r="136" spans="1:1476" x14ac:dyDescent="0.25">
      <c r="A136" s="608">
        <v>5634</v>
      </c>
      <c r="B136" s="609" t="s">
        <v>138</v>
      </c>
      <c r="C136" s="610">
        <v>9260401.5600000005</v>
      </c>
      <c r="D136" s="610">
        <v>1945097.98</v>
      </c>
      <c r="E136" s="610"/>
      <c r="F136" s="611"/>
      <c r="G136" s="610">
        <v>63667.1</v>
      </c>
      <c r="H136" s="610">
        <v>13042.95</v>
      </c>
      <c r="I136" s="610">
        <v>31390.35</v>
      </c>
      <c r="J136" s="610">
        <v>89514.71</v>
      </c>
      <c r="K136" s="610">
        <v>27518.25</v>
      </c>
      <c r="L136" s="610">
        <v>761438.6</v>
      </c>
      <c r="M136" s="434">
        <f t="shared" si="8"/>
        <v>12192071.5</v>
      </c>
      <c r="N136" s="612">
        <v>61138.1</v>
      </c>
      <c r="O136" s="612">
        <v>976200.8</v>
      </c>
      <c r="P136" s="612">
        <v>379080.7</v>
      </c>
      <c r="Q136" s="612">
        <v>243.8</v>
      </c>
      <c r="R136" s="612">
        <v>449542.7</v>
      </c>
      <c r="S136" s="610">
        <v>8016.59</v>
      </c>
      <c r="T136" s="543">
        <f t="shared" si="9"/>
        <v>14066294.189999999</v>
      </c>
      <c r="U136" s="575">
        <v>-102104.03</v>
      </c>
      <c r="V136" s="612"/>
      <c r="W136" s="612">
        <v>-11144</v>
      </c>
      <c r="X136" s="624">
        <v>66</v>
      </c>
      <c r="Y136" s="631">
        <v>1</v>
      </c>
      <c r="Z136" s="628">
        <f>VLOOKUP(A136,'[2]2022 toutes communes'!$B$9:$D$317,3,FALSE)</f>
        <v>3211</v>
      </c>
      <c r="AA136" s="617"/>
      <c r="AB136" s="618">
        <v>308709</v>
      </c>
      <c r="AC136" s="547">
        <f>AB136/VPI!R136</f>
        <v>1.6856666368822559</v>
      </c>
      <c r="AD136" s="548">
        <f t="shared" si="10"/>
        <v>234022</v>
      </c>
      <c r="AE136" s="547">
        <f>AD136/VPI!R136</f>
        <v>1.2778476743355693</v>
      </c>
      <c r="AF136" s="618">
        <v>542731</v>
      </c>
      <c r="AG136" s="618">
        <f>870545-(45947*2)-38701</f>
        <v>739950</v>
      </c>
      <c r="AH136" s="618">
        <v>267291</v>
      </c>
      <c r="AI136" s="627"/>
      <c r="AJ136" s="628">
        <v>0</v>
      </c>
      <c r="AK136" s="547">
        <f>AJ136/VPI!R136</f>
        <v>0</v>
      </c>
      <c r="AL136" s="548">
        <f t="shared" si="11"/>
        <v>19371</v>
      </c>
      <c r="AM136" s="547">
        <f>AL136/VPI!R136</f>
        <v>0.10577290724613204</v>
      </c>
      <c r="AN136" s="628">
        <v>19371</v>
      </c>
      <c r="AO136" s="627"/>
      <c r="AP136" s="629">
        <v>25.035936429124895</v>
      </c>
      <c r="AR136" s="630">
        <v>0</v>
      </c>
    </row>
    <row r="137" spans="1:1476" x14ac:dyDescent="0.25">
      <c r="A137" s="608">
        <v>5635</v>
      </c>
      <c r="B137" s="609" t="s">
        <v>139</v>
      </c>
      <c r="C137" s="610">
        <v>19273622.510000002</v>
      </c>
      <c r="D137" s="610">
        <v>2956306.99</v>
      </c>
      <c r="E137" s="610"/>
      <c r="F137" s="611"/>
      <c r="G137" s="610">
        <v>3774914.85</v>
      </c>
      <c r="H137" s="610">
        <v>972171.8</v>
      </c>
      <c r="I137" s="610"/>
      <c r="J137" s="610">
        <v>1797106.7</v>
      </c>
      <c r="K137" s="610">
        <v>595772.35</v>
      </c>
      <c r="L137" s="610">
        <v>3214275.25</v>
      </c>
      <c r="M137" s="434">
        <f t="shared" si="8"/>
        <v>32584170.450000003</v>
      </c>
      <c r="N137" s="612">
        <v>1479159.55</v>
      </c>
      <c r="O137" s="612">
        <v>576265.80000000005</v>
      </c>
      <c r="P137" s="612">
        <v>2060246.7</v>
      </c>
      <c r="Q137" s="612">
        <v>101600.35</v>
      </c>
      <c r="R137" s="612">
        <v>1050738.45</v>
      </c>
      <c r="S137" s="610">
        <v>496094.93</v>
      </c>
      <c r="T137" s="543">
        <f t="shared" si="9"/>
        <v>38348276.230000004</v>
      </c>
      <c r="U137" s="575">
        <v>-334886.88</v>
      </c>
      <c r="V137" s="612"/>
      <c r="W137" s="612">
        <v>-50924.25</v>
      </c>
      <c r="X137" s="624">
        <v>62.5</v>
      </c>
      <c r="Y137" s="631">
        <v>1.2</v>
      </c>
      <c r="Z137" s="628">
        <f>VLOOKUP(A137,'[2]2022 toutes communes'!$B$9:$D$317,3,FALSE)</f>
        <v>13129</v>
      </c>
      <c r="AA137" s="617"/>
      <c r="AB137" s="618">
        <v>890977</v>
      </c>
      <c r="AC137" s="547">
        <f>AB137/VPI!R137</f>
        <v>1.7261460650140705</v>
      </c>
      <c r="AD137" s="548">
        <f t="shared" si="10"/>
        <v>2840212</v>
      </c>
      <c r="AE137" s="547">
        <f>AD137/VPI!R137</f>
        <v>5.5025222509736427</v>
      </c>
      <c r="AF137" s="618">
        <v>3731189</v>
      </c>
      <c r="AG137" s="618">
        <v>5194989</v>
      </c>
      <c r="AH137" s="618">
        <v>159679</v>
      </c>
      <c r="AI137" s="627"/>
      <c r="AJ137" s="628">
        <v>0</v>
      </c>
      <c r="AK137" s="547">
        <f>AJ137/VPI!R137</f>
        <v>0</v>
      </c>
      <c r="AL137" s="548">
        <f t="shared" si="11"/>
        <v>145346</v>
      </c>
      <c r="AM137" s="547">
        <f>AL137/VPI!R137</f>
        <v>0.28158799381525573</v>
      </c>
      <c r="AN137" s="628">
        <v>145346</v>
      </c>
      <c r="AO137" s="627"/>
      <c r="AP137" s="629">
        <v>25.802334834925311</v>
      </c>
      <c r="AR137" s="630">
        <v>1</v>
      </c>
    </row>
    <row r="138" spans="1:1476" x14ac:dyDescent="0.25">
      <c r="A138" s="608">
        <v>5636</v>
      </c>
      <c r="B138" s="609" t="s">
        <v>140</v>
      </c>
      <c r="C138" s="610">
        <v>6196968.7699999996</v>
      </c>
      <c r="D138" s="610">
        <v>1008985.86</v>
      </c>
      <c r="E138" s="610"/>
      <c r="F138" s="611"/>
      <c r="G138" s="610">
        <v>1852769</v>
      </c>
      <c r="H138" s="610">
        <v>314671.59999999998</v>
      </c>
      <c r="I138" s="610">
        <v>-30375.35</v>
      </c>
      <c r="J138" s="610">
        <v>466665.45</v>
      </c>
      <c r="K138" s="610">
        <v>227402.65</v>
      </c>
      <c r="L138" s="610">
        <v>1234985.1499999999</v>
      </c>
      <c r="M138" s="434">
        <f t="shared" si="8"/>
        <v>11272073.129999999</v>
      </c>
      <c r="N138" s="612">
        <v>642974.15</v>
      </c>
      <c r="O138" s="612">
        <v>546951.9</v>
      </c>
      <c r="P138" s="612">
        <v>698026.15</v>
      </c>
      <c r="Q138" s="612">
        <v>26419.23</v>
      </c>
      <c r="R138" s="612">
        <v>218410.7</v>
      </c>
      <c r="S138" s="610">
        <v>226508.67</v>
      </c>
      <c r="T138" s="543">
        <f t="shared" si="9"/>
        <v>13631363.93</v>
      </c>
      <c r="U138" s="575">
        <v>-153262.98000000001</v>
      </c>
      <c r="V138" s="612"/>
      <c r="W138" s="612">
        <v>-4237.0200000000004</v>
      </c>
      <c r="X138" s="624">
        <v>60</v>
      </c>
      <c r="Y138" s="631">
        <v>1</v>
      </c>
      <c r="Z138" s="628">
        <f>VLOOKUP(A138,'[2]2022 toutes communes'!$B$9:$D$317,3,FALSE)</f>
        <v>2938</v>
      </c>
      <c r="AA138" s="617"/>
      <c r="AB138" s="618">
        <v>57307</v>
      </c>
      <c r="AC138" s="547">
        <f>AB138/VPI!R138</f>
        <v>0.3024780900327747</v>
      </c>
      <c r="AD138" s="548">
        <f t="shared" si="10"/>
        <v>500946</v>
      </c>
      <c r="AE138" s="547">
        <f>AD138/VPI!R138</f>
        <v>2.6440956478189115</v>
      </c>
      <c r="AF138" s="618">
        <v>558253</v>
      </c>
      <c r="AG138" s="618">
        <v>286403</v>
      </c>
      <c r="AH138" s="618">
        <v>311828</v>
      </c>
      <c r="AI138" s="627"/>
      <c r="AJ138" s="628">
        <v>0</v>
      </c>
      <c r="AK138" s="547">
        <f>AJ138/VPI!R138</f>
        <v>0</v>
      </c>
      <c r="AL138" s="548">
        <f t="shared" si="11"/>
        <v>15654</v>
      </c>
      <c r="AM138" s="547">
        <f>AL138/VPI!R138</f>
        <v>8.2625020004066796E-2</v>
      </c>
      <c r="AN138" s="628">
        <v>15654</v>
      </c>
      <c r="AO138" s="627"/>
      <c r="AP138" s="629">
        <v>30.11019375937699</v>
      </c>
      <c r="AR138" s="630">
        <v>0</v>
      </c>
    </row>
    <row r="139" spans="1:1476" x14ac:dyDescent="0.25">
      <c r="A139" s="608">
        <v>5637</v>
      </c>
      <c r="B139" s="609" t="s">
        <v>141</v>
      </c>
      <c r="C139" s="610">
        <v>2056519.43</v>
      </c>
      <c r="D139" s="610">
        <v>260001.07</v>
      </c>
      <c r="E139" s="610"/>
      <c r="F139" s="611"/>
      <c r="G139" s="610">
        <v>44218.15</v>
      </c>
      <c r="H139" s="610">
        <v>1988.55</v>
      </c>
      <c r="I139" s="610"/>
      <c r="J139" s="610">
        <v>129469.89</v>
      </c>
      <c r="K139" s="610">
        <v>8415.35</v>
      </c>
      <c r="L139" s="610">
        <v>299425.5</v>
      </c>
      <c r="M139" s="434">
        <f t="shared" si="8"/>
        <v>2800037.94</v>
      </c>
      <c r="N139" s="612">
        <v>298364.55</v>
      </c>
      <c r="O139" s="612">
        <v>33358.9</v>
      </c>
      <c r="P139" s="612">
        <v>109515.5</v>
      </c>
      <c r="Q139" s="612">
        <v>610.61</v>
      </c>
      <c r="R139" s="612">
        <v>64010.3</v>
      </c>
      <c r="S139" s="610">
        <v>4828.84</v>
      </c>
      <c r="T139" s="543">
        <f t="shared" si="9"/>
        <v>3310726.6399999992</v>
      </c>
      <c r="U139" s="575">
        <v>-55283.46</v>
      </c>
      <c r="V139" s="612"/>
      <c r="W139" s="612">
        <v>-937.31</v>
      </c>
      <c r="X139" s="624">
        <v>73</v>
      </c>
      <c r="Y139" s="631">
        <v>1.5</v>
      </c>
      <c r="Z139" s="628">
        <f>VLOOKUP(A139,'[2]2022 toutes communes'!$B$9:$D$317,3,FALSE)</f>
        <v>1038</v>
      </c>
      <c r="AA139" s="617"/>
      <c r="AB139" s="618">
        <v>15996</v>
      </c>
      <c r="AC139" s="547">
        <f>AB139/VPI!R139</f>
        <v>0.44073631454991458</v>
      </c>
      <c r="AD139" s="548">
        <f t="shared" si="10"/>
        <v>472544</v>
      </c>
      <c r="AE139" s="547">
        <f>AD139/VPI!R139</f>
        <v>13.019961304243239</v>
      </c>
      <c r="AF139" s="618">
        <v>488540</v>
      </c>
      <c r="AG139" s="618">
        <v>40281</v>
      </c>
      <c r="AH139" s="618">
        <v>122837</v>
      </c>
      <c r="AI139" s="627"/>
      <c r="AJ139" s="628">
        <v>0</v>
      </c>
      <c r="AK139" s="547">
        <f>AJ139/VPI!R139</f>
        <v>0</v>
      </c>
      <c r="AL139" s="548">
        <f t="shared" si="11"/>
        <v>2299</v>
      </c>
      <c r="AM139" s="547">
        <f>AL139/VPI!R139</f>
        <v>6.3344135230698526E-2</v>
      </c>
      <c r="AN139" s="628">
        <v>2299</v>
      </c>
      <c r="AO139" s="627"/>
      <c r="AP139" s="629">
        <v>20.723978510820064</v>
      </c>
      <c r="AR139" s="630">
        <v>0</v>
      </c>
    </row>
    <row r="140" spans="1:1476" x14ac:dyDescent="0.25">
      <c r="A140" s="608">
        <v>5638</v>
      </c>
      <c r="B140" s="609" t="s">
        <v>142</v>
      </c>
      <c r="C140" s="610">
        <v>5655345.04</v>
      </c>
      <c r="D140" s="610">
        <v>1236428.6100000001</v>
      </c>
      <c r="E140" s="610"/>
      <c r="F140" s="611"/>
      <c r="G140" s="610">
        <v>442645.8</v>
      </c>
      <c r="H140" s="610">
        <v>77750.149999999994</v>
      </c>
      <c r="I140" s="610">
        <v>71005.399999999994</v>
      </c>
      <c r="J140" s="610">
        <v>185754.57</v>
      </c>
      <c r="K140" s="610">
        <v>75992.850000000006</v>
      </c>
      <c r="L140" s="610">
        <v>711845.4</v>
      </c>
      <c r="M140" s="434">
        <f t="shared" si="8"/>
        <v>8456767.8200000003</v>
      </c>
      <c r="N140" s="612">
        <v>285838.84999999998</v>
      </c>
      <c r="O140" s="612">
        <v>5444593.7000000002</v>
      </c>
      <c r="P140" s="612">
        <v>244150.5</v>
      </c>
      <c r="Q140" s="612">
        <v>31883.33</v>
      </c>
      <c r="R140" s="612">
        <v>434599.5</v>
      </c>
      <c r="S140" s="610">
        <v>54384.05</v>
      </c>
      <c r="T140" s="543">
        <f t="shared" si="9"/>
        <v>14952217.750000002</v>
      </c>
      <c r="U140" s="575">
        <v>-60883.78</v>
      </c>
      <c r="V140" s="612"/>
      <c r="W140" s="612">
        <v>-17990.169999999998</v>
      </c>
      <c r="X140" s="624">
        <v>55</v>
      </c>
      <c r="Y140" s="631">
        <v>1</v>
      </c>
      <c r="Z140" s="628">
        <f>VLOOKUP(A140,'[2]2022 toutes communes'!$B$9:$D$317,3,FALSE)</f>
        <v>2675</v>
      </c>
      <c r="AA140" s="617"/>
      <c r="AB140" s="618">
        <v>59571</v>
      </c>
      <c r="AC140" s="547">
        <f>AB140/VPI!R140</f>
        <v>0.38709151482670534</v>
      </c>
      <c r="AD140" s="548">
        <f t="shared" si="10"/>
        <v>497741</v>
      </c>
      <c r="AE140" s="547">
        <f>AD140/VPI!R140</f>
        <v>3.2343139729290957</v>
      </c>
      <c r="AF140" s="618">
        <v>557312</v>
      </c>
      <c r="AG140" s="618">
        <f>1271738-(16214*2)</f>
        <v>1239310</v>
      </c>
      <c r="AH140" s="618">
        <v>90310</v>
      </c>
      <c r="AI140" s="627"/>
      <c r="AJ140" s="628">
        <v>0</v>
      </c>
      <c r="AK140" s="547">
        <f>AJ140/VPI!R140</f>
        <v>0</v>
      </c>
      <c r="AL140" s="548">
        <f t="shared" si="11"/>
        <v>7800</v>
      </c>
      <c r="AM140" s="547">
        <f>AL140/VPI!R140</f>
        <v>5.0684289598098099E-2</v>
      </c>
      <c r="AN140" s="628">
        <v>7800</v>
      </c>
      <c r="AO140" s="627"/>
      <c r="AP140" s="629">
        <v>29.670661709047426</v>
      </c>
      <c r="AR140" s="630">
        <v>0</v>
      </c>
    </row>
    <row r="141" spans="1:1476" x14ac:dyDescent="0.25">
      <c r="A141" s="608">
        <v>5639</v>
      </c>
      <c r="B141" s="609" t="s">
        <v>143</v>
      </c>
      <c r="C141" s="610">
        <v>2220418.09</v>
      </c>
      <c r="D141" s="610">
        <v>666926.55000000005</v>
      </c>
      <c r="E141" s="610"/>
      <c r="F141" s="611"/>
      <c r="G141" s="610">
        <v>53571.35</v>
      </c>
      <c r="H141" s="610">
        <v>11569.2</v>
      </c>
      <c r="I141" s="610"/>
      <c r="J141" s="610">
        <v>17788.330000000002</v>
      </c>
      <c r="K141" s="610">
        <v>2807.35</v>
      </c>
      <c r="L141" s="610">
        <v>264611.55</v>
      </c>
      <c r="M141" s="434">
        <f t="shared" si="8"/>
        <v>3237692.42</v>
      </c>
      <c r="N141" s="612">
        <v>18593.8</v>
      </c>
      <c r="O141" s="612">
        <v>18310.400000000001</v>
      </c>
      <c r="P141" s="612">
        <v>152355.85</v>
      </c>
      <c r="Q141" s="612">
        <v>415.77</v>
      </c>
      <c r="R141" s="612">
        <v>52218.8</v>
      </c>
      <c r="S141" s="610">
        <v>6807.52</v>
      </c>
      <c r="T141" s="543">
        <f t="shared" si="9"/>
        <v>3486394.5599999996</v>
      </c>
      <c r="U141" s="575">
        <v>-3344.64</v>
      </c>
      <c r="V141" s="612"/>
      <c r="W141" s="612">
        <v>-1876.2</v>
      </c>
      <c r="X141" s="624">
        <v>61</v>
      </c>
      <c r="Y141" s="631">
        <v>1.25</v>
      </c>
      <c r="Z141" s="628">
        <f>VLOOKUP(A141,'[2]2022 toutes communes'!$B$9:$D$317,3,FALSE)</f>
        <v>825</v>
      </c>
      <c r="AA141" s="617"/>
      <c r="AB141" s="618"/>
      <c r="AC141" s="547">
        <f>AB141/VPI!R141</f>
        <v>0</v>
      </c>
      <c r="AD141" s="548">
        <f t="shared" si="10"/>
        <v>0</v>
      </c>
      <c r="AE141" s="547">
        <f>AD141/VPI!R141</f>
        <v>0</v>
      </c>
      <c r="AF141" s="618"/>
      <c r="AG141" s="618"/>
      <c r="AH141" s="618"/>
      <c r="AI141" s="627"/>
      <c r="AJ141" s="628"/>
      <c r="AK141" s="547">
        <f>AJ141/VPI!R141</f>
        <v>0</v>
      </c>
      <c r="AL141" s="548">
        <f t="shared" si="11"/>
        <v>0</v>
      </c>
      <c r="AM141" s="547">
        <f>AL141/VPI!R141</f>
        <v>0</v>
      </c>
      <c r="AN141" s="628"/>
      <c r="AO141" s="627"/>
      <c r="AP141" s="629">
        <v>32.666897351810789</v>
      </c>
      <c r="AR141" s="630">
        <v>0</v>
      </c>
    </row>
    <row r="142" spans="1:1476" x14ac:dyDescent="0.25">
      <c r="A142" s="608">
        <v>5640</v>
      </c>
      <c r="B142" s="609" t="s">
        <v>144</v>
      </c>
      <c r="C142" s="610">
        <v>2593052.6800000002</v>
      </c>
      <c r="D142" s="610">
        <v>652227.94999999995</v>
      </c>
      <c r="E142" s="610"/>
      <c r="F142" s="611"/>
      <c r="G142" s="610">
        <v>65049</v>
      </c>
      <c r="H142" s="610">
        <v>4319.1000000000004</v>
      </c>
      <c r="I142" s="610">
        <v>104668.49</v>
      </c>
      <c r="J142" s="610">
        <v>74315.009999999995</v>
      </c>
      <c r="K142" s="610">
        <v>10925.25</v>
      </c>
      <c r="L142" s="610">
        <v>219923.65</v>
      </c>
      <c r="M142" s="434">
        <f t="shared" si="8"/>
        <v>3724481.13</v>
      </c>
      <c r="N142" s="612">
        <v>16539.650000000001</v>
      </c>
      <c r="O142" s="612">
        <v>4118191.9</v>
      </c>
      <c r="P142" s="612">
        <v>137918.39999999999</v>
      </c>
      <c r="Q142" s="612">
        <v>5572.33</v>
      </c>
      <c r="R142" s="612">
        <v>28369.4</v>
      </c>
      <c r="S142" s="610">
        <v>7249.32</v>
      </c>
      <c r="T142" s="543">
        <f t="shared" si="9"/>
        <v>8038322.1300000008</v>
      </c>
      <c r="U142" s="575">
        <v>-4352.1499999999996</v>
      </c>
      <c r="V142" s="612"/>
      <c r="W142" s="612">
        <v>-6689.35</v>
      </c>
      <c r="X142" s="624">
        <v>64.5</v>
      </c>
      <c r="Y142" s="631">
        <v>1</v>
      </c>
      <c r="Z142" s="628">
        <f>VLOOKUP(A142,'[2]2022 toutes communes'!$B$9:$D$317,3,FALSE)</f>
        <v>730</v>
      </c>
      <c r="AA142" s="617"/>
      <c r="AB142" s="618">
        <v>97506</v>
      </c>
      <c r="AC142" s="547">
        <f>AB142/VPI!R142</f>
        <v>1.6877874436115765</v>
      </c>
      <c r="AD142" s="548">
        <f t="shared" si="10"/>
        <v>43915</v>
      </c>
      <c r="AE142" s="547">
        <f>AD142/VPI!R142</f>
        <v>0.76014999678176087</v>
      </c>
      <c r="AF142" s="618">
        <v>141421</v>
      </c>
      <c r="AG142" s="618">
        <f>188232-(2863*2)</f>
        <v>182506</v>
      </c>
      <c r="AH142" s="618">
        <v>101470</v>
      </c>
      <c r="AI142" s="627"/>
      <c r="AJ142" s="628">
        <v>0</v>
      </c>
      <c r="AK142" s="547">
        <f>AJ142/VPI!R142</f>
        <v>0</v>
      </c>
      <c r="AL142" s="548">
        <f t="shared" si="11"/>
        <v>10791</v>
      </c>
      <c r="AM142" s="547">
        <f>AL142/VPI!R142</f>
        <v>0.18678762644362931</v>
      </c>
      <c r="AN142" s="628">
        <v>10791</v>
      </c>
      <c r="AO142" s="627"/>
      <c r="AP142" s="629">
        <v>39.950806193764585</v>
      </c>
      <c r="AR142" s="630">
        <v>1</v>
      </c>
    </row>
    <row r="143" spans="1:1476" s="632" customFormat="1" x14ac:dyDescent="0.25">
      <c r="A143" s="608">
        <v>5642</v>
      </c>
      <c r="B143" s="609" t="s">
        <v>145</v>
      </c>
      <c r="C143" s="610">
        <v>39870694.57</v>
      </c>
      <c r="D143" s="610">
        <v>6477261.3499999996</v>
      </c>
      <c r="E143" s="610"/>
      <c r="F143" s="611"/>
      <c r="G143" s="610">
        <v>12073829.199999999</v>
      </c>
      <c r="H143" s="610">
        <v>-153042.54999999999</v>
      </c>
      <c r="I143" s="610">
        <v>266429.24</v>
      </c>
      <c r="J143" s="610">
        <v>2400215.56</v>
      </c>
      <c r="K143" s="610">
        <v>527538.19999999995</v>
      </c>
      <c r="L143" s="610">
        <v>3517820.55</v>
      </c>
      <c r="M143" s="434">
        <f t="shared" si="8"/>
        <v>64980746.120000012</v>
      </c>
      <c r="N143" s="612">
        <v>1601890.1</v>
      </c>
      <c r="O143" s="612">
        <v>2935540.6</v>
      </c>
      <c r="P143" s="612">
        <v>1427831.4</v>
      </c>
      <c r="Q143" s="612">
        <v>120064.25</v>
      </c>
      <c r="R143" s="612">
        <v>1754574.8</v>
      </c>
      <c r="S143" s="610">
        <v>1245783.3999999999</v>
      </c>
      <c r="T143" s="543">
        <f t="shared" si="9"/>
        <v>74066430.670000017</v>
      </c>
      <c r="U143" s="575">
        <v>-609512.84</v>
      </c>
      <c r="V143" s="612"/>
      <c r="W143" s="612">
        <v>-40416.22</v>
      </c>
      <c r="X143" s="624">
        <v>67</v>
      </c>
      <c r="Y143" s="631">
        <v>1</v>
      </c>
      <c r="Z143" s="628">
        <f>VLOOKUP(A143,'[2]2022 toutes communes'!$B$9:$D$317,3,FALSE)</f>
        <v>17530</v>
      </c>
      <c r="AA143" s="617"/>
      <c r="AB143" s="618">
        <v>761999</v>
      </c>
      <c r="AC143" s="547">
        <f>AB143/VPI!R143</f>
        <v>0.77711605642940407</v>
      </c>
      <c r="AD143" s="548">
        <f t="shared" si="10"/>
        <v>2730406</v>
      </c>
      <c r="AE143" s="547">
        <f>AD143/VPI!R143</f>
        <v>2.7845736584577976</v>
      </c>
      <c r="AF143" s="618">
        <v>3492405</v>
      </c>
      <c r="AG143" s="618">
        <f>6129300-(73806*2)</f>
        <v>5981688</v>
      </c>
      <c r="AH143" s="618">
        <v>111211</v>
      </c>
      <c r="AI143" s="627"/>
      <c r="AJ143" s="628">
        <v>0</v>
      </c>
      <c r="AK143" s="547">
        <f>AJ143/VPI!R143</f>
        <v>0</v>
      </c>
      <c r="AL143" s="548">
        <f t="shared" si="11"/>
        <v>76388</v>
      </c>
      <c r="AM143" s="547">
        <f>AL143/VPI!R143</f>
        <v>7.7903437299168793E-2</v>
      </c>
      <c r="AN143" s="628">
        <v>76388</v>
      </c>
      <c r="AO143" s="627"/>
      <c r="AP143" s="629">
        <v>21.694953838872117</v>
      </c>
      <c r="AQ143" s="575"/>
      <c r="AR143" s="630">
        <v>1</v>
      </c>
      <c r="AS143" s="575"/>
      <c r="AT143" s="575"/>
      <c r="AU143" s="575"/>
      <c r="AV143" s="575"/>
      <c r="AW143" s="575"/>
      <c r="AX143" s="575"/>
      <c r="AY143" s="575"/>
      <c r="AZ143" s="575"/>
      <c r="BA143" s="575"/>
      <c r="BB143" s="575"/>
      <c r="BC143" s="575"/>
      <c r="BD143" s="575"/>
      <c r="BE143" s="575"/>
      <c r="BF143" s="575"/>
      <c r="BG143" s="575"/>
      <c r="BH143" s="575"/>
      <c r="BI143" s="575"/>
      <c r="BJ143" s="575"/>
      <c r="BK143" s="575"/>
      <c r="BL143" s="575"/>
      <c r="BM143" s="575"/>
      <c r="BN143" s="575"/>
      <c r="BO143" s="575"/>
      <c r="BP143" s="575"/>
      <c r="BQ143" s="575"/>
      <c r="BR143" s="575"/>
      <c r="BS143" s="575"/>
      <c r="BT143" s="575"/>
      <c r="BU143" s="575"/>
      <c r="BV143" s="575"/>
      <c r="BW143" s="575"/>
      <c r="BX143" s="575"/>
      <c r="BY143" s="575"/>
      <c r="BZ143" s="575"/>
      <c r="CA143" s="575"/>
      <c r="CB143" s="575"/>
      <c r="CC143" s="575"/>
      <c r="CD143" s="575"/>
      <c r="CE143" s="575"/>
      <c r="CF143" s="575"/>
      <c r="CG143" s="575"/>
      <c r="CH143" s="575"/>
      <c r="CI143" s="575"/>
      <c r="CJ143" s="575"/>
      <c r="CK143" s="575"/>
      <c r="CL143" s="575"/>
      <c r="CM143" s="575"/>
      <c r="CN143" s="575"/>
      <c r="CO143" s="575"/>
      <c r="CP143" s="575"/>
      <c r="CQ143" s="575"/>
      <c r="CR143" s="575"/>
      <c r="CS143" s="575"/>
      <c r="CT143" s="575"/>
      <c r="CU143" s="575"/>
      <c r="CV143" s="575"/>
      <c r="CW143" s="575"/>
      <c r="CX143" s="575"/>
      <c r="CY143" s="575"/>
      <c r="CZ143" s="575"/>
      <c r="DA143" s="575"/>
      <c r="DB143" s="575"/>
      <c r="DC143" s="575"/>
      <c r="DD143" s="575"/>
      <c r="DE143" s="575"/>
      <c r="DF143" s="575"/>
      <c r="DG143" s="575"/>
      <c r="DH143" s="575"/>
      <c r="DI143" s="575"/>
      <c r="DJ143" s="575"/>
      <c r="DK143" s="575"/>
      <c r="DL143" s="575"/>
      <c r="DM143" s="575"/>
      <c r="DN143" s="575"/>
      <c r="DO143" s="575"/>
      <c r="DP143" s="575"/>
      <c r="DQ143" s="575"/>
      <c r="DR143" s="575"/>
      <c r="DS143" s="575"/>
      <c r="DT143" s="575"/>
      <c r="DU143" s="575"/>
      <c r="DV143" s="575"/>
      <c r="DW143" s="575"/>
      <c r="DX143" s="575"/>
      <c r="DY143" s="575"/>
      <c r="DZ143" s="575"/>
      <c r="EA143" s="575"/>
      <c r="EB143" s="575"/>
      <c r="EC143" s="575"/>
      <c r="ED143" s="575"/>
      <c r="EE143" s="575"/>
      <c r="EF143" s="575"/>
      <c r="EG143" s="575"/>
      <c r="EH143" s="575"/>
      <c r="EI143" s="575"/>
      <c r="EJ143" s="575"/>
      <c r="EK143" s="575"/>
      <c r="EL143" s="575"/>
      <c r="EM143" s="575"/>
      <c r="EN143" s="575"/>
      <c r="EO143" s="575"/>
      <c r="EP143" s="575"/>
      <c r="EQ143" s="575"/>
      <c r="ER143" s="575"/>
      <c r="ES143" s="575"/>
      <c r="ET143" s="575"/>
      <c r="EU143" s="575"/>
      <c r="EV143" s="575"/>
      <c r="EW143" s="575"/>
      <c r="EX143" s="575"/>
      <c r="EY143" s="575"/>
      <c r="EZ143" s="575"/>
      <c r="FA143" s="575"/>
      <c r="FB143" s="575"/>
      <c r="FC143" s="575"/>
      <c r="FD143" s="575"/>
      <c r="FE143" s="575"/>
      <c r="FF143" s="575"/>
      <c r="FG143" s="575"/>
      <c r="FH143" s="575"/>
      <c r="FI143" s="575"/>
      <c r="FJ143" s="575"/>
      <c r="FK143" s="575"/>
      <c r="FL143" s="575"/>
      <c r="FM143" s="575"/>
      <c r="FN143" s="575"/>
      <c r="FO143" s="575"/>
      <c r="FP143" s="575"/>
      <c r="FQ143" s="575"/>
      <c r="FR143" s="575"/>
      <c r="FS143" s="575"/>
      <c r="FT143" s="575"/>
      <c r="FU143" s="575"/>
      <c r="FV143" s="575"/>
      <c r="FW143" s="575"/>
      <c r="FX143" s="575"/>
      <c r="FY143" s="575"/>
      <c r="FZ143" s="575"/>
      <c r="GA143" s="575"/>
      <c r="GB143" s="575"/>
      <c r="GC143" s="575"/>
      <c r="GD143" s="575"/>
      <c r="GE143" s="575"/>
      <c r="GF143" s="575"/>
      <c r="GG143" s="575"/>
      <c r="GH143" s="575"/>
      <c r="GI143" s="575"/>
      <c r="GJ143" s="575"/>
      <c r="GK143" s="575"/>
      <c r="GL143" s="575"/>
      <c r="GM143" s="575"/>
      <c r="GN143" s="575"/>
      <c r="GO143" s="575"/>
      <c r="GP143" s="575"/>
      <c r="GQ143" s="575"/>
      <c r="GR143" s="575"/>
      <c r="GS143" s="575"/>
      <c r="GT143" s="575"/>
      <c r="GU143" s="575"/>
      <c r="GV143" s="575"/>
      <c r="GW143" s="575"/>
      <c r="GX143" s="575"/>
      <c r="GY143" s="575"/>
      <c r="GZ143" s="575"/>
      <c r="HA143" s="575"/>
      <c r="HB143" s="575"/>
      <c r="HC143" s="575"/>
      <c r="HD143" s="575"/>
      <c r="HE143" s="575"/>
      <c r="HF143" s="575"/>
      <c r="HG143" s="575"/>
      <c r="HH143" s="575"/>
      <c r="HI143" s="575"/>
      <c r="HJ143" s="575"/>
      <c r="HK143" s="575"/>
      <c r="HL143" s="575"/>
      <c r="HM143" s="575"/>
      <c r="HN143" s="575"/>
      <c r="HO143" s="575"/>
      <c r="HP143" s="575"/>
      <c r="HQ143" s="575"/>
      <c r="HR143" s="575"/>
      <c r="HS143" s="575"/>
      <c r="HT143" s="575"/>
      <c r="HU143" s="575"/>
      <c r="HV143" s="575"/>
      <c r="HW143" s="575"/>
      <c r="HX143" s="575"/>
      <c r="HY143" s="575"/>
      <c r="HZ143" s="575"/>
      <c r="IA143" s="575"/>
      <c r="IB143" s="575"/>
      <c r="IC143" s="575"/>
      <c r="ID143" s="575"/>
      <c r="IE143" s="575"/>
      <c r="IF143" s="575"/>
      <c r="IG143" s="575"/>
      <c r="IH143" s="575"/>
      <c r="II143" s="575"/>
      <c r="IJ143" s="575"/>
      <c r="IK143" s="575"/>
      <c r="IL143" s="575"/>
      <c r="IM143" s="575"/>
      <c r="IN143" s="575"/>
      <c r="IO143" s="575"/>
      <c r="IP143" s="575"/>
      <c r="IQ143" s="575"/>
      <c r="IR143" s="575"/>
      <c r="IS143" s="575"/>
      <c r="IT143" s="575"/>
      <c r="IU143" s="575"/>
      <c r="IV143" s="575"/>
      <c r="IW143" s="575"/>
      <c r="IX143" s="575"/>
      <c r="IY143" s="575"/>
      <c r="IZ143" s="575"/>
      <c r="JA143" s="575"/>
      <c r="JB143" s="575"/>
      <c r="JC143" s="575"/>
      <c r="JD143" s="575"/>
      <c r="JE143" s="575"/>
      <c r="JF143" s="575"/>
      <c r="JG143" s="575"/>
      <c r="JH143" s="575"/>
      <c r="JI143" s="575"/>
      <c r="JJ143" s="575"/>
      <c r="JK143" s="575"/>
      <c r="JL143" s="575"/>
      <c r="JM143" s="575"/>
      <c r="JN143" s="575"/>
      <c r="JO143" s="575"/>
      <c r="JP143" s="575"/>
      <c r="JQ143" s="575"/>
      <c r="JR143" s="575"/>
      <c r="JS143" s="575"/>
      <c r="JT143" s="575"/>
      <c r="JU143" s="575"/>
      <c r="JV143" s="575"/>
      <c r="JW143" s="575"/>
      <c r="JX143" s="575"/>
      <c r="JY143" s="575"/>
      <c r="JZ143" s="575"/>
      <c r="KA143" s="575"/>
      <c r="KB143" s="575"/>
      <c r="KC143" s="575"/>
      <c r="KD143" s="575"/>
      <c r="KE143" s="575"/>
      <c r="KF143" s="575"/>
      <c r="KG143" s="575"/>
      <c r="KH143" s="575"/>
      <c r="KI143" s="575"/>
      <c r="KJ143" s="575"/>
      <c r="KK143" s="575"/>
      <c r="KL143" s="575"/>
      <c r="KM143" s="575"/>
      <c r="KN143" s="575"/>
      <c r="KO143" s="575"/>
      <c r="KP143" s="575"/>
      <c r="KQ143" s="575"/>
      <c r="KR143" s="575"/>
      <c r="KS143" s="575"/>
      <c r="KT143" s="575"/>
      <c r="KU143" s="575"/>
      <c r="KV143" s="575"/>
      <c r="KW143" s="575"/>
      <c r="KX143" s="575"/>
      <c r="KY143" s="575"/>
      <c r="KZ143" s="575"/>
      <c r="LA143" s="575"/>
      <c r="LB143" s="575"/>
      <c r="LC143" s="575"/>
      <c r="LD143" s="575"/>
      <c r="LE143" s="575"/>
      <c r="LF143" s="575"/>
      <c r="LG143" s="575"/>
      <c r="LH143" s="575"/>
      <c r="LI143" s="575"/>
      <c r="LJ143" s="575"/>
      <c r="LK143" s="575"/>
      <c r="LL143" s="575"/>
      <c r="LM143" s="575"/>
      <c r="LN143" s="575"/>
      <c r="LO143" s="575"/>
      <c r="LP143" s="575"/>
      <c r="LQ143" s="575"/>
      <c r="LR143" s="575"/>
      <c r="LS143" s="575"/>
      <c r="LT143" s="575"/>
      <c r="LU143" s="575"/>
      <c r="LV143" s="575"/>
      <c r="LW143" s="575"/>
      <c r="LX143" s="575"/>
      <c r="LY143" s="575"/>
      <c r="LZ143" s="575"/>
      <c r="MA143" s="575"/>
      <c r="MB143" s="575"/>
      <c r="MC143" s="575"/>
      <c r="MD143" s="575"/>
      <c r="ME143" s="575"/>
      <c r="MF143" s="575"/>
      <c r="MG143" s="575"/>
      <c r="MH143" s="575"/>
      <c r="MI143" s="575"/>
      <c r="MJ143" s="575"/>
      <c r="MK143" s="575"/>
      <c r="ML143" s="575"/>
      <c r="MM143" s="575"/>
      <c r="MN143" s="575"/>
      <c r="MO143" s="575"/>
      <c r="MP143" s="575"/>
      <c r="MQ143" s="575"/>
      <c r="MR143" s="575"/>
      <c r="MS143" s="575"/>
      <c r="MT143" s="575"/>
      <c r="MU143" s="575"/>
      <c r="MV143" s="575"/>
      <c r="MW143" s="575"/>
      <c r="MX143" s="575"/>
      <c r="MY143" s="575"/>
      <c r="MZ143" s="575"/>
      <c r="NA143" s="575"/>
      <c r="NB143" s="575"/>
      <c r="NC143" s="575"/>
      <c r="ND143" s="575"/>
      <c r="NE143" s="575"/>
      <c r="NF143" s="575"/>
      <c r="NG143" s="575"/>
      <c r="NH143" s="575"/>
      <c r="NI143" s="575"/>
      <c r="NJ143" s="575"/>
      <c r="NK143" s="575"/>
      <c r="NL143" s="575"/>
      <c r="NM143" s="575"/>
      <c r="NN143" s="575"/>
      <c r="NO143" s="575"/>
      <c r="NP143" s="575"/>
      <c r="NQ143" s="575"/>
      <c r="NR143" s="575"/>
      <c r="NS143" s="575"/>
      <c r="NT143" s="575"/>
      <c r="NU143" s="575"/>
      <c r="NV143" s="575"/>
      <c r="NW143" s="575"/>
      <c r="NX143" s="575"/>
      <c r="NY143" s="575"/>
      <c r="NZ143" s="575"/>
      <c r="OA143" s="575"/>
      <c r="OB143" s="575"/>
      <c r="OC143" s="575"/>
      <c r="OD143" s="575"/>
      <c r="OE143" s="575"/>
      <c r="OF143" s="575"/>
      <c r="OG143" s="575"/>
      <c r="OH143" s="575"/>
      <c r="OI143" s="575"/>
      <c r="OJ143" s="575"/>
      <c r="OK143" s="575"/>
      <c r="OL143" s="575"/>
      <c r="OM143" s="575"/>
      <c r="ON143" s="575"/>
      <c r="OO143" s="575"/>
      <c r="OP143" s="575"/>
      <c r="OQ143" s="575"/>
      <c r="OR143" s="575"/>
      <c r="OS143" s="575"/>
      <c r="OT143" s="575"/>
      <c r="OU143" s="575"/>
      <c r="OV143" s="575"/>
      <c r="OW143" s="575"/>
      <c r="OX143" s="575"/>
      <c r="OY143" s="575"/>
      <c r="OZ143" s="575"/>
      <c r="PA143" s="575"/>
      <c r="PB143" s="575"/>
      <c r="PC143" s="575"/>
      <c r="PD143" s="575"/>
      <c r="PE143" s="575"/>
      <c r="PF143" s="575"/>
      <c r="PG143" s="575"/>
      <c r="PH143" s="575"/>
      <c r="PI143" s="575"/>
      <c r="PJ143" s="575"/>
      <c r="PK143" s="575"/>
      <c r="PL143" s="575"/>
      <c r="PM143" s="575"/>
      <c r="PN143" s="575"/>
      <c r="PO143" s="575"/>
      <c r="PP143" s="575"/>
      <c r="PQ143" s="575"/>
      <c r="PR143" s="575"/>
      <c r="PS143" s="575"/>
      <c r="PT143" s="575"/>
      <c r="PU143" s="575"/>
      <c r="PV143" s="575"/>
      <c r="PW143" s="575"/>
      <c r="PX143" s="575"/>
      <c r="PY143" s="575"/>
      <c r="PZ143" s="575"/>
      <c r="QA143" s="575"/>
      <c r="QB143" s="575"/>
      <c r="QC143" s="575"/>
      <c r="QD143" s="575"/>
      <c r="QE143" s="575"/>
      <c r="QF143" s="575"/>
      <c r="QG143" s="575"/>
      <c r="QH143" s="575"/>
      <c r="QI143" s="575"/>
      <c r="QJ143" s="575"/>
      <c r="QK143" s="575"/>
      <c r="QL143" s="575"/>
      <c r="QM143" s="575"/>
      <c r="QN143" s="575"/>
      <c r="QO143" s="575"/>
      <c r="QP143" s="575"/>
      <c r="QQ143" s="575"/>
      <c r="QR143" s="575"/>
      <c r="QS143" s="575"/>
      <c r="QT143" s="575"/>
      <c r="QU143" s="575"/>
      <c r="QV143" s="575"/>
      <c r="QW143" s="575"/>
      <c r="QX143" s="575"/>
      <c r="QY143" s="575"/>
      <c r="QZ143" s="575"/>
      <c r="RA143" s="575"/>
      <c r="RB143" s="575"/>
      <c r="RC143" s="575"/>
      <c r="RD143" s="575"/>
      <c r="RE143" s="575"/>
      <c r="RF143" s="575"/>
      <c r="RG143" s="575"/>
      <c r="RH143" s="575"/>
      <c r="RI143" s="575"/>
      <c r="RJ143" s="575"/>
      <c r="RK143" s="575"/>
      <c r="RL143" s="575"/>
      <c r="RM143" s="575"/>
      <c r="RN143" s="575"/>
      <c r="RO143" s="575"/>
      <c r="RP143" s="575"/>
      <c r="RQ143" s="575"/>
      <c r="RR143" s="575"/>
      <c r="RS143" s="575"/>
      <c r="RT143" s="575"/>
      <c r="RU143" s="575"/>
      <c r="RV143" s="575"/>
      <c r="RW143" s="575"/>
      <c r="RX143" s="575"/>
      <c r="RY143" s="575"/>
      <c r="RZ143" s="575"/>
      <c r="SA143" s="575"/>
      <c r="SB143" s="575"/>
      <c r="SC143" s="575"/>
      <c r="SD143" s="575"/>
      <c r="SE143" s="575"/>
      <c r="SF143" s="575"/>
      <c r="SG143" s="575"/>
      <c r="SH143" s="575"/>
      <c r="SI143" s="575"/>
      <c r="SJ143" s="575"/>
      <c r="SK143" s="575"/>
      <c r="SL143" s="575"/>
      <c r="SM143" s="575"/>
      <c r="SN143" s="575"/>
      <c r="SO143" s="575"/>
      <c r="SP143" s="575"/>
      <c r="SQ143" s="575"/>
      <c r="SR143" s="575"/>
      <c r="SS143" s="575"/>
      <c r="ST143" s="575"/>
      <c r="SU143" s="575"/>
      <c r="SV143" s="575"/>
      <c r="SW143" s="575"/>
      <c r="SX143" s="575"/>
      <c r="SY143" s="575"/>
      <c r="SZ143" s="575"/>
      <c r="TA143" s="575"/>
      <c r="TB143" s="575"/>
      <c r="TC143" s="575"/>
      <c r="TD143" s="575"/>
      <c r="TE143" s="575"/>
      <c r="TF143" s="575"/>
      <c r="TG143" s="575"/>
      <c r="TH143" s="575"/>
      <c r="TI143" s="575"/>
      <c r="TJ143" s="575"/>
      <c r="TK143" s="575"/>
      <c r="TL143" s="575"/>
      <c r="TM143" s="575"/>
      <c r="TN143" s="575"/>
      <c r="TO143" s="575"/>
      <c r="TP143" s="575"/>
      <c r="TQ143" s="575"/>
      <c r="TR143" s="575"/>
      <c r="TS143" s="575"/>
      <c r="TT143" s="575"/>
      <c r="TU143" s="575"/>
      <c r="TV143" s="575"/>
      <c r="TW143" s="575"/>
      <c r="TX143" s="575"/>
      <c r="TY143" s="575"/>
      <c r="TZ143" s="575"/>
      <c r="UA143" s="575"/>
      <c r="UB143" s="575"/>
      <c r="UC143" s="575"/>
      <c r="UD143" s="575"/>
      <c r="UE143" s="575"/>
      <c r="UF143" s="575"/>
      <c r="UG143" s="575"/>
      <c r="UH143" s="575"/>
      <c r="UI143" s="575"/>
      <c r="UJ143" s="575"/>
      <c r="UK143" s="575"/>
      <c r="UL143" s="575"/>
      <c r="UM143" s="575"/>
      <c r="UN143" s="575"/>
      <c r="UO143" s="575"/>
      <c r="UP143" s="575"/>
      <c r="UQ143" s="575"/>
      <c r="UR143" s="575"/>
      <c r="US143" s="575"/>
      <c r="UT143" s="575"/>
      <c r="UU143" s="575"/>
      <c r="UV143" s="575"/>
      <c r="UW143" s="575"/>
      <c r="UX143" s="575"/>
      <c r="UY143" s="575"/>
      <c r="UZ143" s="575"/>
      <c r="VA143" s="575"/>
      <c r="VB143" s="575"/>
      <c r="VC143" s="575"/>
      <c r="VD143" s="575"/>
      <c r="VE143" s="575"/>
      <c r="VF143" s="575"/>
      <c r="VG143" s="575"/>
      <c r="VH143" s="575"/>
      <c r="VI143" s="575"/>
      <c r="VJ143" s="575"/>
      <c r="VK143" s="575"/>
      <c r="VL143" s="575"/>
      <c r="VM143" s="575"/>
      <c r="VN143" s="575"/>
      <c r="VO143" s="575"/>
      <c r="VP143" s="575"/>
      <c r="VQ143" s="575"/>
      <c r="VR143" s="575"/>
      <c r="VS143" s="575"/>
      <c r="VT143" s="575"/>
      <c r="VU143" s="575"/>
      <c r="VV143" s="575"/>
      <c r="VW143" s="575"/>
      <c r="VX143" s="575"/>
      <c r="VY143" s="575"/>
      <c r="VZ143" s="575"/>
      <c r="WA143" s="575"/>
      <c r="WB143" s="575"/>
      <c r="WC143" s="575"/>
      <c r="WD143" s="575"/>
      <c r="WE143" s="575"/>
      <c r="WF143" s="575"/>
      <c r="WG143" s="575"/>
      <c r="WH143" s="575"/>
      <c r="WI143" s="575"/>
      <c r="WJ143" s="575"/>
      <c r="WK143" s="575"/>
      <c r="WL143" s="575"/>
      <c r="WM143" s="575"/>
      <c r="WN143" s="575"/>
      <c r="WO143" s="575"/>
      <c r="WP143" s="575"/>
      <c r="WQ143" s="575"/>
      <c r="WR143" s="575"/>
      <c r="WS143" s="575"/>
      <c r="WT143" s="575"/>
      <c r="WU143" s="575"/>
      <c r="WV143" s="575"/>
      <c r="WW143" s="575"/>
      <c r="WX143" s="575"/>
      <c r="WY143" s="575"/>
      <c r="WZ143" s="575"/>
      <c r="XA143" s="575"/>
      <c r="XB143" s="575"/>
      <c r="XC143" s="575"/>
      <c r="XD143" s="575"/>
      <c r="XE143" s="575"/>
      <c r="XF143" s="575"/>
      <c r="XG143" s="575"/>
      <c r="XH143" s="575"/>
      <c r="XI143" s="575"/>
      <c r="XJ143" s="575"/>
      <c r="XK143" s="575"/>
      <c r="XL143" s="575"/>
      <c r="XM143" s="575"/>
      <c r="XN143" s="575"/>
      <c r="XO143" s="575"/>
      <c r="XP143" s="575"/>
      <c r="XQ143" s="575"/>
      <c r="XR143" s="575"/>
      <c r="XS143" s="575"/>
      <c r="XT143" s="575"/>
      <c r="XU143" s="575"/>
      <c r="XV143" s="575"/>
      <c r="XW143" s="575"/>
      <c r="XX143" s="575"/>
      <c r="XY143" s="575"/>
      <c r="XZ143" s="575"/>
      <c r="YA143" s="575"/>
      <c r="YB143" s="575"/>
      <c r="YC143" s="575"/>
      <c r="YD143" s="575"/>
      <c r="YE143" s="575"/>
      <c r="YF143" s="575"/>
      <c r="YG143" s="575"/>
      <c r="YH143" s="575"/>
      <c r="YI143" s="575"/>
      <c r="YJ143" s="575"/>
      <c r="YK143" s="575"/>
      <c r="YL143" s="575"/>
      <c r="YM143" s="575"/>
      <c r="YN143" s="575"/>
      <c r="YO143" s="575"/>
      <c r="YP143" s="575"/>
      <c r="YQ143" s="575"/>
      <c r="YR143" s="575"/>
      <c r="YS143" s="575"/>
      <c r="YT143" s="575"/>
      <c r="YU143" s="575"/>
      <c r="YV143" s="575"/>
      <c r="YW143" s="575"/>
      <c r="YX143" s="575"/>
      <c r="YY143" s="575"/>
      <c r="YZ143" s="575"/>
      <c r="ZA143" s="575"/>
      <c r="ZB143" s="575"/>
      <c r="ZC143" s="575"/>
      <c r="ZD143" s="575"/>
      <c r="ZE143" s="575"/>
      <c r="ZF143" s="575"/>
      <c r="ZG143" s="575"/>
      <c r="ZH143" s="575"/>
      <c r="ZI143" s="575"/>
      <c r="ZJ143" s="575"/>
      <c r="ZK143" s="575"/>
      <c r="ZL143" s="575"/>
      <c r="ZM143" s="575"/>
      <c r="ZN143" s="575"/>
      <c r="ZO143" s="575"/>
      <c r="ZP143" s="575"/>
      <c r="ZQ143" s="575"/>
      <c r="ZR143" s="575"/>
      <c r="ZS143" s="575"/>
      <c r="ZT143" s="575"/>
      <c r="ZU143" s="575"/>
      <c r="ZV143" s="575"/>
      <c r="ZW143" s="575"/>
      <c r="ZX143" s="575"/>
      <c r="ZY143" s="575"/>
      <c r="ZZ143" s="575"/>
      <c r="AAA143" s="575"/>
      <c r="AAB143" s="575"/>
      <c r="AAC143" s="575"/>
      <c r="AAD143" s="575"/>
      <c r="AAE143" s="575"/>
      <c r="AAF143" s="575"/>
      <c r="AAG143" s="575"/>
      <c r="AAH143" s="575"/>
      <c r="AAI143" s="575"/>
      <c r="AAJ143" s="575"/>
      <c r="AAK143" s="575"/>
      <c r="AAL143" s="575"/>
      <c r="AAM143" s="575"/>
      <c r="AAN143" s="575"/>
      <c r="AAO143" s="575"/>
      <c r="AAP143" s="575"/>
      <c r="AAQ143" s="575"/>
      <c r="AAR143" s="575"/>
      <c r="AAS143" s="575"/>
      <c r="AAT143" s="575"/>
      <c r="AAU143" s="575"/>
      <c r="AAV143" s="575"/>
      <c r="AAW143" s="575"/>
      <c r="AAX143" s="575"/>
      <c r="AAY143" s="575"/>
      <c r="AAZ143" s="575"/>
      <c r="ABA143" s="575"/>
      <c r="ABB143" s="575"/>
      <c r="ABC143" s="575"/>
      <c r="ABD143" s="575"/>
      <c r="ABE143" s="575"/>
      <c r="ABF143" s="575"/>
      <c r="ABG143" s="575"/>
      <c r="ABH143" s="575"/>
      <c r="ABI143" s="575"/>
      <c r="ABJ143" s="575"/>
      <c r="ABK143" s="575"/>
      <c r="ABL143" s="575"/>
      <c r="ABM143" s="575"/>
      <c r="ABN143" s="575"/>
      <c r="ABO143" s="575"/>
      <c r="ABP143" s="575"/>
      <c r="ABQ143" s="575"/>
      <c r="ABR143" s="575"/>
      <c r="ABS143" s="575"/>
      <c r="ABT143" s="575"/>
      <c r="ABU143" s="575"/>
      <c r="ABV143" s="575"/>
      <c r="ABW143" s="575"/>
      <c r="ABX143" s="575"/>
      <c r="ABY143" s="575"/>
      <c r="ABZ143" s="575"/>
      <c r="ACA143" s="575"/>
      <c r="ACB143" s="575"/>
      <c r="ACC143" s="575"/>
      <c r="ACD143" s="575"/>
      <c r="ACE143" s="575"/>
      <c r="ACF143" s="575"/>
      <c r="ACG143" s="575"/>
      <c r="ACH143" s="575"/>
      <c r="ACI143" s="575"/>
      <c r="ACJ143" s="575"/>
      <c r="ACK143" s="575"/>
      <c r="ACL143" s="575"/>
      <c r="ACM143" s="575"/>
      <c r="ACN143" s="575"/>
      <c r="ACO143" s="575"/>
      <c r="ACP143" s="575"/>
      <c r="ACQ143" s="575"/>
      <c r="ACR143" s="575"/>
      <c r="ACS143" s="575"/>
      <c r="ACT143" s="575"/>
      <c r="ACU143" s="575"/>
      <c r="ACV143" s="575"/>
      <c r="ACW143" s="575"/>
      <c r="ACX143" s="575"/>
      <c r="ACY143" s="575"/>
      <c r="ACZ143" s="575"/>
      <c r="ADA143" s="575"/>
      <c r="ADB143" s="575"/>
      <c r="ADC143" s="575"/>
      <c r="ADD143" s="575"/>
      <c r="ADE143" s="575"/>
      <c r="ADF143" s="575"/>
      <c r="ADG143" s="575"/>
      <c r="ADH143" s="575"/>
      <c r="ADI143" s="575"/>
      <c r="ADJ143" s="575"/>
      <c r="ADK143" s="575"/>
      <c r="ADL143" s="575"/>
      <c r="ADM143" s="575"/>
      <c r="ADN143" s="575"/>
      <c r="ADO143" s="575"/>
      <c r="ADP143" s="575"/>
      <c r="ADQ143" s="575"/>
      <c r="ADR143" s="575"/>
      <c r="ADS143" s="575"/>
      <c r="ADT143" s="575"/>
      <c r="ADU143" s="575"/>
      <c r="ADV143" s="575"/>
      <c r="ADW143" s="575"/>
      <c r="ADX143" s="575"/>
      <c r="ADY143" s="575"/>
      <c r="ADZ143" s="575"/>
      <c r="AEA143" s="575"/>
      <c r="AEB143" s="575"/>
      <c r="AEC143" s="575"/>
      <c r="AED143" s="575"/>
      <c r="AEE143" s="575"/>
      <c r="AEF143" s="575"/>
      <c r="AEG143" s="575"/>
      <c r="AEH143" s="575"/>
      <c r="AEI143" s="575"/>
      <c r="AEJ143" s="575"/>
      <c r="AEK143" s="575"/>
      <c r="AEL143" s="575"/>
      <c r="AEM143" s="575"/>
      <c r="AEN143" s="575"/>
      <c r="AEO143" s="575"/>
      <c r="AEP143" s="575"/>
      <c r="AEQ143" s="575"/>
      <c r="AER143" s="575"/>
      <c r="AES143" s="575"/>
      <c r="AET143" s="575"/>
      <c r="AEU143" s="575"/>
      <c r="AEV143" s="575"/>
      <c r="AEW143" s="575"/>
      <c r="AEX143" s="575"/>
      <c r="AEY143" s="575"/>
      <c r="AEZ143" s="575"/>
      <c r="AFA143" s="575"/>
      <c r="AFB143" s="575"/>
      <c r="AFC143" s="575"/>
      <c r="AFD143" s="575"/>
      <c r="AFE143" s="575"/>
      <c r="AFF143" s="575"/>
      <c r="AFG143" s="575"/>
      <c r="AFH143" s="575"/>
      <c r="AFI143" s="575"/>
      <c r="AFJ143" s="575"/>
      <c r="AFK143" s="575"/>
      <c r="AFL143" s="575"/>
      <c r="AFM143" s="575"/>
      <c r="AFN143" s="575"/>
      <c r="AFO143" s="575"/>
      <c r="AFP143" s="575"/>
      <c r="AFQ143" s="575"/>
      <c r="AFR143" s="575"/>
      <c r="AFS143" s="575"/>
      <c r="AFT143" s="575"/>
      <c r="AFU143" s="575"/>
      <c r="AFV143" s="575"/>
      <c r="AFW143" s="575"/>
      <c r="AFX143" s="575"/>
      <c r="AFY143" s="575"/>
      <c r="AFZ143" s="575"/>
      <c r="AGA143" s="575"/>
      <c r="AGB143" s="575"/>
      <c r="AGC143" s="575"/>
      <c r="AGD143" s="575"/>
      <c r="AGE143" s="575"/>
      <c r="AGF143" s="575"/>
      <c r="AGG143" s="575"/>
      <c r="AGH143" s="575"/>
      <c r="AGI143" s="575"/>
      <c r="AGJ143" s="575"/>
      <c r="AGK143" s="575"/>
      <c r="AGL143" s="575"/>
      <c r="AGM143" s="575"/>
      <c r="AGN143" s="575"/>
      <c r="AGO143" s="575"/>
      <c r="AGP143" s="575"/>
      <c r="AGQ143" s="575"/>
      <c r="AGR143" s="575"/>
      <c r="AGS143" s="575"/>
      <c r="AGT143" s="575"/>
      <c r="AGU143" s="575"/>
      <c r="AGV143" s="575"/>
      <c r="AGW143" s="575"/>
      <c r="AGX143" s="575"/>
      <c r="AGY143" s="575"/>
      <c r="AGZ143" s="575"/>
      <c r="AHA143" s="575"/>
      <c r="AHB143" s="575"/>
      <c r="AHC143" s="575"/>
      <c r="AHD143" s="575"/>
      <c r="AHE143" s="575"/>
      <c r="AHF143" s="575"/>
      <c r="AHG143" s="575"/>
      <c r="AHH143" s="575"/>
      <c r="AHI143" s="575"/>
      <c r="AHJ143" s="575"/>
      <c r="AHK143" s="575"/>
      <c r="AHL143" s="575"/>
      <c r="AHM143" s="575"/>
      <c r="AHN143" s="575"/>
      <c r="AHO143" s="575"/>
      <c r="AHP143" s="575"/>
      <c r="AHQ143" s="575"/>
      <c r="AHR143" s="575"/>
      <c r="AHS143" s="575"/>
      <c r="AHT143" s="575"/>
      <c r="AHU143" s="575"/>
      <c r="AHV143" s="575"/>
      <c r="AHW143" s="575"/>
      <c r="AHX143" s="575"/>
      <c r="AHY143" s="575"/>
      <c r="AHZ143" s="575"/>
      <c r="AIA143" s="575"/>
      <c r="AIB143" s="575"/>
      <c r="AIC143" s="575"/>
      <c r="AID143" s="575"/>
      <c r="AIE143" s="575"/>
      <c r="AIF143" s="575"/>
      <c r="AIG143" s="575"/>
      <c r="AIH143" s="575"/>
      <c r="AII143" s="575"/>
      <c r="AIJ143" s="575"/>
      <c r="AIK143" s="575"/>
      <c r="AIL143" s="575"/>
      <c r="AIM143" s="575"/>
      <c r="AIN143" s="575"/>
      <c r="AIO143" s="575"/>
      <c r="AIP143" s="575"/>
      <c r="AIQ143" s="575"/>
      <c r="AIR143" s="575"/>
      <c r="AIS143" s="575"/>
      <c r="AIT143" s="575"/>
      <c r="AIU143" s="575"/>
      <c r="AIV143" s="575"/>
      <c r="AIW143" s="575"/>
      <c r="AIX143" s="575"/>
      <c r="AIY143" s="575"/>
      <c r="AIZ143" s="575"/>
      <c r="AJA143" s="575"/>
      <c r="AJB143" s="575"/>
      <c r="AJC143" s="575"/>
      <c r="AJD143" s="575"/>
      <c r="AJE143" s="575"/>
      <c r="AJF143" s="575"/>
      <c r="AJG143" s="575"/>
      <c r="AJH143" s="575"/>
      <c r="AJI143" s="575"/>
      <c r="AJJ143" s="575"/>
      <c r="AJK143" s="575"/>
      <c r="AJL143" s="575"/>
      <c r="AJM143" s="575"/>
      <c r="AJN143" s="575"/>
      <c r="AJO143" s="575"/>
      <c r="AJP143" s="575"/>
      <c r="AJQ143" s="575"/>
      <c r="AJR143" s="575"/>
      <c r="AJS143" s="575"/>
      <c r="AJT143" s="575"/>
      <c r="AJU143" s="575"/>
      <c r="AJV143" s="575"/>
      <c r="AJW143" s="575"/>
      <c r="AJX143" s="575"/>
      <c r="AJY143" s="575"/>
      <c r="AJZ143" s="575"/>
      <c r="AKA143" s="575"/>
      <c r="AKB143" s="575"/>
      <c r="AKC143" s="575"/>
      <c r="AKD143" s="575"/>
      <c r="AKE143" s="575"/>
      <c r="AKF143" s="575"/>
      <c r="AKG143" s="575"/>
      <c r="AKH143" s="575"/>
      <c r="AKI143" s="575"/>
      <c r="AKJ143" s="575"/>
      <c r="AKK143" s="575"/>
      <c r="AKL143" s="575"/>
      <c r="AKM143" s="575"/>
      <c r="AKN143" s="575"/>
      <c r="AKO143" s="575"/>
      <c r="AKP143" s="575"/>
      <c r="AKQ143" s="575"/>
      <c r="AKR143" s="575"/>
      <c r="AKS143" s="575"/>
      <c r="AKT143" s="575"/>
      <c r="AKU143" s="575"/>
      <c r="AKV143" s="575"/>
      <c r="AKW143" s="575"/>
      <c r="AKX143" s="575"/>
      <c r="AKY143" s="575"/>
      <c r="AKZ143" s="575"/>
      <c r="ALA143" s="575"/>
      <c r="ALB143" s="575"/>
      <c r="ALC143" s="575"/>
      <c r="ALD143" s="575"/>
      <c r="ALE143" s="575"/>
      <c r="ALF143" s="575"/>
      <c r="ALG143" s="575"/>
      <c r="ALH143" s="575"/>
      <c r="ALI143" s="575"/>
      <c r="ALJ143" s="575"/>
      <c r="ALK143" s="575"/>
      <c r="ALL143" s="575"/>
      <c r="ALM143" s="575"/>
      <c r="ALN143" s="575"/>
      <c r="ALO143" s="575"/>
      <c r="ALP143" s="575"/>
      <c r="ALQ143" s="575"/>
      <c r="ALR143" s="575"/>
      <c r="ALS143" s="575"/>
      <c r="ALT143" s="575"/>
      <c r="ALU143" s="575"/>
      <c r="ALV143" s="575"/>
      <c r="ALW143" s="575"/>
      <c r="ALX143" s="575"/>
      <c r="ALY143" s="575"/>
      <c r="ALZ143" s="575"/>
      <c r="AMA143" s="575"/>
      <c r="AMB143" s="575"/>
      <c r="AMC143" s="575"/>
      <c r="AMD143" s="575"/>
      <c r="AME143" s="575"/>
      <c r="AMF143" s="575"/>
      <c r="AMG143" s="575"/>
      <c r="AMH143" s="575"/>
      <c r="AMI143" s="575"/>
      <c r="AMJ143" s="575"/>
      <c r="AMK143" s="575"/>
      <c r="AML143" s="575"/>
      <c r="AMM143" s="575"/>
      <c r="AMN143" s="575"/>
      <c r="AMO143" s="575"/>
      <c r="AMP143" s="575"/>
      <c r="AMQ143" s="575"/>
      <c r="AMR143" s="575"/>
      <c r="AMS143" s="575"/>
      <c r="AMT143" s="575"/>
      <c r="AMU143" s="575"/>
      <c r="AMV143" s="575"/>
      <c r="AMW143" s="575"/>
      <c r="AMX143" s="575"/>
      <c r="AMY143" s="575"/>
      <c r="AMZ143" s="575"/>
      <c r="ANA143" s="575"/>
      <c r="ANB143" s="575"/>
      <c r="ANC143" s="575"/>
      <c r="AND143" s="575"/>
      <c r="ANE143" s="575"/>
      <c r="ANF143" s="575"/>
      <c r="ANG143" s="575"/>
      <c r="ANH143" s="575"/>
      <c r="ANI143" s="575"/>
      <c r="ANJ143" s="575"/>
      <c r="ANK143" s="575"/>
      <c r="ANL143" s="575"/>
      <c r="ANM143" s="575"/>
      <c r="ANN143" s="575"/>
      <c r="ANO143" s="575"/>
      <c r="ANP143" s="575"/>
      <c r="ANQ143" s="575"/>
      <c r="ANR143" s="575"/>
      <c r="ANS143" s="575"/>
      <c r="ANT143" s="575"/>
      <c r="ANU143" s="575"/>
      <c r="ANV143" s="575"/>
      <c r="ANW143" s="575"/>
      <c r="ANX143" s="575"/>
      <c r="ANY143" s="575"/>
      <c r="ANZ143" s="575"/>
      <c r="AOA143" s="575"/>
      <c r="AOB143" s="575"/>
      <c r="AOC143" s="575"/>
      <c r="AOD143" s="575"/>
      <c r="AOE143" s="575"/>
      <c r="AOF143" s="575"/>
      <c r="AOG143" s="575"/>
      <c r="AOH143" s="575"/>
      <c r="AOI143" s="575"/>
      <c r="AOJ143" s="575"/>
      <c r="AOK143" s="575"/>
      <c r="AOL143" s="575"/>
      <c r="AOM143" s="575"/>
      <c r="AON143" s="575"/>
      <c r="AOO143" s="575"/>
      <c r="AOP143" s="575"/>
      <c r="AOQ143" s="575"/>
      <c r="AOR143" s="575"/>
      <c r="AOS143" s="575"/>
      <c r="AOT143" s="575"/>
      <c r="AOU143" s="575"/>
      <c r="AOV143" s="575"/>
      <c r="AOW143" s="575"/>
      <c r="AOX143" s="575"/>
      <c r="AOY143" s="575"/>
      <c r="AOZ143" s="575"/>
      <c r="APA143" s="575"/>
      <c r="APB143" s="575"/>
      <c r="APC143" s="575"/>
      <c r="APD143" s="575"/>
      <c r="APE143" s="575"/>
      <c r="APF143" s="575"/>
      <c r="APG143" s="575"/>
      <c r="APH143" s="575"/>
      <c r="API143" s="575"/>
      <c r="APJ143" s="575"/>
      <c r="APK143" s="575"/>
      <c r="APL143" s="575"/>
      <c r="APM143" s="575"/>
      <c r="APN143" s="575"/>
      <c r="APO143" s="575"/>
      <c r="APP143" s="575"/>
      <c r="APQ143" s="575"/>
      <c r="APR143" s="575"/>
      <c r="APS143" s="575"/>
      <c r="APT143" s="575"/>
      <c r="APU143" s="575"/>
      <c r="APV143" s="575"/>
      <c r="APW143" s="575"/>
      <c r="APX143" s="575"/>
      <c r="APY143" s="575"/>
      <c r="APZ143" s="575"/>
      <c r="AQA143" s="575"/>
      <c r="AQB143" s="575"/>
      <c r="AQC143" s="575"/>
      <c r="AQD143" s="575"/>
      <c r="AQE143" s="575"/>
      <c r="AQF143" s="575"/>
      <c r="AQG143" s="575"/>
      <c r="AQH143" s="575"/>
      <c r="AQI143" s="575"/>
      <c r="AQJ143" s="575"/>
      <c r="AQK143" s="575"/>
      <c r="AQL143" s="575"/>
      <c r="AQM143" s="575"/>
      <c r="AQN143" s="575"/>
      <c r="AQO143" s="575"/>
      <c r="AQP143" s="575"/>
      <c r="AQQ143" s="575"/>
      <c r="AQR143" s="575"/>
      <c r="AQS143" s="575"/>
      <c r="AQT143" s="575"/>
      <c r="AQU143" s="575"/>
      <c r="AQV143" s="575"/>
      <c r="AQW143" s="575"/>
      <c r="AQX143" s="575"/>
      <c r="AQY143" s="575"/>
      <c r="AQZ143" s="575"/>
      <c r="ARA143" s="575"/>
      <c r="ARB143" s="575"/>
      <c r="ARC143" s="575"/>
      <c r="ARD143" s="575"/>
      <c r="ARE143" s="575"/>
      <c r="ARF143" s="575"/>
      <c r="ARG143" s="575"/>
      <c r="ARH143" s="575"/>
      <c r="ARI143" s="575"/>
      <c r="ARJ143" s="575"/>
      <c r="ARK143" s="575"/>
      <c r="ARL143" s="575"/>
      <c r="ARM143" s="575"/>
      <c r="ARN143" s="575"/>
      <c r="ARO143" s="575"/>
      <c r="ARP143" s="575"/>
      <c r="ARQ143" s="575"/>
      <c r="ARR143" s="575"/>
      <c r="ARS143" s="575"/>
      <c r="ART143" s="575"/>
      <c r="ARU143" s="575"/>
      <c r="ARV143" s="575"/>
      <c r="ARW143" s="575"/>
      <c r="ARX143" s="575"/>
      <c r="ARY143" s="575"/>
      <c r="ARZ143" s="575"/>
      <c r="ASA143" s="575"/>
      <c r="ASB143" s="575"/>
      <c r="ASC143" s="575"/>
      <c r="ASD143" s="575"/>
      <c r="ASE143" s="575"/>
      <c r="ASF143" s="575"/>
      <c r="ASG143" s="575"/>
      <c r="ASH143" s="575"/>
      <c r="ASI143" s="575"/>
      <c r="ASJ143" s="575"/>
      <c r="ASK143" s="575"/>
      <c r="ASL143" s="575"/>
      <c r="ASM143" s="575"/>
      <c r="ASN143" s="575"/>
      <c r="ASO143" s="575"/>
      <c r="ASP143" s="575"/>
      <c r="ASQ143" s="575"/>
      <c r="ASR143" s="575"/>
      <c r="ASS143" s="575"/>
      <c r="AST143" s="575"/>
      <c r="ASU143" s="575"/>
      <c r="ASV143" s="575"/>
      <c r="ASW143" s="575"/>
      <c r="ASX143" s="575"/>
      <c r="ASY143" s="575"/>
      <c r="ASZ143" s="575"/>
      <c r="ATA143" s="575"/>
      <c r="ATB143" s="575"/>
      <c r="ATC143" s="575"/>
      <c r="ATD143" s="575"/>
      <c r="ATE143" s="575"/>
      <c r="ATF143" s="575"/>
      <c r="ATG143" s="575"/>
      <c r="ATH143" s="575"/>
      <c r="ATI143" s="575"/>
      <c r="ATJ143" s="575"/>
      <c r="ATK143" s="575"/>
      <c r="ATL143" s="575"/>
      <c r="ATM143" s="575"/>
      <c r="ATN143" s="575"/>
      <c r="ATO143" s="575"/>
      <c r="ATP143" s="575"/>
      <c r="ATQ143" s="575"/>
      <c r="ATR143" s="575"/>
      <c r="ATS143" s="575"/>
      <c r="ATT143" s="575"/>
      <c r="ATU143" s="575"/>
      <c r="ATV143" s="575"/>
      <c r="ATW143" s="575"/>
      <c r="ATX143" s="575"/>
      <c r="ATY143" s="575"/>
      <c r="ATZ143" s="575"/>
      <c r="AUA143" s="575"/>
      <c r="AUB143" s="575"/>
      <c r="AUC143" s="575"/>
      <c r="AUD143" s="575"/>
      <c r="AUE143" s="575"/>
      <c r="AUF143" s="575"/>
      <c r="AUG143" s="575"/>
      <c r="AUH143" s="575"/>
      <c r="AUI143" s="575"/>
      <c r="AUJ143" s="575"/>
      <c r="AUK143" s="575"/>
      <c r="AUL143" s="575"/>
      <c r="AUM143" s="575"/>
      <c r="AUN143" s="575"/>
      <c r="AUO143" s="575"/>
      <c r="AUP143" s="575"/>
      <c r="AUQ143" s="575"/>
      <c r="AUR143" s="575"/>
      <c r="AUS143" s="575"/>
      <c r="AUT143" s="575"/>
      <c r="AUU143" s="575"/>
      <c r="AUV143" s="575"/>
      <c r="AUW143" s="575"/>
      <c r="AUX143" s="575"/>
      <c r="AUY143" s="575"/>
      <c r="AUZ143" s="575"/>
      <c r="AVA143" s="575"/>
      <c r="AVB143" s="575"/>
      <c r="AVC143" s="575"/>
      <c r="AVD143" s="575"/>
      <c r="AVE143" s="575"/>
      <c r="AVF143" s="575"/>
      <c r="AVG143" s="575"/>
      <c r="AVH143" s="575"/>
      <c r="AVI143" s="575"/>
      <c r="AVJ143" s="575"/>
      <c r="AVK143" s="575"/>
      <c r="AVL143" s="575"/>
      <c r="AVM143" s="575"/>
      <c r="AVN143" s="575"/>
      <c r="AVO143" s="575"/>
      <c r="AVP143" s="575"/>
      <c r="AVQ143" s="575"/>
      <c r="AVR143" s="575"/>
      <c r="AVS143" s="575"/>
      <c r="AVT143" s="575"/>
      <c r="AVU143" s="575"/>
      <c r="AVV143" s="575"/>
      <c r="AVW143" s="575"/>
      <c r="AVX143" s="575"/>
      <c r="AVY143" s="575"/>
      <c r="AVZ143" s="575"/>
      <c r="AWA143" s="575"/>
      <c r="AWB143" s="575"/>
      <c r="AWC143" s="575"/>
      <c r="AWD143" s="575"/>
      <c r="AWE143" s="575"/>
      <c r="AWF143" s="575"/>
      <c r="AWG143" s="575"/>
      <c r="AWH143" s="575"/>
      <c r="AWI143" s="575"/>
      <c r="AWJ143" s="575"/>
      <c r="AWK143" s="575"/>
      <c r="AWL143" s="575"/>
      <c r="AWM143" s="575"/>
      <c r="AWN143" s="575"/>
      <c r="AWO143" s="575"/>
      <c r="AWP143" s="575"/>
      <c r="AWQ143" s="575"/>
      <c r="AWR143" s="575"/>
      <c r="AWS143" s="575"/>
      <c r="AWT143" s="575"/>
      <c r="AWU143" s="575"/>
      <c r="AWV143" s="575"/>
      <c r="AWW143" s="575"/>
      <c r="AWX143" s="575"/>
      <c r="AWY143" s="575"/>
      <c r="AWZ143" s="575"/>
      <c r="AXA143" s="575"/>
      <c r="AXB143" s="575"/>
      <c r="AXC143" s="575"/>
      <c r="AXD143" s="575"/>
      <c r="AXE143" s="575"/>
      <c r="AXF143" s="575"/>
      <c r="AXG143" s="575"/>
      <c r="AXH143" s="575"/>
      <c r="AXI143" s="575"/>
      <c r="AXJ143" s="575"/>
      <c r="AXK143" s="575"/>
      <c r="AXL143" s="575"/>
      <c r="AXM143" s="575"/>
      <c r="AXN143" s="575"/>
      <c r="AXO143" s="575"/>
      <c r="AXP143" s="575"/>
      <c r="AXQ143" s="575"/>
      <c r="AXR143" s="575"/>
      <c r="AXS143" s="575"/>
      <c r="AXT143" s="575"/>
      <c r="AXU143" s="575"/>
      <c r="AXV143" s="575"/>
      <c r="AXW143" s="575"/>
      <c r="AXX143" s="575"/>
      <c r="AXY143" s="575"/>
      <c r="AXZ143" s="575"/>
      <c r="AYA143" s="575"/>
      <c r="AYB143" s="575"/>
      <c r="AYC143" s="575"/>
      <c r="AYD143" s="575"/>
      <c r="AYE143" s="575"/>
      <c r="AYF143" s="575"/>
      <c r="AYG143" s="575"/>
      <c r="AYH143" s="575"/>
      <c r="AYI143" s="575"/>
      <c r="AYJ143" s="575"/>
      <c r="AYK143" s="575"/>
      <c r="AYL143" s="575"/>
      <c r="AYM143" s="575"/>
      <c r="AYN143" s="575"/>
      <c r="AYO143" s="575"/>
      <c r="AYP143" s="575"/>
      <c r="AYQ143" s="575"/>
      <c r="AYR143" s="575"/>
      <c r="AYS143" s="575"/>
      <c r="AYT143" s="575"/>
      <c r="AYU143" s="575"/>
      <c r="AYV143" s="575"/>
      <c r="AYW143" s="575"/>
      <c r="AYX143" s="575"/>
      <c r="AYY143" s="575"/>
      <c r="AYZ143" s="575"/>
      <c r="AZA143" s="575"/>
      <c r="AZB143" s="575"/>
      <c r="AZC143" s="575"/>
      <c r="AZD143" s="575"/>
      <c r="AZE143" s="575"/>
      <c r="AZF143" s="575"/>
      <c r="AZG143" s="575"/>
      <c r="AZH143" s="575"/>
      <c r="AZI143" s="575"/>
      <c r="AZJ143" s="575"/>
      <c r="AZK143" s="575"/>
      <c r="AZL143" s="575"/>
      <c r="AZM143" s="575"/>
      <c r="AZN143" s="575"/>
      <c r="AZO143" s="575"/>
      <c r="AZP143" s="575"/>
      <c r="AZQ143" s="575"/>
      <c r="AZR143" s="575"/>
      <c r="AZS143" s="575"/>
      <c r="AZT143" s="575"/>
      <c r="AZU143" s="575"/>
      <c r="AZV143" s="575"/>
      <c r="AZW143" s="575"/>
      <c r="AZX143" s="575"/>
      <c r="AZY143" s="575"/>
      <c r="AZZ143" s="575"/>
      <c r="BAA143" s="575"/>
      <c r="BAB143" s="575"/>
      <c r="BAC143" s="575"/>
      <c r="BAD143" s="575"/>
      <c r="BAE143" s="575"/>
      <c r="BAF143" s="575"/>
      <c r="BAG143" s="575"/>
      <c r="BAH143" s="575"/>
      <c r="BAI143" s="575"/>
      <c r="BAJ143" s="575"/>
      <c r="BAK143" s="575"/>
      <c r="BAL143" s="575"/>
      <c r="BAM143" s="575"/>
      <c r="BAN143" s="575"/>
      <c r="BAO143" s="575"/>
      <c r="BAP143" s="575"/>
      <c r="BAQ143" s="575"/>
      <c r="BAR143" s="575"/>
      <c r="BAS143" s="575"/>
      <c r="BAT143" s="575"/>
      <c r="BAU143" s="575"/>
      <c r="BAV143" s="575"/>
      <c r="BAW143" s="575"/>
      <c r="BAX143" s="575"/>
      <c r="BAY143" s="575"/>
      <c r="BAZ143" s="575"/>
      <c r="BBA143" s="575"/>
      <c r="BBB143" s="575"/>
      <c r="BBC143" s="575"/>
      <c r="BBD143" s="575"/>
      <c r="BBE143" s="575"/>
      <c r="BBF143" s="575"/>
      <c r="BBG143" s="575"/>
      <c r="BBH143" s="575"/>
      <c r="BBI143" s="575"/>
      <c r="BBJ143" s="575"/>
      <c r="BBK143" s="575"/>
      <c r="BBL143" s="575"/>
      <c r="BBM143" s="575"/>
      <c r="BBN143" s="575"/>
      <c r="BBO143" s="575"/>
      <c r="BBP143" s="575"/>
      <c r="BBQ143" s="575"/>
      <c r="BBR143" s="575"/>
      <c r="BBS143" s="575"/>
      <c r="BBT143" s="575"/>
      <c r="BBU143" s="575"/>
      <c r="BBV143" s="575"/>
      <c r="BBW143" s="575"/>
      <c r="BBX143" s="575"/>
      <c r="BBY143" s="575"/>
      <c r="BBZ143" s="575"/>
      <c r="BCA143" s="575"/>
      <c r="BCB143" s="575"/>
      <c r="BCC143" s="575"/>
      <c r="BCD143" s="575"/>
      <c r="BCE143" s="575"/>
      <c r="BCF143" s="575"/>
      <c r="BCG143" s="575"/>
      <c r="BCH143" s="575"/>
      <c r="BCI143" s="575"/>
      <c r="BCJ143" s="575"/>
      <c r="BCK143" s="575"/>
      <c r="BCL143" s="575"/>
      <c r="BCM143" s="575"/>
      <c r="BCN143" s="575"/>
      <c r="BCO143" s="575"/>
      <c r="BCP143" s="575"/>
      <c r="BCQ143" s="575"/>
      <c r="BCR143" s="575"/>
      <c r="BCS143" s="575"/>
      <c r="BCT143" s="575"/>
      <c r="BCU143" s="575"/>
      <c r="BCV143" s="575"/>
      <c r="BCW143" s="575"/>
      <c r="BCX143" s="575"/>
      <c r="BCY143" s="575"/>
      <c r="BCZ143" s="575"/>
      <c r="BDA143" s="575"/>
      <c r="BDB143" s="575"/>
      <c r="BDC143" s="575"/>
      <c r="BDD143" s="575"/>
      <c r="BDE143" s="575"/>
      <c r="BDF143" s="575"/>
      <c r="BDG143" s="575"/>
      <c r="BDH143" s="575"/>
      <c r="BDI143" s="575"/>
      <c r="BDJ143" s="575"/>
      <c r="BDK143" s="575"/>
      <c r="BDL143" s="575"/>
      <c r="BDM143" s="575"/>
      <c r="BDN143" s="575"/>
      <c r="BDO143" s="575"/>
      <c r="BDP143" s="575"/>
      <c r="BDQ143" s="575"/>
      <c r="BDR143" s="575"/>
      <c r="BDS143" s="575"/>
      <c r="BDT143" s="575"/>
    </row>
    <row r="144" spans="1:1476" x14ac:dyDescent="0.25">
      <c r="A144" s="608">
        <v>5643</v>
      </c>
      <c r="B144" s="609" t="s">
        <v>146</v>
      </c>
      <c r="C144" s="610">
        <v>11295543.789999999</v>
      </c>
      <c r="D144" s="610">
        <v>2131823.7799999998</v>
      </c>
      <c r="E144" s="610"/>
      <c r="F144" s="611"/>
      <c r="G144" s="610">
        <v>361553.65</v>
      </c>
      <c r="H144" s="610">
        <v>80692.95</v>
      </c>
      <c r="I144" s="610">
        <v>358963.77</v>
      </c>
      <c r="J144" s="610">
        <v>412475.28</v>
      </c>
      <c r="K144" s="610">
        <v>108863.1</v>
      </c>
      <c r="L144" s="610">
        <v>1160950.95</v>
      </c>
      <c r="M144" s="434">
        <f t="shared" si="8"/>
        <v>15910867.269999996</v>
      </c>
      <c r="N144" s="612">
        <v>183126.6</v>
      </c>
      <c r="O144" s="612">
        <v>295689.8</v>
      </c>
      <c r="P144" s="612">
        <v>449965.2</v>
      </c>
      <c r="Q144" s="612">
        <v>10506.74</v>
      </c>
      <c r="R144" s="612">
        <v>377464.35</v>
      </c>
      <c r="S144" s="610">
        <v>46217.04</v>
      </c>
      <c r="T144" s="543">
        <f t="shared" si="9"/>
        <v>17273836.999999996</v>
      </c>
      <c r="U144" s="575">
        <v>-132251.26999999999</v>
      </c>
      <c r="V144" s="612"/>
      <c r="W144" s="612">
        <v>-40065.440000000002</v>
      </c>
      <c r="X144" s="624">
        <v>62.5</v>
      </c>
      <c r="Y144" s="631">
        <v>1</v>
      </c>
      <c r="Z144" s="628">
        <f>VLOOKUP(A144,'[2]2022 toutes communes'!$B$9:$D$317,3,FALSE)</f>
        <v>5209</v>
      </c>
      <c r="AA144" s="617"/>
      <c r="AB144" s="618">
        <v>0</v>
      </c>
      <c r="AC144" s="547">
        <f>AB144/VPI!R144</f>
        <v>0</v>
      </c>
      <c r="AD144" s="548">
        <f t="shared" si="10"/>
        <v>226894</v>
      </c>
      <c r="AE144" s="547">
        <f>AD144/VPI!R144</f>
        <v>0.89779225702261534</v>
      </c>
      <c r="AF144" s="618">
        <v>226894</v>
      </c>
      <c r="AG144" s="618">
        <f>1419574-(17617*2)</f>
        <v>1384340</v>
      </c>
      <c r="AH144" s="618">
        <v>120016</v>
      </c>
      <c r="AI144" s="627"/>
      <c r="AJ144" s="628">
        <v>0</v>
      </c>
      <c r="AK144" s="547">
        <f>AJ144/VPI!R144</f>
        <v>0</v>
      </c>
      <c r="AL144" s="548">
        <f t="shared" si="11"/>
        <v>159</v>
      </c>
      <c r="AM144" s="547">
        <f>AL144/VPI!R144</f>
        <v>6.291438683552489E-4</v>
      </c>
      <c r="AN144" s="628">
        <v>159</v>
      </c>
      <c r="AO144" s="627"/>
      <c r="AP144" s="629">
        <v>23.580062684023339</v>
      </c>
      <c r="AR144" s="630">
        <v>1</v>
      </c>
    </row>
    <row r="145" spans="1:1476" x14ac:dyDescent="0.25">
      <c r="A145" s="608">
        <v>5645</v>
      </c>
      <c r="B145" s="609" t="s">
        <v>262</v>
      </c>
      <c r="C145" s="610">
        <v>896866.06</v>
      </c>
      <c r="D145" s="610">
        <v>189168.52</v>
      </c>
      <c r="E145" s="610"/>
      <c r="F145" s="611"/>
      <c r="G145" s="610">
        <v>79152.850000000006</v>
      </c>
      <c r="H145" s="610">
        <v>-5231.55</v>
      </c>
      <c r="I145" s="610"/>
      <c r="J145" s="610">
        <v>-12613.84</v>
      </c>
      <c r="K145" s="610">
        <v>21580.5</v>
      </c>
      <c r="L145" s="610">
        <v>162671.5</v>
      </c>
      <c r="M145" s="434">
        <f t="shared" si="8"/>
        <v>1331594.04</v>
      </c>
      <c r="N145" s="612">
        <v>105835.3</v>
      </c>
      <c r="O145" s="612">
        <v>18.899999999999999</v>
      </c>
      <c r="P145" s="612">
        <v>26349.45</v>
      </c>
      <c r="Q145" s="612">
        <v>60.08</v>
      </c>
      <c r="R145" s="612">
        <v>32984.65</v>
      </c>
      <c r="S145" s="610">
        <v>7725.16</v>
      </c>
      <c r="T145" s="543">
        <f t="shared" si="9"/>
        <v>1504567.5799999998</v>
      </c>
      <c r="U145" s="575">
        <v>-7648.22</v>
      </c>
      <c r="V145" s="612"/>
      <c r="W145" s="612">
        <v>-667.21</v>
      </c>
      <c r="X145" s="624">
        <v>56</v>
      </c>
      <c r="Y145" s="631">
        <v>1</v>
      </c>
      <c r="Z145" s="628">
        <f>VLOOKUP(A145,'[2]2022 toutes communes'!$B$9:$D$317,3,FALSE)</f>
        <v>458</v>
      </c>
      <c r="AA145" s="617"/>
      <c r="AB145" s="618">
        <v>78672</v>
      </c>
      <c r="AC145" s="547">
        <f>AB145/VPI!R145</f>
        <v>3.3098577502499218</v>
      </c>
      <c r="AD145" s="548">
        <f t="shared" si="10"/>
        <v>83448</v>
      </c>
      <c r="AE145" s="547">
        <f>AD145/VPI!R145</f>
        <v>3.5107917625439224</v>
      </c>
      <c r="AF145" s="618">
        <v>162120</v>
      </c>
      <c r="AG145" s="618">
        <v>27443</v>
      </c>
      <c r="AH145" s="618">
        <v>36912</v>
      </c>
      <c r="AI145" s="627"/>
      <c r="AJ145" s="628">
        <v>0</v>
      </c>
      <c r="AK145" s="547">
        <f>AJ145/VPI!R145</f>
        <v>0</v>
      </c>
      <c r="AL145" s="548">
        <f t="shared" si="11"/>
        <v>394</v>
      </c>
      <c r="AM145" s="547">
        <f>AL145/VPI!R145</f>
        <v>1.6576214582042774E-2</v>
      </c>
      <c r="AN145" s="628">
        <v>394</v>
      </c>
      <c r="AO145" s="627"/>
      <c r="AP145" s="629">
        <v>30.364870537888006</v>
      </c>
      <c r="AR145" s="630">
        <v>0</v>
      </c>
    </row>
    <row r="146" spans="1:1476" x14ac:dyDescent="0.25">
      <c r="A146" s="608">
        <v>5646</v>
      </c>
      <c r="B146" s="609" t="s">
        <v>263</v>
      </c>
      <c r="C146" s="610">
        <v>14167285.82</v>
      </c>
      <c r="D146" s="610">
        <v>3291926.33</v>
      </c>
      <c r="E146" s="610"/>
      <c r="F146" s="611"/>
      <c r="G146" s="610">
        <v>3139877.25</v>
      </c>
      <c r="H146" s="610">
        <v>6135056.25</v>
      </c>
      <c r="I146" s="610">
        <v>675909.13</v>
      </c>
      <c r="J146" s="610">
        <v>328610.83</v>
      </c>
      <c r="K146" s="610">
        <v>162060.35</v>
      </c>
      <c r="L146" s="610">
        <v>2068669.05</v>
      </c>
      <c r="M146" s="434">
        <f t="shared" si="8"/>
        <v>29969395.009999998</v>
      </c>
      <c r="N146" s="612">
        <v>672225.75</v>
      </c>
      <c r="O146" s="612">
        <v>2856509</v>
      </c>
      <c r="P146" s="612">
        <v>805531.25</v>
      </c>
      <c r="Q146" s="612">
        <v>19039.990000000002</v>
      </c>
      <c r="R146" s="612">
        <v>755063.35</v>
      </c>
      <c r="S146" s="610">
        <v>969278.17</v>
      </c>
      <c r="T146" s="543">
        <f t="shared" si="9"/>
        <v>36047042.520000003</v>
      </c>
      <c r="U146" s="575">
        <v>-171672.91</v>
      </c>
      <c r="V146" s="612"/>
      <c r="W146" s="612">
        <v>-22144.55</v>
      </c>
      <c r="X146" s="624">
        <v>59</v>
      </c>
      <c r="Y146" s="631">
        <v>1.2</v>
      </c>
      <c r="Z146" s="628">
        <f>VLOOKUP(A146,'[2]2022 toutes communes'!$B$9:$D$317,3,FALSE)</f>
        <v>5876</v>
      </c>
      <c r="AA146" s="617"/>
      <c r="AB146" s="618"/>
      <c r="AC146" s="547">
        <f>AB146/VPI!R146</f>
        <v>0</v>
      </c>
      <c r="AD146" s="548">
        <f t="shared" si="10"/>
        <v>0</v>
      </c>
      <c r="AE146" s="547">
        <f>AD146/VPI!R146</f>
        <v>0</v>
      </c>
      <c r="AF146" s="618"/>
      <c r="AG146" s="618"/>
      <c r="AH146" s="618"/>
      <c r="AI146" s="627"/>
      <c r="AJ146" s="628"/>
      <c r="AK146" s="547">
        <f>AJ146/VPI!R146</f>
        <v>0</v>
      </c>
      <c r="AL146" s="548">
        <f t="shared" si="11"/>
        <v>0</v>
      </c>
      <c r="AM146" s="547">
        <f>AL146/VPI!R146</f>
        <v>0</v>
      </c>
      <c r="AN146" s="628"/>
      <c r="AO146" s="627"/>
      <c r="AP146" s="629">
        <v>35.111281801415565</v>
      </c>
      <c r="AR146" s="630">
        <v>1</v>
      </c>
    </row>
    <row r="147" spans="1:1476" x14ac:dyDescent="0.25">
      <c r="A147" s="608">
        <v>5648</v>
      </c>
      <c r="B147" s="609" t="s">
        <v>264</v>
      </c>
      <c r="C147" s="610">
        <v>15006223.35</v>
      </c>
      <c r="D147" s="610">
        <v>4120924.67</v>
      </c>
      <c r="E147" s="610"/>
      <c r="F147" s="611"/>
      <c r="G147" s="610">
        <v>859650.2</v>
      </c>
      <c r="H147" s="610">
        <v>-10940.35</v>
      </c>
      <c r="I147" s="610">
        <v>246593.19</v>
      </c>
      <c r="J147" s="610">
        <v>839949.43</v>
      </c>
      <c r="K147" s="610">
        <v>235136.3</v>
      </c>
      <c r="L147" s="610">
        <v>1470926.29</v>
      </c>
      <c r="M147" s="434">
        <f t="shared" si="8"/>
        <v>22768463.079999998</v>
      </c>
      <c r="N147" s="612">
        <v>77180.149999999994</v>
      </c>
      <c r="O147" s="612">
        <v>54740.800000000003</v>
      </c>
      <c r="P147" s="612">
        <v>804965.25</v>
      </c>
      <c r="Q147" s="612">
        <v>28144.13</v>
      </c>
      <c r="R147" s="612">
        <v>847280.4</v>
      </c>
      <c r="S147" s="610">
        <v>88694.54</v>
      </c>
      <c r="T147" s="543">
        <f t="shared" si="9"/>
        <v>24669468.349999994</v>
      </c>
      <c r="U147" s="575">
        <v>-184047.47</v>
      </c>
      <c r="V147" s="612"/>
      <c r="W147" s="612">
        <v>-131761.34</v>
      </c>
      <c r="X147" s="624">
        <v>55</v>
      </c>
      <c r="Y147" s="631">
        <v>0.8</v>
      </c>
      <c r="Z147" s="628">
        <f>VLOOKUP(A147,'[2]2022 toutes communes'!$B$9:$D$317,3,FALSE)</f>
        <v>5036</v>
      </c>
      <c r="AA147" s="617"/>
      <c r="AB147" s="618">
        <v>396703</v>
      </c>
      <c r="AC147" s="547">
        <f>AB147/VPI!R147</f>
        <v>0.95123387697188788</v>
      </c>
      <c r="AD147" s="548">
        <f t="shared" si="10"/>
        <v>349960</v>
      </c>
      <c r="AE147" s="547">
        <f>AD147/VPI!R147</f>
        <v>0.83915122291760313</v>
      </c>
      <c r="AF147" s="618">
        <v>746663</v>
      </c>
      <c r="AG147" s="618">
        <v>2523009</v>
      </c>
      <c r="AH147" s="618">
        <v>68695</v>
      </c>
      <c r="AI147" s="627"/>
      <c r="AJ147" s="628">
        <v>0</v>
      </c>
      <c r="AK147" s="547">
        <f>AJ147/VPI!R147</f>
        <v>0</v>
      </c>
      <c r="AL147" s="548">
        <f t="shared" si="11"/>
        <v>43775</v>
      </c>
      <c r="AM147" s="547">
        <f>AL147/VPI!R147</f>
        <v>0.10496583833357548</v>
      </c>
      <c r="AN147" s="628">
        <v>43775</v>
      </c>
      <c r="AO147" s="627"/>
      <c r="AP147" s="629">
        <v>32.678407814258158</v>
      </c>
      <c r="AR147" s="630">
        <v>1</v>
      </c>
    </row>
    <row r="148" spans="1:1476" x14ac:dyDescent="0.25">
      <c r="A148" s="608">
        <v>5649</v>
      </c>
      <c r="B148" s="609" t="s">
        <v>265</v>
      </c>
      <c r="C148" s="610">
        <v>3751341.45</v>
      </c>
      <c r="D148" s="610">
        <v>710795.8</v>
      </c>
      <c r="E148" s="610"/>
      <c r="F148" s="611"/>
      <c r="G148" s="610">
        <v>2777187.35</v>
      </c>
      <c r="H148" s="610">
        <v>2183846.7000000002</v>
      </c>
      <c r="I148" s="610">
        <v>58975.95</v>
      </c>
      <c r="J148" s="610">
        <v>526595.52</v>
      </c>
      <c r="K148" s="610">
        <v>58417.15</v>
      </c>
      <c r="L148" s="610">
        <v>577018.80000000005</v>
      </c>
      <c r="M148" s="434">
        <f t="shared" si="8"/>
        <v>10644178.720000001</v>
      </c>
      <c r="N148" s="612">
        <v>438984.5</v>
      </c>
      <c r="O148" s="612">
        <v>96361.7</v>
      </c>
      <c r="P148" s="612">
        <v>276914</v>
      </c>
      <c r="Q148" s="612">
        <v>5469.7</v>
      </c>
      <c r="R148" s="612">
        <v>372864.4</v>
      </c>
      <c r="S148" s="610">
        <v>518453.53</v>
      </c>
      <c r="T148" s="543">
        <f t="shared" si="9"/>
        <v>12353226.549999999</v>
      </c>
      <c r="U148" s="575">
        <v>-62186.33</v>
      </c>
      <c r="V148" s="612"/>
      <c r="W148" s="612">
        <v>-4216.2700000000004</v>
      </c>
      <c r="X148" s="624">
        <v>64</v>
      </c>
      <c r="Y148" s="631">
        <v>1</v>
      </c>
      <c r="Z148" s="628">
        <f>VLOOKUP(A148,'[2]2022 toutes communes'!$B$9:$D$317,3,FALSE)</f>
        <v>1890</v>
      </c>
      <c r="AA148" s="617"/>
      <c r="AB148" s="618"/>
      <c r="AC148" s="547">
        <f>AB148/VPI!R148</f>
        <v>0</v>
      </c>
      <c r="AD148" s="548">
        <f t="shared" si="10"/>
        <v>0</v>
      </c>
      <c r="AE148" s="547">
        <f>AD148/VPI!R148</f>
        <v>0</v>
      </c>
      <c r="AF148" s="618"/>
      <c r="AG148" s="618"/>
      <c r="AH148" s="618"/>
      <c r="AI148" s="627"/>
      <c r="AJ148" s="628"/>
      <c r="AK148" s="547">
        <f>AJ148/VPI!R148</f>
        <v>0</v>
      </c>
      <c r="AL148" s="548">
        <f t="shared" si="11"/>
        <v>0</v>
      </c>
      <c r="AM148" s="547">
        <f>AL148/VPI!R148</f>
        <v>0</v>
      </c>
      <c r="AN148" s="628"/>
      <c r="AO148" s="627"/>
      <c r="AP148" s="629">
        <v>36.041463686557279</v>
      </c>
      <c r="AR148" s="630">
        <v>1</v>
      </c>
    </row>
    <row r="149" spans="1:1476" x14ac:dyDescent="0.25">
      <c r="A149" s="608">
        <v>5650</v>
      </c>
      <c r="B149" s="609" t="s">
        <v>266</v>
      </c>
      <c r="C149" s="610">
        <v>2341763.13</v>
      </c>
      <c r="D149" s="610">
        <v>2670086.7999999998</v>
      </c>
      <c r="E149" s="610"/>
      <c r="F149" s="611"/>
      <c r="G149" s="610">
        <v>8365.2000000000007</v>
      </c>
      <c r="H149" s="610">
        <v>16.45</v>
      </c>
      <c r="I149" s="610"/>
      <c r="J149" s="610">
        <v>-4147.5600000000004</v>
      </c>
      <c r="K149" s="610"/>
      <c r="L149" s="610">
        <v>57895</v>
      </c>
      <c r="M149" s="434">
        <f t="shared" si="8"/>
        <v>5073979.0200000005</v>
      </c>
      <c r="N149" s="612">
        <v>0</v>
      </c>
      <c r="O149" s="612">
        <v>32535.4</v>
      </c>
      <c r="P149" s="612">
        <v>0</v>
      </c>
      <c r="Q149" s="612">
        <v>0</v>
      </c>
      <c r="R149" s="612">
        <v>0</v>
      </c>
      <c r="S149" s="610">
        <v>875.93</v>
      </c>
      <c r="T149" s="543">
        <f t="shared" si="9"/>
        <v>5107390.3500000006</v>
      </c>
      <c r="U149" s="575">
        <v>-0.02</v>
      </c>
      <c r="V149" s="612"/>
      <c r="W149" s="612">
        <v>-435.55</v>
      </c>
      <c r="X149" s="624">
        <v>56</v>
      </c>
      <c r="Y149" s="631">
        <v>1.25</v>
      </c>
      <c r="Z149" s="628">
        <f>VLOOKUP(A149,'[2]2022 toutes communes'!$B$9:$D$317,3,FALSE)</f>
        <v>185</v>
      </c>
      <c r="AA149" s="617"/>
      <c r="AB149" s="618"/>
      <c r="AC149" s="547">
        <f>AB149/VPI!R149</f>
        <v>0</v>
      </c>
      <c r="AD149" s="548">
        <f t="shared" si="10"/>
        <v>0</v>
      </c>
      <c r="AE149" s="547">
        <f>AD149/VPI!R149</f>
        <v>0</v>
      </c>
      <c r="AF149" s="618"/>
      <c r="AG149" s="618"/>
      <c r="AH149" s="618"/>
      <c r="AI149" s="627"/>
      <c r="AJ149" s="628"/>
      <c r="AK149" s="547">
        <f>AJ149/VPI!R149</f>
        <v>0</v>
      </c>
      <c r="AL149" s="548">
        <f t="shared" si="11"/>
        <v>0</v>
      </c>
      <c r="AM149" s="547">
        <f>AL149/VPI!R149</f>
        <v>0</v>
      </c>
      <c r="AN149" s="628"/>
      <c r="AO149" s="627"/>
      <c r="AP149" s="629">
        <v>57.959022712080113</v>
      </c>
      <c r="AR149" s="630">
        <v>0</v>
      </c>
    </row>
    <row r="150" spans="1:1476" x14ac:dyDescent="0.25">
      <c r="A150" s="608">
        <v>5651</v>
      </c>
      <c r="B150" s="609" t="s">
        <v>267</v>
      </c>
      <c r="C150" s="610">
        <v>2120790.39</v>
      </c>
      <c r="D150" s="610">
        <v>306464.87</v>
      </c>
      <c r="E150" s="610"/>
      <c r="F150" s="611"/>
      <c r="G150" s="610">
        <v>506064.9</v>
      </c>
      <c r="H150" s="610">
        <v>49863</v>
      </c>
      <c r="I150" s="610"/>
      <c r="J150" s="610">
        <v>59028.82</v>
      </c>
      <c r="K150" s="610">
        <v>3066.7</v>
      </c>
      <c r="L150" s="610">
        <v>377858.7</v>
      </c>
      <c r="M150" s="434">
        <f t="shared" si="8"/>
        <v>3423137.3800000004</v>
      </c>
      <c r="N150" s="612">
        <v>218515.45</v>
      </c>
      <c r="O150" s="612">
        <v>16601.900000000001</v>
      </c>
      <c r="P150" s="612">
        <v>167942.5</v>
      </c>
      <c r="Q150" s="612">
        <v>341300.04</v>
      </c>
      <c r="R150" s="612">
        <v>108775</v>
      </c>
      <c r="S150" s="610">
        <v>58097.32</v>
      </c>
      <c r="T150" s="543">
        <f t="shared" si="9"/>
        <v>4334369.5900000008</v>
      </c>
      <c r="U150" s="575">
        <v>-433097.85</v>
      </c>
      <c r="V150" s="612"/>
      <c r="W150" s="612">
        <v>-943.98</v>
      </c>
      <c r="X150" s="624">
        <v>60.5</v>
      </c>
      <c r="Y150" s="631">
        <v>1</v>
      </c>
      <c r="Z150" s="628">
        <f>VLOOKUP(A150,'[2]2022 toutes communes'!$B$9:$D$317,3,FALSE)</f>
        <v>978</v>
      </c>
      <c r="AA150" s="617"/>
      <c r="AB150" s="618">
        <v>20656</v>
      </c>
      <c r="AC150" s="547">
        <f>AB150/VPI!R150</f>
        <v>0.36880348673947788</v>
      </c>
      <c r="AD150" s="548">
        <f t="shared" si="10"/>
        <v>92177</v>
      </c>
      <c r="AE150" s="547">
        <f>AD150/VPI!R150</f>
        <v>1.6457784177568189</v>
      </c>
      <c r="AF150" s="618">
        <v>112833</v>
      </c>
      <c r="AG150" s="618">
        <v>441991</v>
      </c>
      <c r="AH150" s="618">
        <v>23351</v>
      </c>
      <c r="AI150" s="627"/>
      <c r="AJ150" s="628">
        <v>0</v>
      </c>
      <c r="AK150" s="547">
        <f>AJ150/VPI!R150</f>
        <v>0</v>
      </c>
      <c r="AL150" s="548">
        <f t="shared" si="11"/>
        <v>26448</v>
      </c>
      <c r="AM150" s="547">
        <f>AL150/VPI!R150</f>
        <v>0.47221701284303402</v>
      </c>
      <c r="AN150" s="628">
        <v>26448</v>
      </c>
      <c r="AO150" s="627"/>
      <c r="AP150" s="629">
        <v>31.374911077557531</v>
      </c>
      <c r="AR150" s="630">
        <v>1</v>
      </c>
    </row>
    <row r="151" spans="1:1476" x14ac:dyDescent="0.25">
      <c r="A151" s="608">
        <v>5652</v>
      </c>
      <c r="B151" s="609" t="s">
        <v>178</v>
      </c>
      <c r="C151" s="610">
        <v>1519352.67</v>
      </c>
      <c r="D151" s="610">
        <v>303839.38</v>
      </c>
      <c r="E151" s="610"/>
      <c r="F151" s="611"/>
      <c r="G151" s="610">
        <v>7908.15</v>
      </c>
      <c r="H151" s="610">
        <v>375.55</v>
      </c>
      <c r="I151" s="610"/>
      <c r="J151" s="610">
        <v>41549.61</v>
      </c>
      <c r="K151" s="610">
        <v>854.15</v>
      </c>
      <c r="L151" s="610">
        <v>140133.95000000001</v>
      </c>
      <c r="M151" s="434">
        <f t="shared" si="8"/>
        <v>2014013.4599999997</v>
      </c>
      <c r="N151" s="612">
        <v>0</v>
      </c>
      <c r="O151" s="612">
        <v>301155.20000000001</v>
      </c>
      <c r="P151" s="612">
        <v>106029</v>
      </c>
      <c r="Q151" s="612">
        <v>697.31</v>
      </c>
      <c r="R151" s="612">
        <v>84138.25</v>
      </c>
      <c r="S151" s="610">
        <v>865.69</v>
      </c>
      <c r="T151" s="543">
        <f t="shared" si="9"/>
        <v>2506898.9099999997</v>
      </c>
      <c r="U151" s="575">
        <v>-17013.669999999998</v>
      </c>
      <c r="V151" s="612"/>
      <c r="W151" s="612">
        <v>-2458.98</v>
      </c>
      <c r="X151" s="624">
        <v>76</v>
      </c>
      <c r="Y151" s="631">
        <v>1.2</v>
      </c>
      <c r="Z151" s="628">
        <f>VLOOKUP(A151,'[2]2022 toutes communes'!$B$9:$D$317,3,FALSE)</f>
        <v>615</v>
      </c>
      <c r="AA151" s="617"/>
      <c r="AB151" s="618">
        <v>12431</v>
      </c>
      <c r="AC151" s="547">
        <f>AB151/VPI!R151</f>
        <v>0.47890350281247379</v>
      </c>
      <c r="AD151" s="548">
        <f t="shared" si="10"/>
        <v>322790</v>
      </c>
      <c r="AE151" s="547">
        <f>AD151/VPI!R151</f>
        <v>12.435464698965362</v>
      </c>
      <c r="AF151" s="618">
        <v>335221</v>
      </c>
      <c r="AG151" s="618">
        <v>49154</v>
      </c>
      <c r="AH151" s="618">
        <v>75258</v>
      </c>
      <c r="AI151" s="627"/>
      <c r="AJ151" s="628">
        <v>0</v>
      </c>
      <c r="AK151" s="547">
        <f>AJ151/VPI!R151</f>
        <v>0</v>
      </c>
      <c r="AL151" s="548">
        <f t="shared" si="11"/>
        <v>13949</v>
      </c>
      <c r="AM151" s="547">
        <f>AL151/VPI!R151</f>
        <v>0.53738435851751243</v>
      </c>
      <c r="AN151" s="628">
        <v>13949</v>
      </c>
      <c r="AO151" s="627"/>
      <c r="AP151" s="629">
        <v>23.927594865418332</v>
      </c>
      <c r="AR151" s="630">
        <v>0</v>
      </c>
    </row>
    <row r="152" spans="1:1476" s="632" customFormat="1" x14ac:dyDescent="0.25">
      <c r="A152" s="608">
        <v>5653</v>
      </c>
      <c r="B152" s="609" t="s">
        <v>179</v>
      </c>
      <c r="C152" s="610">
        <v>2828765.97</v>
      </c>
      <c r="D152" s="610">
        <v>910564.86</v>
      </c>
      <c r="E152" s="610"/>
      <c r="F152" s="611"/>
      <c r="G152" s="610">
        <v>23623</v>
      </c>
      <c r="H152" s="610">
        <v>8527.2000000000007</v>
      </c>
      <c r="I152" s="610">
        <v>154696.4</v>
      </c>
      <c r="J152" s="610">
        <v>15596.85</v>
      </c>
      <c r="K152" s="610">
        <v>-15452.85</v>
      </c>
      <c r="L152" s="610">
        <v>216144.8</v>
      </c>
      <c r="M152" s="434">
        <f t="shared" si="8"/>
        <v>4142466.23</v>
      </c>
      <c r="N152" s="612">
        <v>4772.5</v>
      </c>
      <c r="O152" s="612"/>
      <c r="P152" s="612">
        <v>229944</v>
      </c>
      <c r="Q152" s="612">
        <v>133.04</v>
      </c>
      <c r="R152" s="612">
        <v>130038.3</v>
      </c>
      <c r="S152" s="610">
        <v>3359.86</v>
      </c>
      <c r="T152" s="543">
        <f t="shared" si="9"/>
        <v>4510713.9300000006</v>
      </c>
      <c r="U152" s="575">
        <v>-406.57</v>
      </c>
      <c r="V152" s="612"/>
      <c r="W152" s="612">
        <v>-25790.98</v>
      </c>
      <c r="X152" s="624">
        <v>58.5</v>
      </c>
      <c r="Y152" s="631">
        <v>0.8</v>
      </c>
      <c r="Z152" s="628">
        <f>VLOOKUP(A152,'[2]2022 toutes communes'!$B$9:$D$317,3,FALSE)</f>
        <v>884</v>
      </c>
      <c r="AA152" s="617"/>
      <c r="AB152" s="618"/>
      <c r="AC152" s="547">
        <f>AB152/VPI!R152</f>
        <v>0</v>
      </c>
      <c r="AD152" s="548">
        <f t="shared" si="10"/>
        <v>0</v>
      </c>
      <c r="AE152" s="547">
        <f>AD152/VPI!R152</f>
        <v>0</v>
      </c>
      <c r="AF152" s="618"/>
      <c r="AG152" s="618"/>
      <c r="AH152" s="618"/>
      <c r="AI152" s="637"/>
      <c r="AJ152" s="628"/>
      <c r="AK152" s="547">
        <f>AJ152/VPI!R152</f>
        <v>0</v>
      </c>
      <c r="AL152" s="548">
        <f t="shared" si="11"/>
        <v>0</v>
      </c>
      <c r="AM152" s="547">
        <f>AL152/VPI!R152</f>
        <v>0</v>
      </c>
      <c r="AN152" s="628"/>
      <c r="AO152" s="637"/>
      <c r="AP152" s="629">
        <v>35.031043499808696</v>
      </c>
      <c r="AQ152" s="575"/>
      <c r="AR152" s="630">
        <v>0</v>
      </c>
      <c r="AS152" s="575"/>
      <c r="AT152" s="575"/>
      <c r="AU152" s="575"/>
      <c r="AV152" s="575"/>
      <c r="AW152" s="575"/>
      <c r="AX152" s="575"/>
      <c r="AY152" s="575"/>
      <c r="AZ152" s="575"/>
      <c r="BA152" s="575"/>
      <c r="BB152" s="575"/>
      <c r="BC152" s="575"/>
      <c r="BD152" s="575"/>
      <c r="BE152" s="575"/>
      <c r="BF152" s="575"/>
      <c r="BG152" s="575"/>
      <c r="BH152" s="575"/>
      <c r="BI152" s="575"/>
      <c r="BJ152" s="575"/>
      <c r="BK152" s="575"/>
      <c r="BL152" s="575"/>
      <c r="BM152" s="575"/>
      <c r="BN152" s="575"/>
      <c r="BO152" s="575"/>
      <c r="BP152" s="575"/>
      <c r="BQ152" s="575"/>
      <c r="BR152" s="575"/>
      <c r="BS152" s="575"/>
      <c r="BT152" s="575"/>
      <c r="BU152" s="575"/>
      <c r="BV152" s="575"/>
      <c r="BW152" s="575"/>
      <c r="BX152" s="575"/>
      <c r="BY152" s="575"/>
      <c r="BZ152" s="575"/>
      <c r="CA152" s="575"/>
      <c r="CB152" s="575"/>
      <c r="CC152" s="575"/>
      <c r="CD152" s="575"/>
      <c r="CE152" s="575"/>
      <c r="CF152" s="575"/>
      <c r="CG152" s="575"/>
      <c r="CH152" s="575"/>
      <c r="CI152" s="575"/>
      <c r="CJ152" s="575"/>
      <c r="CK152" s="575"/>
      <c r="CL152" s="575"/>
      <c r="CM152" s="575"/>
      <c r="CN152" s="575"/>
      <c r="CO152" s="575"/>
      <c r="CP152" s="575"/>
      <c r="CQ152" s="575"/>
      <c r="CR152" s="575"/>
      <c r="CS152" s="575"/>
      <c r="CT152" s="575"/>
      <c r="CU152" s="575"/>
      <c r="CV152" s="575"/>
      <c r="CW152" s="575"/>
      <c r="CX152" s="575"/>
      <c r="CY152" s="575"/>
      <c r="CZ152" s="575"/>
      <c r="DA152" s="575"/>
      <c r="DB152" s="575"/>
      <c r="DC152" s="575"/>
      <c r="DD152" s="575"/>
      <c r="DE152" s="575"/>
      <c r="DF152" s="575"/>
      <c r="DG152" s="575"/>
      <c r="DH152" s="575"/>
      <c r="DI152" s="575"/>
      <c r="DJ152" s="575"/>
      <c r="DK152" s="575"/>
      <c r="DL152" s="575"/>
      <c r="DM152" s="575"/>
      <c r="DN152" s="575"/>
      <c r="DO152" s="575"/>
      <c r="DP152" s="575"/>
      <c r="DQ152" s="575"/>
      <c r="DR152" s="575"/>
      <c r="DS152" s="575"/>
      <c r="DT152" s="575"/>
      <c r="DU152" s="575"/>
      <c r="DV152" s="575"/>
      <c r="DW152" s="575"/>
      <c r="DX152" s="575"/>
      <c r="DY152" s="575"/>
      <c r="DZ152" s="575"/>
      <c r="EA152" s="575"/>
      <c r="EB152" s="575"/>
      <c r="EC152" s="575"/>
      <c r="ED152" s="575"/>
      <c r="EE152" s="575"/>
      <c r="EF152" s="575"/>
      <c r="EG152" s="575"/>
      <c r="EH152" s="575"/>
      <c r="EI152" s="575"/>
      <c r="EJ152" s="575"/>
      <c r="EK152" s="575"/>
      <c r="EL152" s="575"/>
      <c r="EM152" s="575"/>
      <c r="EN152" s="575"/>
      <c r="EO152" s="575"/>
      <c r="EP152" s="575"/>
      <c r="EQ152" s="575"/>
      <c r="ER152" s="575"/>
      <c r="ES152" s="575"/>
      <c r="ET152" s="575"/>
      <c r="EU152" s="575"/>
      <c r="EV152" s="575"/>
      <c r="EW152" s="575"/>
      <c r="EX152" s="575"/>
      <c r="EY152" s="575"/>
      <c r="EZ152" s="575"/>
      <c r="FA152" s="575"/>
      <c r="FB152" s="575"/>
      <c r="FC152" s="575"/>
      <c r="FD152" s="575"/>
      <c r="FE152" s="575"/>
      <c r="FF152" s="575"/>
      <c r="FG152" s="575"/>
      <c r="FH152" s="575"/>
      <c r="FI152" s="575"/>
      <c r="FJ152" s="575"/>
      <c r="FK152" s="575"/>
      <c r="FL152" s="575"/>
      <c r="FM152" s="575"/>
      <c r="FN152" s="575"/>
      <c r="FO152" s="575"/>
      <c r="FP152" s="575"/>
      <c r="FQ152" s="575"/>
      <c r="FR152" s="575"/>
      <c r="FS152" s="575"/>
      <c r="FT152" s="575"/>
      <c r="FU152" s="575"/>
      <c r="FV152" s="575"/>
      <c r="FW152" s="575"/>
      <c r="FX152" s="575"/>
      <c r="FY152" s="575"/>
      <c r="FZ152" s="575"/>
      <c r="GA152" s="575"/>
      <c r="GB152" s="575"/>
      <c r="GC152" s="575"/>
      <c r="GD152" s="575"/>
      <c r="GE152" s="575"/>
      <c r="GF152" s="575"/>
      <c r="GG152" s="575"/>
      <c r="GH152" s="575"/>
      <c r="GI152" s="575"/>
      <c r="GJ152" s="575"/>
      <c r="GK152" s="575"/>
      <c r="GL152" s="575"/>
      <c r="GM152" s="575"/>
      <c r="GN152" s="575"/>
      <c r="GO152" s="575"/>
      <c r="GP152" s="575"/>
      <c r="GQ152" s="575"/>
      <c r="GR152" s="575"/>
      <c r="GS152" s="575"/>
      <c r="GT152" s="575"/>
      <c r="GU152" s="575"/>
      <c r="GV152" s="575"/>
      <c r="GW152" s="575"/>
      <c r="GX152" s="575"/>
      <c r="GY152" s="575"/>
      <c r="GZ152" s="575"/>
      <c r="HA152" s="575"/>
      <c r="HB152" s="575"/>
      <c r="HC152" s="575"/>
      <c r="HD152" s="575"/>
      <c r="HE152" s="575"/>
      <c r="HF152" s="575"/>
      <c r="HG152" s="575"/>
      <c r="HH152" s="575"/>
      <c r="HI152" s="575"/>
      <c r="HJ152" s="575"/>
      <c r="HK152" s="575"/>
      <c r="HL152" s="575"/>
      <c r="HM152" s="575"/>
      <c r="HN152" s="575"/>
      <c r="HO152" s="575"/>
      <c r="HP152" s="575"/>
      <c r="HQ152" s="575"/>
      <c r="HR152" s="575"/>
      <c r="HS152" s="575"/>
      <c r="HT152" s="575"/>
      <c r="HU152" s="575"/>
      <c r="HV152" s="575"/>
      <c r="HW152" s="575"/>
      <c r="HX152" s="575"/>
      <c r="HY152" s="575"/>
      <c r="HZ152" s="575"/>
      <c r="IA152" s="575"/>
      <c r="IB152" s="575"/>
      <c r="IC152" s="575"/>
      <c r="ID152" s="575"/>
      <c r="IE152" s="575"/>
      <c r="IF152" s="575"/>
      <c r="IG152" s="575"/>
      <c r="IH152" s="575"/>
      <c r="II152" s="575"/>
      <c r="IJ152" s="575"/>
      <c r="IK152" s="575"/>
      <c r="IL152" s="575"/>
      <c r="IM152" s="575"/>
      <c r="IN152" s="575"/>
      <c r="IO152" s="575"/>
      <c r="IP152" s="575"/>
      <c r="IQ152" s="575"/>
      <c r="IR152" s="575"/>
      <c r="IS152" s="575"/>
      <c r="IT152" s="575"/>
      <c r="IU152" s="575"/>
      <c r="IV152" s="575"/>
      <c r="IW152" s="575"/>
      <c r="IX152" s="575"/>
      <c r="IY152" s="575"/>
      <c r="IZ152" s="575"/>
      <c r="JA152" s="575"/>
      <c r="JB152" s="575"/>
      <c r="JC152" s="575"/>
      <c r="JD152" s="575"/>
      <c r="JE152" s="575"/>
      <c r="JF152" s="575"/>
      <c r="JG152" s="575"/>
      <c r="JH152" s="575"/>
      <c r="JI152" s="575"/>
      <c r="JJ152" s="575"/>
      <c r="JK152" s="575"/>
      <c r="JL152" s="575"/>
      <c r="JM152" s="575"/>
      <c r="JN152" s="575"/>
      <c r="JO152" s="575"/>
      <c r="JP152" s="575"/>
      <c r="JQ152" s="575"/>
      <c r="JR152" s="575"/>
      <c r="JS152" s="575"/>
      <c r="JT152" s="575"/>
      <c r="JU152" s="575"/>
      <c r="JV152" s="575"/>
      <c r="JW152" s="575"/>
      <c r="JX152" s="575"/>
      <c r="JY152" s="575"/>
      <c r="JZ152" s="575"/>
      <c r="KA152" s="575"/>
      <c r="KB152" s="575"/>
      <c r="KC152" s="575"/>
      <c r="KD152" s="575"/>
      <c r="KE152" s="575"/>
      <c r="KF152" s="575"/>
      <c r="KG152" s="575"/>
      <c r="KH152" s="575"/>
      <c r="KI152" s="575"/>
      <c r="KJ152" s="575"/>
      <c r="KK152" s="575"/>
      <c r="KL152" s="575"/>
      <c r="KM152" s="575"/>
      <c r="KN152" s="575"/>
      <c r="KO152" s="575"/>
      <c r="KP152" s="575"/>
      <c r="KQ152" s="575"/>
      <c r="KR152" s="575"/>
      <c r="KS152" s="575"/>
      <c r="KT152" s="575"/>
      <c r="KU152" s="575"/>
      <c r="KV152" s="575"/>
      <c r="KW152" s="575"/>
      <c r="KX152" s="575"/>
      <c r="KY152" s="575"/>
      <c r="KZ152" s="575"/>
      <c r="LA152" s="575"/>
      <c r="LB152" s="575"/>
      <c r="LC152" s="575"/>
      <c r="LD152" s="575"/>
      <c r="LE152" s="575"/>
      <c r="LF152" s="575"/>
      <c r="LG152" s="575"/>
      <c r="LH152" s="575"/>
      <c r="LI152" s="575"/>
      <c r="LJ152" s="575"/>
      <c r="LK152" s="575"/>
      <c r="LL152" s="575"/>
      <c r="LM152" s="575"/>
      <c r="LN152" s="575"/>
      <c r="LO152" s="575"/>
      <c r="LP152" s="575"/>
      <c r="LQ152" s="575"/>
      <c r="LR152" s="575"/>
      <c r="LS152" s="575"/>
      <c r="LT152" s="575"/>
      <c r="LU152" s="575"/>
      <c r="LV152" s="575"/>
      <c r="LW152" s="575"/>
      <c r="LX152" s="575"/>
      <c r="LY152" s="575"/>
      <c r="LZ152" s="575"/>
      <c r="MA152" s="575"/>
      <c r="MB152" s="575"/>
      <c r="MC152" s="575"/>
      <c r="MD152" s="575"/>
      <c r="ME152" s="575"/>
      <c r="MF152" s="575"/>
      <c r="MG152" s="575"/>
      <c r="MH152" s="575"/>
      <c r="MI152" s="575"/>
      <c r="MJ152" s="575"/>
      <c r="MK152" s="575"/>
      <c r="ML152" s="575"/>
      <c r="MM152" s="575"/>
      <c r="MN152" s="575"/>
      <c r="MO152" s="575"/>
      <c r="MP152" s="575"/>
      <c r="MQ152" s="575"/>
      <c r="MR152" s="575"/>
      <c r="MS152" s="575"/>
      <c r="MT152" s="575"/>
      <c r="MU152" s="575"/>
      <c r="MV152" s="575"/>
      <c r="MW152" s="575"/>
      <c r="MX152" s="575"/>
      <c r="MY152" s="575"/>
      <c r="MZ152" s="575"/>
      <c r="NA152" s="575"/>
      <c r="NB152" s="575"/>
      <c r="NC152" s="575"/>
      <c r="ND152" s="575"/>
      <c r="NE152" s="575"/>
      <c r="NF152" s="575"/>
      <c r="NG152" s="575"/>
      <c r="NH152" s="575"/>
      <c r="NI152" s="575"/>
      <c r="NJ152" s="575"/>
      <c r="NK152" s="575"/>
      <c r="NL152" s="575"/>
      <c r="NM152" s="575"/>
      <c r="NN152" s="575"/>
      <c r="NO152" s="575"/>
      <c r="NP152" s="575"/>
      <c r="NQ152" s="575"/>
      <c r="NR152" s="575"/>
      <c r="NS152" s="575"/>
      <c r="NT152" s="575"/>
      <c r="NU152" s="575"/>
      <c r="NV152" s="575"/>
      <c r="NW152" s="575"/>
      <c r="NX152" s="575"/>
      <c r="NY152" s="575"/>
      <c r="NZ152" s="575"/>
      <c r="OA152" s="575"/>
      <c r="OB152" s="575"/>
      <c r="OC152" s="575"/>
      <c r="OD152" s="575"/>
      <c r="OE152" s="575"/>
      <c r="OF152" s="575"/>
      <c r="OG152" s="575"/>
      <c r="OH152" s="575"/>
      <c r="OI152" s="575"/>
      <c r="OJ152" s="575"/>
      <c r="OK152" s="575"/>
      <c r="OL152" s="575"/>
      <c r="OM152" s="575"/>
      <c r="ON152" s="575"/>
      <c r="OO152" s="575"/>
      <c r="OP152" s="575"/>
      <c r="OQ152" s="575"/>
      <c r="OR152" s="575"/>
      <c r="OS152" s="575"/>
      <c r="OT152" s="575"/>
      <c r="OU152" s="575"/>
      <c r="OV152" s="575"/>
      <c r="OW152" s="575"/>
      <c r="OX152" s="575"/>
      <c r="OY152" s="575"/>
      <c r="OZ152" s="575"/>
      <c r="PA152" s="575"/>
      <c r="PB152" s="575"/>
      <c r="PC152" s="575"/>
      <c r="PD152" s="575"/>
      <c r="PE152" s="575"/>
      <c r="PF152" s="575"/>
      <c r="PG152" s="575"/>
      <c r="PH152" s="575"/>
      <c r="PI152" s="575"/>
      <c r="PJ152" s="575"/>
      <c r="PK152" s="575"/>
      <c r="PL152" s="575"/>
      <c r="PM152" s="575"/>
      <c r="PN152" s="575"/>
      <c r="PO152" s="575"/>
      <c r="PP152" s="575"/>
      <c r="PQ152" s="575"/>
      <c r="PR152" s="575"/>
      <c r="PS152" s="575"/>
      <c r="PT152" s="575"/>
      <c r="PU152" s="575"/>
      <c r="PV152" s="575"/>
      <c r="PW152" s="575"/>
      <c r="PX152" s="575"/>
      <c r="PY152" s="575"/>
      <c r="PZ152" s="575"/>
      <c r="QA152" s="575"/>
      <c r="QB152" s="575"/>
      <c r="QC152" s="575"/>
      <c r="QD152" s="575"/>
      <c r="QE152" s="575"/>
      <c r="QF152" s="575"/>
      <c r="QG152" s="575"/>
      <c r="QH152" s="575"/>
      <c r="QI152" s="575"/>
      <c r="QJ152" s="575"/>
      <c r="QK152" s="575"/>
      <c r="QL152" s="575"/>
      <c r="QM152" s="575"/>
      <c r="QN152" s="575"/>
      <c r="QO152" s="575"/>
      <c r="QP152" s="575"/>
      <c r="QQ152" s="575"/>
      <c r="QR152" s="575"/>
      <c r="QS152" s="575"/>
      <c r="QT152" s="575"/>
      <c r="QU152" s="575"/>
      <c r="QV152" s="575"/>
      <c r="QW152" s="575"/>
      <c r="QX152" s="575"/>
      <c r="QY152" s="575"/>
      <c r="QZ152" s="575"/>
      <c r="RA152" s="575"/>
      <c r="RB152" s="575"/>
      <c r="RC152" s="575"/>
      <c r="RD152" s="575"/>
      <c r="RE152" s="575"/>
      <c r="RF152" s="575"/>
      <c r="RG152" s="575"/>
      <c r="RH152" s="575"/>
      <c r="RI152" s="575"/>
      <c r="RJ152" s="575"/>
      <c r="RK152" s="575"/>
      <c r="RL152" s="575"/>
      <c r="RM152" s="575"/>
      <c r="RN152" s="575"/>
      <c r="RO152" s="575"/>
      <c r="RP152" s="575"/>
      <c r="RQ152" s="575"/>
      <c r="RR152" s="575"/>
      <c r="RS152" s="575"/>
      <c r="RT152" s="575"/>
      <c r="RU152" s="575"/>
      <c r="RV152" s="575"/>
      <c r="RW152" s="575"/>
      <c r="RX152" s="575"/>
      <c r="RY152" s="575"/>
      <c r="RZ152" s="575"/>
      <c r="SA152" s="575"/>
      <c r="SB152" s="575"/>
      <c r="SC152" s="575"/>
      <c r="SD152" s="575"/>
      <c r="SE152" s="575"/>
      <c r="SF152" s="575"/>
      <c r="SG152" s="575"/>
      <c r="SH152" s="575"/>
      <c r="SI152" s="575"/>
      <c r="SJ152" s="575"/>
      <c r="SK152" s="575"/>
      <c r="SL152" s="575"/>
      <c r="SM152" s="575"/>
      <c r="SN152" s="575"/>
      <c r="SO152" s="575"/>
      <c r="SP152" s="575"/>
      <c r="SQ152" s="575"/>
      <c r="SR152" s="575"/>
      <c r="SS152" s="575"/>
      <c r="ST152" s="575"/>
      <c r="SU152" s="575"/>
      <c r="SV152" s="575"/>
      <c r="SW152" s="575"/>
      <c r="SX152" s="575"/>
      <c r="SY152" s="575"/>
      <c r="SZ152" s="575"/>
      <c r="TA152" s="575"/>
      <c r="TB152" s="575"/>
      <c r="TC152" s="575"/>
      <c r="TD152" s="575"/>
      <c r="TE152" s="575"/>
      <c r="TF152" s="575"/>
      <c r="TG152" s="575"/>
      <c r="TH152" s="575"/>
      <c r="TI152" s="575"/>
      <c r="TJ152" s="575"/>
      <c r="TK152" s="575"/>
      <c r="TL152" s="575"/>
      <c r="TM152" s="575"/>
      <c r="TN152" s="575"/>
      <c r="TO152" s="575"/>
      <c r="TP152" s="575"/>
      <c r="TQ152" s="575"/>
      <c r="TR152" s="575"/>
      <c r="TS152" s="575"/>
      <c r="TT152" s="575"/>
      <c r="TU152" s="575"/>
      <c r="TV152" s="575"/>
      <c r="TW152" s="575"/>
      <c r="TX152" s="575"/>
      <c r="TY152" s="575"/>
      <c r="TZ152" s="575"/>
      <c r="UA152" s="575"/>
      <c r="UB152" s="575"/>
      <c r="UC152" s="575"/>
      <c r="UD152" s="575"/>
      <c r="UE152" s="575"/>
      <c r="UF152" s="575"/>
      <c r="UG152" s="575"/>
      <c r="UH152" s="575"/>
      <c r="UI152" s="575"/>
      <c r="UJ152" s="575"/>
      <c r="UK152" s="575"/>
      <c r="UL152" s="575"/>
      <c r="UM152" s="575"/>
      <c r="UN152" s="575"/>
      <c r="UO152" s="575"/>
      <c r="UP152" s="575"/>
      <c r="UQ152" s="575"/>
      <c r="UR152" s="575"/>
      <c r="US152" s="575"/>
      <c r="UT152" s="575"/>
      <c r="UU152" s="575"/>
      <c r="UV152" s="575"/>
      <c r="UW152" s="575"/>
      <c r="UX152" s="575"/>
      <c r="UY152" s="575"/>
      <c r="UZ152" s="575"/>
      <c r="VA152" s="575"/>
      <c r="VB152" s="575"/>
      <c r="VC152" s="575"/>
      <c r="VD152" s="575"/>
      <c r="VE152" s="575"/>
      <c r="VF152" s="575"/>
      <c r="VG152" s="575"/>
      <c r="VH152" s="575"/>
      <c r="VI152" s="575"/>
      <c r="VJ152" s="575"/>
      <c r="VK152" s="575"/>
      <c r="VL152" s="575"/>
      <c r="VM152" s="575"/>
      <c r="VN152" s="575"/>
      <c r="VO152" s="575"/>
      <c r="VP152" s="575"/>
      <c r="VQ152" s="575"/>
      <c r="VR152" s="575"/>
      <c r="VS152" s="575"/>
      <c r="VT152" s="575"/>
      <c r="VU152" s="575"/>
      <c r="VV152" s="575"/>
      <c r="VW152" s="575"/>
      <c r="VX152" s="575"/>
      <c r="VY152" s="575"/>
      <c r="VZ152" s="575"/>
      <c r="WA152" s="575"/>
      <c r="WB152" s="575"/>
      <c r="WC152" s="575"/>
      <c r="WD152" s="575"/>
      <c r="WE152" s="575"/>
      <c r="WF152" s="575"/>
      <c r="WG152" s="575"/>
      <c r="WH152" s="575"/>
      <c r="WI152" s="575"/>
      <c r="WJ152" s="575"/>
      <c r="WK152" s="575"/>
      <c r="WL152" s="575"/>
      <c r="WM152" s="575"/>
      <c r="WN152" s="575"/>
      <c r="WO152" s="575"/>
      <c r="WP152" s="575"/>
      <c r="WQ152" s="575"/>
      <c r="WR152" s="575"/>
      <c r="WS152" s="575"/>
      <c r="WT152" s="575"/>
      <c r="WU152" s="575"/>
      <c r="WV152" s="575"/>
      <c r="WW152" s="575"/>
      <c r="WX152" s="575"/>
      <c r="WY152" s="575"/>
      <c r="WZ152" s="575"/>
      <c r="XA152" s="575"/>
      <c r="XB152" s="575"/>
      <c r="XC152" s="575"/>
      <c r="XD152" s="575"/>
      <c r="XE152" s="575"/>
      <c r="XF152" s="575"/>
      <c r="XG152" s="575"/>
      <c r="XH152" s="575"/>
      <c r="XI152" s="575"/>
      <c r="XJ152" s="575"/>
      <c r="XK152" s="575"/>
      <c r="XL152" s="575"/>
      <c r="XM152" s="575"/>
      <c r="XN152" s="575"/>
      <c r="XO152" s="575"/>
      <c r="XP152" s="575"/>
      <c r="XQ152" s="575"/>
      <c r="XR152" s="575"/>
      <c r="XS152" s="575"/>
      <c r="XT152" s="575"/>
      <c r="XU152" s="575"/>
      <c r="XV152" s="575"/>
      <c r="XW152" s="575"/>
      <c r="XX152" s="575"/>
      <c r="XY152" s="575"/>
      <c r="XZ152" s="575"/>
      <c r="YA152" s="575"/>
      <c r="YB152" s="575"/>
      <c r="YC152" s="575"/>
      <c r="YD152" s="575"/>
      <c r="YE152" s="575"/>
      <c r="YF152" s="575"/>
      <c r="YG152" s="575"/>
      <c r="YH152" s="575"/>
      <c r="YI152" s="575"/>
      <c r="YJ152" s="575"/>
      <c r="YK152" s="575"/>
      <c r="YL152" s="575"/>
      <c r="YM152" s="575"/>
      <c r="YN152" s="575"/>
      <c r="YO152" s="575"/>
      <c r="YP152" s="575"/>
      <c r="YQ152" s="575"/>
      <c r="YR152" s="575"/>
      <c r="YS152" s="575"/>
      <c r="YT152" s="575"/>
      <c r="YU152" s="575"/>
      <c r="YV152" s="575"/>
      <c r="YW152" s="575"/>
      <c r="YX152" s="575"/>
      <c r="YY152" s="575"/>
      <c r="YZ152" s="575"/>
      <c r="ZA152" s="575"/>
      <c r="ZB152" s="575"/>
      <c r="ZC152" s="575"/>
      <c r="ZD152" s="575"/>
      <c r="ZE152" s="575"/>
      <c r="ZF152" s="575"/>
      <c r="ZG152" s="575"/>
      <c r="ZH152" s="575"/>
      <c r="ZI152" s="575"/>
      <c r="ZJ152" s="575"/>
      <c r="ZK152" s="575"/>
      <c r="ZL152" s="575"/>
      <c r="ZM152" s="575"/>
      <c r="ZN152" s="575"/>
      <c r="ZO152" s="575"/>
      <c r="ZP152" s="575"/>
      <c r="ZQ152" s="575"/>
      <c r="ZR152" s="575"/>
      <c r="ZS152" s="575"/>
      <c r="ZT152" s="575"/>
      <c r="ZU152" s="575"/>
      <c r="ZV152" s="575"/>
      <c r="ZW152" s="575"/>
      <c r="ZX152" s="575"/>
      <c r="ZY152" s="575"/>
      <c r="ZZ152" s="575"/>
      <c r="AAA152" s="575"/>
      <c r="AAB152" s="575"/>
      <c r="AAC152" s="575"/>
      <c r="AAD152" s="575"/>
      <c r="AAE152" s="575"/>
      <c r="AAF152" s="575"/>
      <c r="AAG152" s="575"/>
      <c r="AAH152" s="575"/>
      <c r="AAI152" s="575"/>
      <c r="AAJ152" s="575"/>
      <c r="AAK152" s="575"/>
      <c r="AAL152" s="575"/>
      <c r="AAM152" s="575"/>
      <c r="AAN152" s="575"/>
      <c r="AAO152" s="575"/>
      <c r="AAP152" s="575"/>
      <c r="AAQ152" s="575"/>
      <c r="AAR152" s="575"/>
      <c r="AAS152" s="575"/>
      <c r="AAT152" s="575"/>
      <c r="AAU152" s="575"/>
      <c r="AAV152" s="575"/>
      <c r="AAW152" s="575"/>
      <c r="AAX152" s="575"/>
      <c r="AAY152" s="575"/>
      <c r="AAZ152" s="575"/>
      <c r="ABA152" s="575"/>
      <c r="ABB152" s="575"/>
      <c r="ABC152" s="575"/>
      <c r="ABD152" s="575"/>
      <c r="ABE152" s="575"/>
      <c r="ABF152" s="575"/>
      <c r="ABG152" s="575"/>
      <c r="ABH152" s="575"/>
      <c r="ABI152" s="575"/>
      <c r="ABJ152" s="575"/>
      <c r="ABK152" s="575"/>
      <c r="ABL152" s="575"/>
      <c r="ABM152" s="575"/>
      <c r="ABN152" s="575"/>
      <c r="ABO152" s="575"/>
      <c r="ABP152" s="575"/>
      <c r="ABQ152" s="575"/>
      <c r="ABR152" s="575"/>
      <c r="ABS152" s="575"/>
      <c r="ABT152" s="575"/>
      <c r="ABU152" s="575"/>
      <c r="ABV152" s="575"/>
      <c r="ABW152" s="575"/>
      <c r="ABX152" s="575"/>
      <c r="ABY152" s="575"/>
      <c r="ABZ152" s="575"/>
      <c r="ACA152" s="575"/>
      <c r="ACB152" s="575"/>
      <c r="ACC152" s="575"/>
      <c r="ACD152" s="575"/>
      <c r="ACE152" s="575"/>
      <c r="ACF152" s="575"/>
      <c r="ACG152" s="575"/>
      <c r="ACH152" s="575"/>
      <c r="ACI152" s="575"/>
      <c r="ACJ152" s="575"/>
      <c r="ACK152" s="575"/>
      <c r="ACL152" s="575"/>
      <c r="ACM152" s="575"/>
      <c r="ACN152" s="575"/>
      <c r="ACO152" s="575"/>
      <c r="ACP152" s="575"/>
      <c r="ACQ152" s="575"/>
      <c r="ACR152" s="575"/>
      <c r="ACS152" s="575"/>
      <c r="ACT152" s="575"/>
      <c r="ACU152" s="575"/>
      <c r="ACV152" s="575"/>
      <c r="ACW152" s="575"/>
      <c r="ACX152" s="575"/>
      <c r="ACY152" s="575"/>
      <c r="ACZ152" s="575"/>
      <c r="ADA152" s="575"/>
      <c r="ADB152" s="575"/>
      <c r="ADC152" s="575"/>
      <c r="ADD152" s="575"/>
      <c r="ADE152" s="575"/>
      <c r="ADF152" s="575"/>
      <c r="ADG152" s="575"/>
      <c r="ADH152" s="575"/>
      <c r="ADI152" s="575"/>
      <c r="ADJ152" s="575"/>
      <c r="ADK152" s="575"/>
      <c r="ADL152" s="575"/>
      <c r="ADM152" s="575"/>
      <c r="ADN152" s="575"/>
      <c r="ADO152" s="575"/>
      <c r="ADP152" s="575"/>
      <c r="ADQ152" s="575"/>
      <c r="ADR152" s="575"/>
      <c r="ADS152" s="575"/>
      <c r="ADT152" s="575"/>
      <c r="ADU152" s="575"/>
      <c r="ADV152" s="575"/>
      <c r="ADW152" s="575"/>
      <c r="ADX152" s="575"/>
      <c r="ADY152" s="575"/>
      <c r="ADZ152" s="575"/>
      <c r="AEA152" s="575"/>
      <c r="AEB152" s="575"/>
      <c r="AEC152" s="575"/>
      <c r="AED152" s="575"/>
      <c r="AEE152" s="575"/>
      <c r="AEF152" s="575"/>
      <c r="AEG152" s="575"/>
      <c r="AEH152" s="575"/>
      <c r="AEI152" s="575"/>
      <c r="AEJ152" s="575"/>
      <c r="AEK152" s="575"/>
      <c r="AEL152" s="575"/>
      <c r="AEM152" s="575"/>
      <c r="AEN152" s="575"/>
      <c r="AEO152" s="575"/>
      <c r="AEP152" s="575"/>
      <c r="AEQ152" s="575"/>
      <c r="AER152" s="575"/>
      <c r="AES152" s="575"/>
      <c r="AET152" s="575"/>
      <c r="AEU152" s="575"/>
      <c r="AEV152" s="575"/>
      <c r="AEW152" s="575"/>
      <c r="AEX152" s="575"/>
      <c r="AEY152" s="575"/>
      <c r="AEZ152" s="575"/>
      <c r="AFA152" s="575"/>
      <c r="AFB152" s="575"/>
      <c r="AFC152" s="575"/>
      <c r="AFD152" s="575"/>
      <c r="AFE152" s="575"/>
      <c r="AFF152" s="575"/>
      <c r="AFG152" s="575"/>
      <c r="AFH152" s="575"/>
      <c r="AFI152" s="575"/>
      <c r="AFJ152" s="575"/>
      <c r="AFK152" s="575"/>
      <c r="AFL152" s="575"/>
      <c r="AFM152" s="575"/>
      <c r="AFN152" s="575"/>
      <c r="AFO152" s="575"/>
      <c r="AFP152" s="575"/>
      <c r="AFQ152" s="575"/>
      <c r="AFR152" s="575"/>
      <c r="AFS152" s="575"/>
      <c r="AFT152" s="575"/>
      <c r="AFU152" s="575"/>
      <c r="AFV152" s="575"/>
      <c r="AFW152" s="575"/>
      <c r="AFX152" s="575"/>
      <c r="AFY152" s="575"/>
      <c r="AFZ152" s="575"/>
      <c r="AGA152" s="575"/>
      <c r="AGB152" s="575"/>
      <c r="AGC152" s="575"/>
      <c r="AGD152" s="575"/>
      <c r="AGE152" s="575"/>
      <c r="AGF152" s="575"/>
      <c r="AGG152" s="575"/>
      <c r="AGH152" s="575"/>
      <c r="AGI152" s="575"/>
      <c r="AGJ152" s="575"/>
      <c r="AGK152" s="575"/>
      <c r="AGL152" s="575"/>
      <c r="AGM152" s="575"/>
      <c r="AGN152" s="575"/>
      <c r="AGO152" s="575"/>
      <c r="AGP152" s="575"/>
      <c r="AGQ152" s="575"/>
      <c r="AGR152" s="575"/>
      <c r="AGS152" s="575"/>
      <c r="AGT152" s="575"/>
      <c r="AGU152" s="575"/>
      <c r="AGV152" s="575"/>
      <c r="AGW152" s="575"/>
      <c r="AGX152" s="575"/>
      <c r="AGY152" s="575"/>
      <c r="AGZ152" s="575"/>
      <c r="AHA152" s="575"/>
      <c r="AHB152" s="575"/>
      <c r="AHC152" s="575"/>
      <c r="AHD152" s="575"/>
      <c r="AHE152" s="575"/>
      <c r="AHF152" s="575"/>
      <c r="AHG152" s="575"/>
      <c r="AHH152" s="575"/>
      <c r="AHI152" s="575"/>
      <c r="AHJ152" s="575"/>
      <c r="AHK152" s="575"/>
      <c r="AHL152" s="575"/>
      <c r="AHM152" s="575"/>
      <c r="AHN152" s="575"/>
      <c r="AHO152" s="575"/>
      <c r="AHP152" s="575"/>
      <c r="AHQ152" s="575"/>
      <c r="AHR152" s="575"/>
      <c r="AHS152" s="575"/>
      <c r="AHT152" s="575"/>
      <c r="AHU152" s="575"/>
      <c r="AHV152" s="575"/>
      <c r="AHW152" s="575"/>
      <c r="AHX152" s="575"/>
      <c r="AHY152" s="575"/>
      <c r="AHZ152" s="575"/>
      <c r="AIA152" s="575"/>
      <c r="AIB152" s="575"/>
      <c r="AIC152" s="575"/>
      <c r="AID152" s="575"/>
      <c r="AIE152" s="575"/>
      <c r="AIF152" s="575"/>
      <c r="AIG152" s="575"/>
      <c r="AIH152" s="575"/>
      <c r="AII152" s="575"/>
      <c r="AIJ152" s="575"/>
      <c r="AIK152" s="575"/>
      <c r="AIL152" s="575"/>
      <c r="AIM152" s="575"/>
      <c r="AIN152" s="575"/>
      <c r="AIO152" s="575"/>
      <c r="AIP152" s="575"/>
      <c r="AIQ152" s="575"/>
      <c r="AIR152" s="575"/>
      <c r="AIS152" s="575"/>
      <c r="AIT152" s="575"/>
      <c r="AIU152" s="575"/>
      <c r="AIV152" s="575"/>
      <c r="AIW152" s="575"/>
      <c r="AIX152" s="575"/>
      <c r="AIY152" s="575"/>
      <c r="AIZ152" s="575"/>
      <c r="AJA152" s="575"/>
      <c r="AJB152" s="575"/>
      <c r="AJC152" s="575"/>
      <c r="AJD152" s="575"/>
      <c r="AJE152" s="575"/>
      <c r="AJF152" s="575"/>
      <c r="AJG152" s="575"/>
      <c r="AJH152" s="575"/>
      <c r="AJI152" s="575"/>
      <c r="AJJ152" s="575"/>
      <c r="AJK152" s="575"/>
      <c r="AJL152" s="575"/>
      <c r="AJM152" s="575"/>
      <c r="AJN152" s="575"/>
      <c r="AJO152" s="575"/>
      <c r="AJP152" s="575"/>
      <c r="AJQ152" s="575"/>
      <c r="AJR152" s="575"/>
      <c r="AJS152" s="575"/>
      <c r="AJT152" s="575"/>
      <c r="AJU152" s="575"/>
      <c r="AJV152" s="575"/>
      <c r="AJW152" s="575"/>
      <c r="AJX152" s="575"/>
      <c r="AJY152" s="575"/>
      <c r="AJZ152" s="575"/>
      <c r="AKA152" s="575"/>
      <c r="AKB152" s="575"/>
      <c r="AKC152" s="575"/>
      <c r="AKD152" s="575"/>
      <c r="AKE152" s="575"/>
      <c r="AKF152" s="575"/>
      <c r="AKG152" s="575"/>
      <c r="AKH152" s="575"/>
      <c r="AKI152" s="575"/>
      <c r="AKJ152" s="575"/>
      <c r="AKK152" s="575"/>
      <c r="AKL152" s="575"/>
      <c r="AKM152" s="575"/>
      <c r="AKN152" s="575"/>
      <c r="AKO152" s="575"/>
      <c r="AKP152" s="575"/>
      <c r="AKQ152" s="575"/>
      <c r="AKR152" s="575"/>
      <c r="AKS152" s="575"/>
      <c r="AKT152" s="575"/>
      <c r="AKU152" s="575"/>
      <c r="AKV152" s="575"/>
      <c r="AKW152" s="575"/>
      <c r="AKX152" s="575"/>
      <c r="AKY152" s="575"/>
      <c r="AKZ152" s="575"/>
      <c r="ALA152" s="575"/>
      <c r="ALB152" s="575"/>
      <c r="ALC152" s="575"/>
      <c r="ALD152" s="575"/>
      <c r="ALE152" s="575"/>
      <c r="ALF152" s="575"/>
      <c r="ALG152" s="575"/>
      <c r="ALH152" s="575"/>
      <c r="ALI152" s="575"/>
      <c r="ALJ152" s="575"/>
      <c r="ALK152" s="575"/>
      <c r="ALL152" s="575"/>
      <c r="ALM152" s="575"/>
      <c r="ALN152" s="575"/>
      <c r="ALO152" s="575"/>
      <c r="ALP152" s="575"/>
      <c r="ALQ152" s="575"/>
      <c r="ALR152" s="575"/>
      <c r="ALS152" s="575"/>
      <c r="ALT152" s="575"/>
      <c r="ALU152" s="575"/>
      <c r="ALV152" s="575"/>
      <c r="ALW152" s="575"/>
      <c r="ALX152" s="575"/>
      <c r="ALY152" s="575"/>
      <c r="ALZ152" s="575"/>
      <c r="AMA152" s="575"/>
      <c r="AMB152" s="575"/>
      <c r="AMC152" s="575"/>
      <c r="AMD152" s="575"/>
      <c r="AME152" s="575"/>
      <c r="AMF152" s="575"/>
      <c r="AMG152" s="575"/>
      <c r="AMH152" s="575"/>
      <c r="AMI152" s="575"/>
      <c r="AMJ152" s="575"/>
      <c r="AMK152" s="575"/>
      <c r="AML152" s="575"/>
      <c r="AMM152" s="575"/>
      <c r="AMN152" s="575"/>
      <c r="AMO152" s="575"/>
      <c r="AMP152" s="575"/>
      <c r="AMQ152" s="575"/>
      <c r="AMR152" s="575"/>
      <c r="AMS152" s="575"/>
      <c r="AMT152" s="575"/>
      <c r="AMU152" s="575"/>
      <c r="AMV152" s="575"/>
      <c r="AMW152" s="575"/>
      <c r="AMX152" s="575"/>
      <c r="AMY152" s="575"/>
      <c r="AMZ152" s="575"/>
      <c r="ANA152" s="575"/>
      <c r="ANB152" s="575"/>
      <c r="ANC152" s="575"/>
      <c r="AND152" s="575"/>
      <c r="ANE152" s="575"/>
      <c r="ANF152" s="575"/>
      <c r="ANG152" s="575"/>
      <c r="ANH152" s="575"/>
      <c r="ANI152" s="575"/>
      <c r="ANJ152" s="575"/>
      <c r="ANK152" s="575"/>
      <c r="ANL152" s="575"/>
      <c r="ANM152" s="575"/>
      <c r="ANN152" s="575"/>
      <c r="ANO152" s="575"/>
      <c r="ANP152" s="575"/>
      <c r="ANQ152" s="575"/>
      <c r="ANR152" s="575"/>
      <c r="ANS152" s="575"/>
      <c r="ANT152" s="575"/>
      <c r="ANU152" s="575"/>
      <c r="ANV152" s="575"/>
      <c r="ANW152" s="575"/>
      <c r="ANX152" s="575"/>
      <c r="ANY152" s="575"/>
      <c r="ANZ152" s="575"/>
      <c r="AOA152" s="575"/>
      <c r="AOB152" s="575"/>
      <c r="AOC152" s="575"/>
      <c r="AOD152" s="575"/>
      <c r="AOE152" s="575"/>
      <c r="AOF152" s="575"/>
      <c r="AOG152" s="575"/>
      <c r="AOH152" s="575"/>
      <c r="AOI152" s="575"/>
      <c r="AOJ152" s="575"/>
      <c r="AOK152" s="575"/>
      <c r="AOL152" s="575"/>
      <c r="AOM152" s="575"/>
      <c r="AON152" s="575"/>
      <c r="AOO152" s="575"/>
      <c r="AOP152" s="575"/>
      <c r="AOQ152" s="575"/>
      <c r="AOR152" s="575"/>
      <c r="AOS152" s="575"/>
      <c r="AOT152" s="575"/>
      <c r="AOU152" s="575"/>
      <c r="AOV152" s="575"/>
      <c r="AOW152" s="575"/>
      <c r="AOX152" s="575"/>
      <c r="AOY152" s="575"/>
      <c r="AOZ152" s="575"/>
      <c r="APA152" s="575"/>
      <c r="APB152" s="575"/>
      <c r="APC152" s="575"/>
      <c r="APD152" s="575"/>
      <c r="APE152" s="575"/>
      <c r="APF152" s="575"/>
      <c r="APG152" s="575"/>
      <c r="APH152" s="575"/>
      <c r="API152" s="575"/>
      <c r="APJ152" s="575"/>
      <c r="APK152" s="575"/>
      <c r="APL152" s="575"/>
      <c r="APM152" s="575"/>
      <c r="APN152" s="575"/>
      <c r="APO152" s="575"/>
      <c r="APP152" s="575"/>
      <c r="APQ152" s="575"/>
      <c r="APR152" s="575"/>
      <c r="APS152" s="575"/>
      <c r="APT152" s="575"/>
      <c r="APU152" s="575"/>
      <c r="APV152" s="575"/>
      <c r="APW152" s="575"/>
      <c r="APX152" s="575"/>
      <c r="APY152" s="575"/>
      <c r="APZ152" s="575"/>
      <c r="AQA152" s="575"/>
      <c r="AQB152" s="575"/>
      <c r="AQC152" s="575"/>
      <c r="AQD152" s="575"/>
      <c r="AQE152" s="575"/>
      <c r="AQF152" s="575"/>
      <c r="AQG152" s="575"/>
      <c r="AQH152" s="575"/>
      <c r="AQI152" s="575"/>
      <c r="AQJ152" s="575"/>
      <c r="AQK152" s="575"/>
      <c r="AQL152" s="575"/>
      <c r="AQM152" s="575"/>
      <c r="AQN152" s="575"/>
      <c r="AQO152" s="575"/>
      <c r="AQP152" s="575"/>
      <c r="AQQ152" s="575"/>
      <c r="AQR152" s="575"/>
      <c r="AQS152" s="575"/>
      <c r="AQT152" s="575"/>
      <c r="AQU152" s="575"/>
      <c r="AQV152" s="575"/>
      <c r="AQW152" s="575"/>
      <c r="AQX152" s="575"/>
      <c r="AQY152" s="575"/>
      <c r="AQZ152" s="575"/>
      <c r="ARA152" s="575"/>
      <c r="ARB152" s="575"/>
      <c r="ARC152" s="575"/>
      <c r="ARD152" s="575"/>
      <c r="ARE152" s="575"/>
      <c r="ARF152" s="575"/>
      <c r="ARG152" s="575"/>
      <c r="ARH152" s="575"/>
      <c r="ARI152" s="575"/>
      <c r="ARJ152" s="575"/>
      <c r="ARK152" s="575"/>
      <c r="ARL152" s="575"/>
      <c r="ARM152" s="575"/>
      <c r="ARN152" s="575"/>
      <c r="ARO152" s="575"/>
      <c r="ARP152" s="575"/>
      <c r="ARQ152" s="575"/>
      <c r="ARR152" s="575"/>
      <c r="ARS152" s="575"/>
      <c r="ART152" s="575"/>
      <c r="ARU152" s="575"/>
      <c r="ARV152" s="575"/>
      <c r="ARW152" s="575"/>
      <c r="ARX152" s="575"/>
      <c r="ARY152" s="575"/>
      <c r="ARZ152" s="575"/>
      <c r="ASA152" s="575"/>
      <c r="ASB152" s="575"/>
      <c r="ASC152" s="575"/>
      <c r="ASD152" s="575"/>
      <c r="ASE152" s="575"/>
      <c r="ASF152" s="575"/>
      <c r="ASG152" s="575"/>
      <c r="ASH152" s="575"/>
      <c r="ASI152" s="575"/>
      <c r="ASJ152" s="575"/>
      <c r="ASK152" s="575"/>
      <c r="ASL152" s="575"/>
      <c r="ASM152" s="575"/>
      <c r="ASN152" s="575"/>
      <c r="ASO152" s="575"/>
      <c r="ASP152" s="575"/>
      <c r="ASQ152" s="575"/>
      <c r="ASR152" s="575"/>
      <c r="ASS152" s="575"/>
      <c r="AST152" s="575"/>
      <c r="ASU152" s="575"/>
      <c r="ASV152" s="575"/>
      <c r="ASW152" s="575"/>
      <c r="ASX152" s="575"/>
      <c r="ASY152" s="575"/>
      <c r="ASZ152" s="575"/>
      <c r="ATA152" s="575"/>
      <c r="ATB152" s="575"/>
      <c r="ATC152" s="575"/>
      <c r="ATD152" s="575"/>
      <c r="ATE152" s="575"/>
      <c r="ATF152" s="575"/>
      <c r="ATG152" s="575"/>
      <c r="ATH152" s="575"/>
      <c r="ATI152" s="575"/>
      <c r="ATJ152" s="575"/>
      <c r="ATK152" s="575"/>
      <c r="ATL152" s="575"/>
      <c r="ATM152" s="575"/>
      <c r="ATN152" s="575"/>
      <c r="ATO152" s="575"/>
      <c r="ATP152" s="575"/>
      <c r="ATQ152" s="575"/>
      <c r="ATR152" s="575"/>
      <c r="ATS152" s="575"/>
      <c r="ATT152" s="575"/>
      <c r="ATU152" s="575"/>
      <c r="ATV152" s="575"/>
      <c r="ATW152" s="575"/>
      <c r="ATX152" s="575"/>
      <c r="ATY152" s="575"/>
      <c r="ATZ152" s="575"/>
      <c r="AUA152" s="575"/>
      <c r="AUB152" s="575"/>
      <c r="AUC152" s="575"/>
      <c r="AUD152" s="575"/>
      <c r="AUE152" s="575"/>
      <c r="AUF152" s="575"/>
      <c r="AUG152" s="575"/>
      <c r="AUH152" s="575"/>
      <c r="AUI152" s="575"/>
      <c r="AUJ152" s="575"/>
      <c r="AUK152" s="575"/>
      <c r="AUL152" s="575"/>
      <c r="AUM152" s="575"/>
      <c r="AUN152" s="575"/>
      <c r="AUO152" s="575"/>
      <c r="AUP152" s="575"/>
      <c r="AUQ152" s="575"/>
      <c r="AUR152" s="575"/>
      <c r="AUS152" s="575"/>
      <c r="AUT152" s="575"/>
      <c r="AUU152" s="575"/>
      <c r="AUV152" s="575"/>
      <c r="AUW152" s="575"/>
      <c r="AUX152" s="575"/>
      <c r="AUY152" s="575"/>
      <c r="AUZ152" s="575"/>
      <c r="AVA152" s="575"/>
      <c r="AVB152" s="575"/>
      <c r="AVC152" s="575"/>
      <c r="AVD152" s="575"/>
      <c r="AVE152" s="575"/>
      <c r="AVF152" s="575"/>
      <c r="AVG152" s="575"/>
      <c r="AVH152" s="575"/>
      <c r="AVI152" s="575"/>
      <c r="AVJ152" s="575"/>
      <c r="AVK152" s="575"/>
      <c r="AVL152" s="575"/>
      <c r="AVM152" s="575"/>
      <c r="AVN152" s="575"/>
      <c r="AVO152" s="575"/>
      <c r="AVP152" s="575"/>
      <c r="AVQ152" s="575"/>
      <c r="AVR152" s="575"/>
      <c r="AVS152" s="575"/>
      <c r="AVT152" s="575"/>
      <c r="AVU152" s="575"/>
      <c r="AVV152" s="575"/>
      <c r="AVW152" s="575"/>
      <c r="AVX152" s="575"/>
      <c r="AVY152" s="575"/>
      <c r="AVZ152" s="575"/>
      <c r="AWA152" s="575"/>
      <c r="AWB152" s="575"/>
      <c r="AWC152" s="575"/>
      <c r="AWD152" s="575"/>
      <c r="AWE152" s="575"/>
      <c r="AWF152" s="575"/>
      <c r="AWG152" s="575"/>
      <c r="AWH152" s="575"/>
      <c r="AWI152" s="575"/>
      <c r="AWJ152" s="575"/>
      <c r="AWK152" s="575"/>
      <c r="AWL152" s="575"/>
      <c r="AWM152" s="575"/>
      <c r="AWN152" s="575"/>
      <c r="AWO152" s="575"/>
      <c r="AWP152" s="575"/>
      <c r="AWQ152" s="575"/>
      <c r="AWR152" s="575"/>
      <c r="AWS152" s="575"/>
      <c r="AWT152" s="575"/>
      <c r="AWU152" s="575"/>
      <c r="AWV152" s="575"/>
      <c r="AWW152" s="575"/>
      <c r="AWX152" s="575"/>
      <c r="AWY152" s="575"/>
      <c r="AWZ152" s="575"/>
      <c r="AXA152" s="575"/>
      <c r="AXB152" s="575"/>
      <c r="AXC152" s="575"/>
      <c r="AXD152" s="575"/>
      <c r="AXE152" s="575"/>
      <c r="AXF152" s="575"/>
      <c r="AXG152" s="575"/>
      <c r="AXH152" s="575"/>
      <c r="AXI152" s="575"/>
      <c r="AXJ152" s="575"/>
      <c r="AXK152" s="575"/>
      <c r="AXL152" s="575"/>
      <c r="AXM152" s="575"/>
      <c r="AXN152" s="575"/>
      <c r="AXO152" s="575"/>
      <c r="AXP152" s="575"/>
      <c r="AXQ152" s="575"/>
      <c r="AXR152" s="575"/>
      <c r="AXS152" s="575"/>
      <c r="AXT152" s="575"/>
      <c r="AXU152" s="575"/>
      <c r="AXV152" s="575"/>
      <c r="AXW152" s="575"/>
      <c r="AXX152" s="575"/>
      <c r="AXY152" s="575"/>
      <c r="AXZ152" s="575"/>
      <c r="AYA152" s="575"/>
      <c r="AYB152" s="575"/>
      <c r="AYC152" s="575"/>
      <c r="AYD152" s="575"/>
      <c r="AYE152" s="575"/>
      <c r="AYF152" s="575"/>
      <c r="AYG152" s="575"/>
      <c r="AYH152" s="575"/>
      <c r="AYI152" s="575"/>
      <c r="AYJ152" s="575"/>
      <c r="AYK152" s="575"/>
      <c r="AYL152" s="575"/>
      <c r="AYM152" s="575"/>
      <c r="AYN152" s="575"/>
      <c r="AYO152" s="575"/>
      <c r="AYP152" s="575"/>
      <c r="AYQ152" s="575"/>
      <c r="AYR152" s="575"/>
      <c r="AYS152" s="575"/>
      <c r="AYT152" s="575"/>
      <c r="AYU152" s="575"/>
      <c r="AYV152" s="575"/>
      <c r="AYW152" s="575"/>
      <c r="AYX152" s="575"/>
      <c r="AYY152" s="575"/>
      <c r="AYZ152" s="575"/>
      <c r="AZA152" s="575"/>
      <c r="AZB152" s="575"/>
      <c r="AZC152" s="575"/>
      <c r="AZD152" s="575"/>
      <c r="AZE152" s="575"/>
      <c r="AZF152" s="575"/>
      <c r="AZG152" s="575"/>
      <c r="AZH152" s="575"/>
      <c r="AZI152" s="575"/>
      <c r="AZJ152" s="575"/>
      <c r="AZK152" s="575"/>
      <c r="AZL152" s="575"/>
      <c r="AZM152" s="575"/>
      <c r="AZN152" s="575"/>
      <c r="AZO152" s="575"/>
      <c r="AZP152" s="575"/>
      <c r="AZQ152" s="575"/>
      <c r="AZR152" s="575"/>
      <c r="AZS152" s="575"/>
      <c r="AZT152" s="575"/>
      <c r="AZU152" s="575"/>
      <c r="AZV152" s="575"/>
      <c r="AZW152" s="575"/>
      <c r="AZX152" s="575"/>
      <c r="AZY152" s="575"/>
      <c r="AZZ152" s="575"/>
      <c r="BAA152" s="575"/>
      <c r="BAB152" s="575"/>
      <c r="BAC152" s="575"/>
      <c r="BAD152" s="575"/>
      <c r="BAE152" s="575"/>
      <c r="BAF152" s="575"/>
      <c r="BAG152" s="575"/>
      <c r="BAH152" s="575"/>
      <c r="BAI152" s="575"/>
      <c r="BAJ152" s="575"/>
      <c r="BAK152" s="575"/>
      <c r="BAL152" s="575"/>
      <c r="BAM152" s="575"/>
      <c r="BAN152" s="575"/>
      <c r="BAO152" s="575"/>
      <c r="BAP152" s="575"/>
      <c r="BAQ152" s="575"/>
      <c r="BAR152" s="575"/>
      <c r="BAS152" s="575"/>
      <c r="BAT152" s="575"/>
      <c r="BAU152" s="575"/>
      <c r="BAV152" s="575"/>
      <c r="BAW152" s="575"/>
      <c r="BAX152" s="575"/>
      <c r="BAY152" s="575"/>
      <c r="BAZ152" s="575"/>
      <c r="BBA152" s="575"/>
      <c r="BBB152" s="575"/>
      <c r="BBC152" s="575"/>
      <c r="BBD152" s="575"/>
      <c r="BBE152" s="575"/>
      <c r="BBF152" s="575"/>
      <c r="BBG152" s="575"/>
      <c r="BBH152" s="575"/>
      <c r="BBI152" s="575"/>
      <c r="BBJ152" s="575"/>
      <c r="BBK152" s="575"/>
      <c r="BBL152" s="575"/>
      <c r="BBM152" s="575"/>
      <c r="BBN152" s="575"/>
      <c r="BBO152" s="575"/>
      <c r="BBP152" s="575"/>
      <c r="BBQ152" s="575"/>
      <c r="BBR152" s="575"/>
      <c r="BBS152" s="575"/>
      <c r="BBT152" s="575"/>
      <c r="BBU152" s="575"/>
      <c r="BBV152" s="575"/>
      <c r="BBW152" s="575"/>
      <c r="BBX152" s="575"/>
      <c r="BBY152" s="575"/>
      <c r="BBZ152" s="575"/>
      <c r="BCA152" s="575"/>
      <c r="BCB152" s="575"/>
      <c r="BCC152" s="575"/>
      <c r="BCD152" s="575"/>
      <c r="BCE152" s="575"/>
      <c r="BCF152" s="575"/>
      <c r="BCG152" s="575"/>
      <c r="BCH152" s="575"/>
      <c r="BCI152" s="575"/>
      <c r="BCJ152" s="575"/>
      <c r="BCK152" s="575"/>
      <c r="BCL152" s="575"/>
      <c r="BCM152" s="575"/>
      <c r="BCN152" s="575"/>
      <c r="BCO152" s="575"/>
      <c r="BCP152" s="575"/>
      <c r="BCQ152" s="575"/>
      <c r="BCR152" s="575"/>
      <c r="BCS152" s="575"/>
      <c r="BCT152" s="575"/>
      <c r="BCU152" s="575"/>
      <c r="BCV152" s="575"/>
      <c r="BCW152" s="575"/>
      <c r="BCX152" s="575"/>
      <c r="BCY152" s="575"/>
      <c r="BCZ152" s="575"/>
      <c r="BDA152" s="575"/>
      <c r="BDB152" s="575"/>
      <c r="BDC152" s="575"/>
      <c r="BDD152" s="575"/>
      <c r="BDE152" s="575"/>
      <c r="BDF152" s="575"/>
      <c r="BDG152" s="575"/>
      <c r="BDH152" s="575"/>
      <c r="BDI152" s="575"/>
      <c r="BDJ152" s="575"/>
      <c r="BDK152" s="575"/>
      <c r="BDL152" s="575"/>
      <c r="BDM152" s="575"/>
      <c r="BDN152" s="575"/>
      <c r="BDO152" s="575"/>
      <c r="BDP152" s="575"/>
      <c r="BDQ152" s="575"/>
      <c r="BDR152" s="575"/>
      <c r="BDS152" s="575"/>
      <c r="BDT152" s="575"/>
    </row>
    <row r="153" spans="1:1476" x14ac:dyDescent="0.25">
      <c r="A153" s="608">
        <v>5654</v>
      </c>
      <c r="B153" s="609" t="s">
        <v>180</v>
      </c>
      <c r="C153" s="610">
        <v>1169645.44</v>
      </c>
      <c r="D153" s="610">
        <v>257708.72</v>
      </c>
      <c r="E153" s="610"/>
      <c r="F153" s="611"/>
      <c r="G153" s="610">
        <v>14576.6</v>
      </c>
      <c r="H153" s="610">
        <v>259.60000000000002</v>
      </c>
      <c r="I153" s="610"/>
      <c r="J153" s="610">
        <v>25957.38</v>
      </c>
      <c r="K153" s="610">
        <v>1821.5</v>
      </c>
      <c r="L153" s="610">
        <v>115215.45</v>
      </c>
      <c r="M153" s="434">
        <f t="shared" si="8"/>
        <v>1585184.69</v>
      </c>
      <c r="N153" s="612">
        <v>6384.2</v>
      </c>
      <c r="O153" s="612"/>
      <c r="P153" s="612">
        <v>42271.3</v>
      </c>
      <c r="Q153" s="612"/>
      <c r="R153" s="612">
        <v>36996.6</v>
      </c>
      <c r="S153" s="610">
        <v>1550.46</v>
      </c>
      <c r="T153" s="543">
        <f t="shared" si="9"/>
        <v>1672387.25</v>
      </c>
      <c r="U153" s="575">
        <v>-10079.64</v>
      </c>
      <c r="V153" s="612"/>
      <c r="W153" s="612">
        <v>-315.85000000000002</v>
      </c>
      <c r="X153" s="624">
        <v>76</v>
      </c>
      <c r="Y153" s="631">
        <v>1</v>
      </c>
      <c r="Z153" s="628">
        <f>VLOOKUP(A153,'[2]2022 toutes communes'!$B$9:$D$317,3,FALSE)</f>
        <v>562</v>
      </c>
      <c r="AA153" s="617"/>
      <c r="AB153" s="618">
        <v>17916</v>
      </c>
      <c r="AC153" s="547">
        <f>AB153/VPI!R153</f>
        <v>0.86378338029000701</v>
      </c>
      <c r="AD153" s="548">
        <f t="shared" si="10"/>
        <v>85537</v>
      </c>
      <c r="AE153" s="547">
        <f>AD153/VPI!R153</f>
        <v>4.1239919066681363</v>
      </c>
      <c r="AF153" s="618">
        <v>103453</v>
      </c>
      <c r="AG153" s="618">
        <f>50086-17107</f>
        <v>32979</v>
      </c>
      <c r="AH153" s="618">
        <v>88997</v>
      </c>
      <c r="AI153" s="627"/>
      <c r="AJ153" s="628">
        <v>0</v>
      </c>
      <c r="AK153" s="547">
        <f>AJ153/VPI!R153</f>
        <v>0</v>
      </c>
      <c r="AL153" s="548">
        <f t="shared" si="11"/>
        <v>2070</v>
      </c>
      <c r="AM153" s="547">
        <f>AL153/VPI!R153</f>
        <v>9.980082592098205E-2</v>
      </c>
      <c r="AN153" s="628">
        <v>2070</v>
      </c>
      <c r="AO153" s="627"/>
      <c r="AP153" s="629">
        <v>20.290611793518941</v>
      </c>
      <c r="AR153" s="630">
        <v>0</v>
      </c>
    </row>
    <row r="154" spans="1:1476" x14ac:dyDescent="0.25">
      <c r="A154" s="608">
        <v>5655</v>
      </c>
      <c r="B154" s="609" t="s">
        <v>181</v>
      </c>
      <c r="C154" s="610">
        <v>4397172.7</v>
      </c>
      <c r="D154" s="610">
        <v>830661.18</v>
      </c>
      <c r="E154" s="610"/>
      <c r="F154" s="611"/>
      <c r="G154" s="610">
        <v>28080.75</v>
      </c>
      <c r="H154" s="610">
        <v>36530.800000000003</v>
      </c>
      <c r="I154" s="610">
        <v>66010.45</v>
      </c>
      <c r="J154" s="610">
        <v>68413.63</v>
      </c>
      <c r="K154" s="610">
        <v>11954.3</v>
      </c>
      <c r="L154" s="610">
        <v>444149</v>
      </c>
      <c r="M154" s="434">
        <f t="shared" si="8"/>
        <v>5882972.8099999996</v>
      </c>
      <c r="N154" s="612">
        <v>90461.05</v>
      </c>
      <c r="O154" s="612">
        <v>80505.3</v>
      </c>
      <c r="P154" s="612">
        <v>258895.4</v>
      </c>
      <c r="Q154" s="612">
        <v>-1151.07</v>
      </c>
      <c r="R154" s="612">
        <v>296444.2</v>
      </c>
      <c r="S154" s="610">
        <v>6752.24</v>
      </c>
      <c r="T154" s="543">
        <f t="shared" si="9"/>
        <v>6614879.9299999997</v>
      </c>
      <c r="U154" s="575">
        <v>-57546.9</v>
      </c>
      <c r="V154" s="612"/>
      <c r="W154" s="612">
        <v>-4584.29</v>
      </c>
      <c r="X154" s="624">
        <v>71.5</v>
      </c>
      <c r="Y154" s="631">
        <v>1</v>
      </c>
      <c r="Z154" s="628">
        <f>VLOOKUP(A154,'[2]2022 toutes communes'!$B$9:$D$317,3,FALSE)</f>
        <v>1513</v>
      </c>
      <c r="AA154" s="617"/>
      <c r="AB154" s="618"/>
      <c r="AC154" s="547">
        <f>AB154/VPI!R154</f>
        <v>0</v>
      </c>
      <c r="AD154" s="548">
        <f t="shared" si="10"/>
        <v>0</v>
      </c>
      <c r="AE154" s="547">
        <f>AD154/VPI!R154</f>
        <v>0</v>
      </c>
      <c r="AF154" s="618"/>
      <c r="AG154" s="618"/>
      <c r="AH154" s="618"/>
      <c r="AI154" s="637"/>
      <c r="AJ154" s="628"/>
      <c r="AK154" s="547">
        <f>AJ154/VPI!R154</f>
        <v>0</v>
      </c>
      <c r="AL154" s="548">
        <f t="shared" si="11"/>
        <v>0</v>
      </c>
      <c r="AM154" s="547">
        <f>AL154/VPI!R154</f>
        <v>0</v>
      </c>
      <c r="AN154" s="628"/>
      <c r="AO154" s="637"/>
      <c r="AP154" s="629">
        <v>26.958871780481694</v>
      </c>
      <c r="AR154" s="630">
        <v>0</v>
      </c>
    </row>
    <row r="155" spans="1:1476" x14ac:dyDescent="0.25">
      <c r="A155" s="608">
        <v>5656</v>
      </c>
      <c r="B155" s="609" t="s">
        <v>396</v>
      </c>
      <c r="C155" s="610">
        <v>9174404.1999999993</v>
      </c>
      <c r="D155" s="610">
        <v>1616901.09</v>
      </c>
      <c r="E155" s="610"/>
      <c r="F155" s="610"/>
      <c r="G155" s="610">
        <v>175624.2</v>
      </c>
      <c r="H155" s="610">
        <v>121297.65</v>
      </c>
      <c r="I155" s="610">
        <v>113352.09</v>
      </c>
      <c r="J155" s="610">
        <v>249232.87</v>
      </c>
      <c r="K155" s="610">
        <v>29945.5</v>
      </c>
      <c r="L155" s="610">
        <v>885531.1</v>
      </c>
      <c r="M155" s="434">
        <f t="shared" si="8"/>
        <v>12366288.699999997</v>
      </c>
      <c r="N155" s="610">
        <v>56090.15</v>
      </c>
      <c r="O155" s="610">
        <v>203223.7</v>
      </c>
      <c r="P155" s="610">
        <v>573714.94999999995</v>
      </c>
      <c r="Q155" s="610">
        <v>19360.830000000002</v>
      </c>
      <c r="R155" s="610">
        <v>403873.65</v>
      </c>
      <c r="S155" s="610">
        <v>31029.86</v>
      </c>
      <c r="T155" s="543">
        <f t="shared" si="9"/>
        <v>13653581.839999996</v>
      </c>
      <c r="U155" s="610">
        <v>-155731.18</v>
      </c>
      <c r="V155" s="610"/>
      <c r="W155" s="610">
        <v>-13161.42</v>
      </c>
      <c r="X155" s="610">
        <v>72.5</v>
      </c>
      <c r="Y155" s="633">
        <v>1</v>
      </c>
      <c r="Z155" s="628">
        <f>VLOOKUP(A155,'[2]2022 toutes communes'!$B$9:$D$317,3,FALSE)</f>
        <v>4257</v>
      </c>
      <c r="AA155" s="634"/>
      <c r="AB155" s="635">
        <v>255664</v>
      </c>
      <c r="AC155" s="547">
        <f>AB155/VPI!R155</f>
        <v>1.5133868933066235</v>
      </c>
      <c r="AD155" s="548">
        <f t="shared" si="10"/>
        <v>1319846</v>
      </c>
      <c r="AE155" s="547">
        <f>AD155/VPI!R155</f>
        <v>7.812744999621275</v>
      </c>
      <c r="AF155" s="635">
        <v>1575510</v>
      </c>
      <c r="AG155" s="635">
        <v>409582</v>
      </c>
      <c r="AH155" s="635">
        <v>590073</v>
      </c>
      <c r="AI155" s="634"/>
      <c r="AJ155" s="610">
        <v>0</v>
      </c>
      <c r="AK155" s="547">
        <f>AJ155/VPI!R155</f>
        <v>0</v>
      </c>
      <c r="AL155" s="548">
        <f t="shared" si="11"/>
        <v>258516</v>
      </c>
      <c r="AM155" s="547">
        <f>AL155/VPI!R155</f>
        <v>1.530269127096717</v>
      </c>
      <c r="AN155" s="635">
        <v>258516</v>
      </c>
      <c r="AO155" s="634"/>
      <c r="AP155" s="629">
        <v>23.21</v>
      </c>
      <c r="AQ155" s="610"/>
      <c r="AR155" s="630">
        <v>0</v>
      </c>
    </row>
    <row r="156" spans="1:1476" x14ac:dyDescent="0.25">
      <c r="A156" s="608">
        <v>5661</v>
      </c>
      <c r="B156" s="609" t="s">
        <v>182</v>
      </c>
      <c r="C156" s="610">
        <v>670331.80000000005</v>
      </c>
      <c r="D156" s="610">
        <v>48847.24</v>
      </c>
      <c r="E156" s="610"/>
      <c r="F156" s="611"/>
      <c r="G156" s="610">
        <v>9229.9500000000007</v>
      </c>
      <c r="H156" s="610">
        <v>-56.75</v>
      </c>
      <c r="I156" s="610"/>
      <c r="J156" s="610">
        <v>13189.56</v>
      </c>
      <c r="K156" s="610">
        <v>555</v>
      </c>
      <c r="L156" s="610">
        <v>60017</v>
      </c>
      <c r="M156" s="434">
        <f t="shared" si="8"/>
        <v>802113.8</v>
      </c>
      <c r="N156" s="612">
        <v>20927.2</v>
      </c>
      <c r="O156" s="612"/>
      <c r="P156" s="612">
        <v>11146.05</v>
      </c>
      <c r="Q156" s="612"/>
      <c r="R156" s="612">
        <v>3087.8</v>
      </c>
      <c r="S156" s="610">
        <v>958.65</v>
      </c>
      <c r="T156" s="543">
        <f t="shared" si="9"/>
        <v>838233.50000000012</v>
      </c>
      <c r="U156" s="575">
        <v>-15944.9</v>
      </c>
      <c r="V156" s="612"/>
      <c r="W156" s="612">
        <v>0</v>
      </c>
      <c r="X156" s="624">
        <v>71.5</v>
      </c>
      <c r="Y156" s="631">
        <v>1</v>
      </c>
      <c r="Z156" s="628">
        <f>VLOOKUP(A156,'[2]2022 toutes communes'!$B$9:$D$317,3,FALSE)</f>
        <v>383</v>
      </c>
      <c r="AA156" s="617"/>
      <c r="AB156" s="618">
        <v>1084</v>
      </c>
      <c r="AC156" s="547">
        <f>AB156/VPI!R156</f>
        <v>9.8466887609257217E-2</v>
      </c>
      <c r="AD156" s="548">
        <f t="shared" si="10"/>
        <v>44558</v>
      </c>
      <c r="AE156" s="547">
        <f>AD156/VPI!R156</f>
        <v>4.0474977657687115</v>
      </c>
      <c r="AF156" s="618">
        <v>45642</v>
      </c>
      <c r="AG156" s="618">
        <v>14161</v>
      </c>
      <c r="AH156" s="618">
        <v>32670</v>
      </c>
      <c r="AI156" s="637"/>
      <c r="AJ156" s="628">
        <v>0</v>
      </c>
      <c r="AK156" s="547">
        <f>AJ156/VPI!R156</f>
        <v>0</v>
      </c>
      <c r="AL156" s="548">
        <f t="shared" si="11"/>
        <v>26107</v>
      </c>
      <c r="AM156" s="547">
        <f>AL156/VPI!R156</f>
        <v>2.3714714343310686</v>
      </c>
      <c r="AN156" s="628">
        <v>26107</v>
      </c>
      <c r="AO156" s="637"/>
      <c r="AP156" s="629">
        <v>14.49647014161059</v>
      </c>
      <c r="AR156" s="630">
        <v>0</v>
      </c>
    </row>
    <row r="157" spans="1:1476" x14ac:dyDescent="0.25">
      <c r="A157" s="608">
        <v>5663</v>
      </c>
      <c r="B157" s="609" t="s">
        <v>183</v>
      </c>
      <c r="C157" s="610">
        <v>431649.94</v>
      </c>
      <c r="D157" s="610">
        <v>32952.43</v>
      </c>
      <c r="E157" s="610"/>
      <c r="F157" s="611">
        <v>1330</v>
      </c>
      <c r="G157" s="610">
        <v>-3080.25</v>
      </c>
      <c r="H157" s="610">
        <v>849.9</v>
      </c>
      <c r="I157" s="610"/>
      <c r="J157" s="610">
        <v>7475.8</v>
      </c>
      <c r="K157" s="610">
        <v>325.2</v>
      </c>
      <c r="L157" s="610">
        <v>33423.15</v>
      </c>
      <c r="M157" s="434">
        <f t="shared" si="8"/>
        <v>504926.17000000004</v>
      </c>
      <c r="N157" s="612">
        <v>0</v>
      </c>
      <c r="O157" s="612"/>
      <c r="P157" s="612">
        <v>14083.3</v>
      </c>
      <c r="Q157" s="612">
        <v>12732.51</v>
      </c>
      <c r="R157" s="612">
        <v>27199.45</v>
      </c>
      <c r="S157" s="610">
        <v>-233.08</v>
      </c>
      <c r="T157" s="543">
        <f t="shared" si="9"/>
        <v>558708.35</v>
      </c>
      <c r="U157" s="575">
        <v>-10255.459999999999</v>
      </c>
      <c r="V157" s="612"/>
      <c r="W157" s="612">
        <v>0</v>
      </c>
      <c r="X157" s="624">
        <v>78.5</v>
      </c>
      <c r="Y157" s="631">
        <v>1</v>
      </c>
      <c r="Z157" s="628">
        <f>VLOOKUP(A157,'[2]2022 toutes communes'!$B$9:$D$317,3,FALSE)</f>
        <v>246</v>
      </c>
      <c r="AA157" s="617"/>
      <c r="AB157" s="618">
        <v>0</v>
      </c>
      <c r="AC157" s="547">
        <f>AB157/VPI!R157</f>
        <v>0</v>
      </c>
      <c r="AD157" s="548">
        <f t="shared" si="10"/>
        <v>23422</v>
      </c>
      <c r="AE157" s="547">
        <f>AD157/VPI!R157</f>
        <v>3.6252666610065014</v>
      </c>
      <c r="AF157" s="618">
        <v>23422</v>
      </c>
      <c r="AG157" s="618">
        <v>9007</v>
      </c>
      <c r="AH157" s="618">
        <v>15572</v>
      </c>
      <c r="AI157" s="637"/>
      <c r="AJ157" s="628">
        <v>0</v>
      </c>
      <c r="AK157" s="547">
        <f>AJ157/VPI!R157</f>
        <v>0</v>
      </c>
      <c r="AL157" s="548">
        <f t="shared" si="11"/>
        <v>2192</v>
      </c>
      <c r="AM157" s="547">
        <f>AL157/VPI!R157</f>
        <v>0.33927864917283967</v>
      </c>
      <c r="AN157" s="628">
        <v>2192</v>
      </c>
      <c r="AO157" s="637"/>
      <c r="AP157" s="629">
        <v>-3.5263371875997129</v>
      </c>
      <c r="AR157" s="630">
        <v>0</v>
      </c>
    </row>
    <row r="158" spans="1:1476" x14ac:dyDescent="0.25">
      <c r="A158" s="608">
        <v>5665</v>
      </c>
      <c r="B158" s="609" t="s">
        <v>85</v>
      </c>
      <c r="C158" s="610">
        <v>306165.69</v>
      </c>
      <c r="D158" s="610">
        <v>57579.12</v>
      </c>
      <c r="E158" s="610"/>
      <c r="F158" s="611"/>
      <c r="G158" s="610">
        <v>3297.35</v>
      </c>
      <c r="H158" s="610">
        <v>29.9</v>
      </c>
      <c r="I158" s="610"/>
      <c r="J158" s="610">
        <v>9616.44</v>
      </c>
      <c r="K158" s="610">
        <v>54.5</v>
      </c>
      <c r="L158" s="610">
        <v>28565.4</v>
      </c>
      <c r="M158" s="434">
        <f t="shared" si="8"/>
        <v>405308.4</v>
      </c>
      <c r="N158" s="612">
        <v>0</v>
      </c>
      <c r="O158" s="612"/>
      <c r="P158" s="612">
        <v>21230</v>
      </c>
      <c r="Q158" s="612">
        <v>120.89</v>
      </c>
      <c r="R158" s="612">
        <v>31269.8</v>
      </c>
      <c r="S158" s="610">
        <v>347.71</v>
      </c>
      <c r="T158" s="543">
        <f t="shared" si="9"/>
        <v>458276.80000000005</v>
      </c>
      <c r="U158" s="575">
        <v>-717.74</v>
      </c>
      <c r="V158" s="612"/>
      <c r="W158" s="612">
        <v>0</v>
      </c>
      <c r="X158" s="624">
        <v>70</v>
      </c>
      <c r="Y158" s="631">
        <v>1</v>
      </c>
      <c r="Z158" s="628">
        <f>VLOOKUP(A158,'[2]2022 toutes communes'!$B$9:$D$317,3,FALSE)</f>
        <v>218</v>
      </c>
      <c r="AA158" s="617"/>
      <c r="AB158" s="618">
        <v>7427</v>
      </c>
      <c r="AC158" s="547">
        <f>AB158/VPI!R158</f>
        <v>1.2834912106440917</v>
      </c>
      <c r="AD158" s="548">
        <f t="shared" si="10"/>
        <v>16725</v>
      </c>
      <c r="AE158" s="547">
        <f>AD158/VPI!R158</f>
        <v>2.89031782658172</v>
      </c>
      <c r="AF158" s="618">
        <v>24152</v>
      </c>
      <c r="AG158" s="618">
        <v>8474</v>
      </c>
      <c r="AH158" s="618">
        <v>12776</v>
      </c>
      <c r="AI158" s="637"/>
      <c r="AJ158" s="628">
        <v>0</v>
      </c>
      <c r="AK158" s="547">
        <f>AJ158/VPI!R158</f>
        <v>0</v>
      </c>
      <c r="AL158" s="548">
        <f t="shared" si="11"/>
        <v>39355</v>
      </c>
      <c r="AM158" s="547">
        <f>AL158/VPI!R158</f>
        <v>6.8011036212330991</v>
      </c>
      <c r="AN158" s="628">
        <v>39355</v>
      </c>
      <c r="AO158" s="637"/>
      <c r="AP158" s="629">
        <v>2.0712709481829124</v>
      </c>
      <c r="AR158" s="630">
        <v>0</v>
      </c>
    </row>
    <row r="159" spans="1:1476" x14ac:dyDescent="0.25">
      <c r="A159" s="608">
        <v>5669</v>
      </c>
      <c r="B159" s="609" t="s">
        <v>86</v>
      </c>
      <c r="C159" s="610">
        <v>452736.12</v>
      </c>
      <c r="D159" s="610">
        <v>118446.49</v>
      </c>
      <c r="E159" s="610"/>
      <c r="F159" s="611"/>
      <c r="G159" s="610">
        <v>-166.650000000001</v>
      </c>
      <c r="H159" s="610">
        <v>507.15</v>
      </c>
      <c r="I159" s="610"/>
      <c r="J159" s="610">
        <v>2535.21</v>
      </c>
      <c r="K159" s="610">
        <v>255.7</v>
      </c>
      <c r="L159" s="610">
        <v>24204.400000000001</v>
      </c>
      <c r="M159" s="434">
        <f t="shared" si="8"/>
        <v>598518.41999999993</v>
      </c>
      <c r="N159" s="612">
        <v>0</v>
      </c>
      <c r="O159" s="612"/>
      <c r="P159" s="612">
        <v>535.70000000000005</v>
      </c>
      <c r="Q159" s="612"/>
      <c r="R159" s="612">
        <v>9814.35</v>
      </c>
      <c r="S159" s="610">
        <v>35.58</v>
      </c>
      <c r="T159" s="543">
        <f t="shared" si="9"/>
        <v>608904.04999999981</v>
      </c>
      <c r="U159" s="575">
        <v>-7428.06</v>
      </c>
      <c r="V159" s="612"/>
      <c r="W159" s="612">
        <v>-84.3</v>
      </c>
      <c r="X159" s="624">
        <v>73</v>
      </c>
      <c r="Y159" s="631">
        <v>0.5</v>
      </c>
      <c r="Z159" s="628">
        <f>VLOOKUP(A159,'[2]2022 toutes communes'!$B$9:$D$317,3,FALSE)</f>
        <v>294</v>
      </c>
      <c r="AA159" s="617"/>
      <c r="AB159" s="618">
        <v>-4386</v>
      </c>
      <c r="AC159" s="547">
        <f>AB159/VPI!R159</f>
        <v>-0.52040643772367901</v>
      </c>
      <c r="AD159" s="548">
        <f t="shared" si="10"/>
        <v>27110</v>
      </c>
      <c r="AE159" s="547">
        <f>AD159/VPI!R159</f>
        <v>3.2166480909003505</v>
      </c>
      <c r="AF159" s="618">
        <v>22724</v>
      </c>
      <c r="AG159" s="618">
        <v>22596</v>
      </c>
      <c r="AH159" s="618">
        <v>16768</v>
      </c>
      <c r="AI159" s="637"/>
      <c r="AJ159" s="628">
        <v>0</v>
      </c>
      <c r="AK159" s="547">
        <f>AJ159/VPI!R159</f>
        <v>0</v>
      </c>
      <c r="AL159" s="548">
        <f t="shared" si="11"/>
        <v>514</v>
      </c>
      <c r="AM159" s="547">
        <f>AL159/VPI!R159</f>
        <v>6.0986983353846558E-2</v>
      </c>
      <c r="AN159" s="628">
        <v>514</v>
      </c>
      <c r="AO159" s="637"/>
      <c r="AP159" s="629">
        <v>15.535929509168787</v>
      </c>
      <c r="AR159" s="630">
        <v>0</v>
      </c>
    </row>
    <row r="160" spans="1:1476" x14ac:dyDescent="0.25">
      <c r="A160" s="608">
        <v>5671</v>
      </c>
      <c r="B160" s="609" t="s">
        <v>87</v>
      </c>
      <c r="C160" s="610">
        <v>422994.22</v>
      </c>
      <c r="D160" s="610">
        <v>58901.78</v>
      </c>
      <c r="E160" s="610"/>
      <c r="F160" s="611">
        <v>2150</v>
      </c>
      <c r="G160" s="610">
        <v>6157.3</v>
      </c>
      <c r="H160" s="610">
        <v>29.15</v>
      </c>
      <c r="I160" s="610">
        <v>0</v>
      </c>
      <c r="J160" s="610">
        <v>4571.75</v>
      </c>
      <c r="K160" s="610">
        <v>223.5</v>
      </c>
      <c r="L160" s="610">
        <v>34982.800000000003</v>
      </c>
      <c r="M160" s="434">
        <f t="shared" si="8"/>
        <v>530010.5</v>
      </c>
      <c r="N160" s="612">
        <v>3329.85</v>
      </c>
      <c r="O160" s="612"/>
      <c r="P160" s="612">
        <v>9900</v>
      </c>
      <c r="Q160" s="612">
        <v>5400.68</v>
      </c>
      <c r="R160" s="612">
        <v>6610.7</v>
      </c>
      <c r="S160" s="610">
        <v>646.52</v>
      </c>
      <c r="T160" s="543">
        <f t="shared" si="9"/>
        <v>555898.25</v>
      </c>
      <c r="U160" s="575">
        <v>-9450.3799999999992</v>
      </c>
      <c r="V160" s="612"/>
      <c r="W160" s="612">
        <v>0</v>
      </c>
      <c r="X160" s="624">
        <v>78</v>
      </c>
      <c r="Y160" s="631">
        <v>1</v>
      </c>
      <c r="Z160" s="628">
        <f>VLOOKUP(A160,'[2]2022 toutes communes'!$B$9:$D$317,3,FALSE)</f>
        <v>248</v>
      </c>
      <c r="AA160" s="617"/>
      <c r="AB160" s="618">
        <v>0</v>
      </c>
      <c r="AC160" s="547">
        <f>AB160/VPI!R160</f>
        <v>0</v>
      </c>
      <c r="AD160" s="548">
        <f t="shared" si="10"/>
        <v>44126</v>
      </c>
      <c r="AE160" s="547">
        <f>AD160/VPI!R160</f>
        <v>6.5358529387703923</v>
      </c>
      <c r="AF160" s="618">
        <v>44126</v>
      </c>
      <c r="AG160" s="618">
        <v>9390</v>
      </c>
      <c r="AH160" s="618">
        <v>14726</v>
      </c>
      <c r="AI160" s="637"/>
      <c r="AJ160" s="628">
        <v>0</v>
      </c>
      <c r="AK160" s="547">
        <f>AJ160/VPI!R160</f>
        <v>0</v>
      </c>
      <c r="AL160" s="548">
        <f t="shared" si="11"/>
        <v>6982</v>
      </c>
      <c r="AM160" s="547">
        <f>AL160/VPI!R160</f>
        <v>1.0341595707404903</v>
      </c>
      <c r="AN160" s="628">
        <v>6982</v>
      </c>
      <c r="AO160" s="637"/>
      <c r="AP160" s="629">
        <v>5.6550053553193553</v>
      </c>
      <c r="AR160" s="630">
        <v>0</v>
      </c>
    </row>
    <row r="161" spans="1:1476" x14ac:dyDescent="0.25">
      <c r="A161" s="608">
        <v>5673</v>
      </c>
      <c r="B161" s="609" t="s">
        <v>88</v>
      </c>
      <c r="C161" s="610">
        <v>590014.69999999995</v>
      </c>
      <c r="D161" s="610">
        <v>67317.119999999995</v>
      </c>
      <c r="E161" s="610"/>
      <c r="F161" s="611">
        <v>2240</v>
      </c>
      <c r="G161" s="610">
        <v>3846.1</v>
      </c>
      <c r="H161" s="610">
        <v>899.65</v>
      </c>
      <c r="I161" s="610"/>
      <c r="J161" s="610">
        <v>-165.79</v>
      </c>
      <c r="K161" s="610">
        <v>408</v>
      </c>
      <c r="L161" s="610">
        <v>29513.1</v>
      </c>
      <c r="M161" s="434">
        <f t="shared" si="8"/>
        <v>694072.87999999989</v>
      </c>
      <c r="N161" s="612">
        <v>12176</v>
      </c>
      <c r="O161" s="612">
        <v>4727.7</v>
      </c>
      <c r="P161" s="612">
        <v>36408.85</v>
      </c>
      <c r="Q161" s="612">
        <v>2579.54</v>
      </c>
      <c r="R161" s="612">
        <v>17638.400000000001</v>
      </c>
      <c r="S161" s="610">
        <v>495.96</v>
      </c>
      <c r="T161" s="543">
        <f t="shared" si="9"/>
        <v>768099.32999999984</v>
      </c>
      <c r="U161" s="575">
        <v>-5636.18</v>
      </c>
      <c r="V161" s="612"/>
      <c r="W161" s="612">
        <v>-74.55</v>
      </c>
      <c r="X161" s="624">
        <v>73.5</v>
      </c>
      <c r="Y161" s="631">
        <v>0.6</v>
      </c>
      <c r="Z161" s="628">
        <f>VLOOKUP(A161,'[2]2022 toutes communes'!$B$9:$D$317,3,FALSE)</f>
        <v>374</v>
      </c>
      <c r="AA161" s="617"/>
      <c r="AB161" s="618">
        <v>7774</v>
      </c>
      <c r="AC161" s="547">
        <f>AB161/VPI!R161</f>
        <v>0.80351359041997639</v>
      </c>
      <c r="AD161" s="548">
        <f t="shared" si="10"/>
        <v>111840</v>
      </c>
      <c r="AE161" s="547">
        <f>AD161/VPI!R161</f>
        <v>11.559680981807325</v>
      </c>
      <c r="AF161" s="618">
        <v>119614</v>
      </c>
      <c r="AG161" s="618">
        <v>14161</v>
      </c>
      <c r="AH161" s="618">
        <v>22501</v>
      </c>
      <c r="AI161" s="637"/>
      <c r="AJ161" s="628">
        <v>4763</v>
      </c>
      <c r="AK161" s="547">
        <f>AJ161/VPI!R161</f>
        <v>0.49229936084002412</v>
      </c>
      <c r="AL161" s="548">
        <f t="shared" si="11"/>
        <v>25295</v>
      </c>
      <c r="AM161" s="547">
        <f>AL161/VPI!R161</f>
        <v>2.6144682621138799</v>
      </c>
      <c r="AN161" s="628">
        <v>30058</v>
      </c>
      <c r="AO161" s="637"/>
      <c r="AP161" s="629">
        <v>10.028649394387617</v>
      </c>
      <c r="AR161" s="630">
        <v>0</v>
      </c>
    </row>
    <row r="162" spans="1:1476" x14ac:dyDescent="0.25">
      <c r="A162" s="608">
        <v>5674</v>
      </c>
      <c r="B162" s="609" t="s">
        <v>89</v>
      </c>
      <c r="C162" s="610">
        <v>194148.82</v>
      </c>
      <c r="D162" s="610">
        <v>50592.11</v>
      </c>
      <c r="E162" s="610"/>
      <c r="F162" s="611"/>
      <c r="G162" s="610">
        <v>242.05</v>
      </c>
      <c r="H162" s="610">
        <v>101.7</v>
      </c>
      <c r="I162" s="610"/>
      <c r="J162" s="610">
        <v>122.21</v>
      </c>
      <c r="K162" s="610">
        <v>64.099999999999994</v>
      </c>
      <c r="L162" s="610">
        <v>14836.5</v>
      </c>
      <c r="M162" s="434">
        <f t="shared" si="8"/>
        <v>260107.49</v>
      </c>
      <c r="N162" s="612">
        <v>0</v>
      </c>
      <c r="O162" s="612"/>
      <c r="P162" s="612">
        <v>16742</v>
      </c>
      <c r="Q162" s="612"/>
      <c r="R162" s="612">
        <v>21208.15</v>
      </c>
      <c r="S162" s="610">
        <v>35.92</v>
      </c>
      <c r="T162" s="543">
        <f t="shared" si="9"/>
        <v>298093.56</v>
      </c>
      <c r="U162" s="575">
        <v>-943.13</v>
      </c>
      <c r="V162" s="612"/>
      <c r="W162" s="612">
        <v>-137.80000000000001</v>
      </c>
      <c r="X162" s="624">
        <v>75</v>
      </c>
      <c r="Y162" s="631">
        <v>0.7</v>
      </c>
      <c r="Z162" s="628">
        <f>VLOOKUP(A162,'[2]2022 toutes communes'!$B$9:$D$317,3,FALSE)</f>
        <v>143</v>
      </c>
      <c r="AA162" s="617"/>
      <c r="AB162" s="618">
        <v>17729</v>
      </c>
      <c r="AC162" s="547">
        <f>AB162/VPI!R162</f>
        <v>5.0096831079442179</v>
      </c>
      <c r="AD162" s="548">
        <f t="shared" si="10"/>
        <v>22691</v>
      </c>
      <c r="AE162" s="547">
        <f>AD162/VPI!R162</f>
        <v>6.4117953298190677</v>
      </c>
      <c r="AF162" s="618">
        <v>40420</v>
      </c>
      <c r="AG162" s="618">
        <v>5573</v>
      </c>
      <c r="AH162" s="618">
        <v>7925</v>
      </c>
      <c r="AI162" s="637"/>
      <c r="AJ162" s="628">
        <v>0</v>
      </c>
      <c r="AK162" s="547">
        <f>AJ162/VPI!R162</f>
        <v>0</v>
      </c>
      <c r="AL162" s="548">
        <f t="shared" si="11"/>
        <v>382</v>
      </c>
      <c r="AM162" s="547">
        <f>AL162/VPI!R162</f>
        <v>0.10794173090612506</v>
      </c>
      <c r="AN162" s="628">
        <v>382</v>
      </c>
      <c r="AO162" s="637"/>
      <c r="AP162" s="629">
        <v>11.417593387189671</v>
      </c>
      <c r="AR162" s="630">
        <v>0</v>
      </c>
    </row>
    <row r="163" spans="1:1476" x14ac:dyDescent="0.25">
      <c r="A163" s="608">
        <v>5675</v>
      </c>
      <c r="B163" s="609" t="s">
        <v>90</v>
      </c>
      <c r="C163" s="610">
        <v>4742451.54</v>
      </c>
      <c r="D163" s="610">
        <v>520599.03</v>
      </c>
      <c r="E163" s="610"/>
      <c r="F163" s="611"/>
      <c r="G163" s="610">
        <v>298182.7</v>
      </c>
      <c r="H163" s="610">
        <v>36584.449999999997</v>
      </c>
      <c r="I163" s="610"/>
      <c r="J163" s="610">
        <v>280868.17</v>
      </c>
      <c r="K163" s="610">
        <v>58545</v>
      </c>
      <c r="L163" s="610">
        <v>735280.6</v>
      </c>
      <c r="M163" s="434">
        <f t="shared" si="8"/>
        <v>6672511.4900000002</v>
      </c>
      <c r="N163" s="612">
        <v>34660.699999999997</v>
      </c>
      <c r="O163" s="612">
        <v>23520.1</v>
      </c>
      <c r="P163" s="612">
        <v>412395.7</v>
      </c>
      <c r="Q163" s="612">
        <v>38604.35</v>
      </c>
      <c r="R163" s="612">
        <v>326555.84999999998</v>
      </c>
      <c r="S163" s="610">
        <v>34984.89</v>
      </c>
      <c r="T163" s="543">
        <f t="shared" si="9"/>
        <v>7543233.0799999991</v>
      </c>
      <c r="U163" s="575">
        <v>-227428.09</v>
      </c>
      <c r="V163" s="612"/>
      <c r="W163" s="612">
        <v>-1963.57</v>
      </c>
      <c r="X163" s="624">
        <v>69.5</v>
      </c>
      <c r="Y163" s="631">
        <v>1.1000000000000001</v>
      </c>
      <c r="Z163" s="628">
        <f>VLOOKUP(A163,'[2]2022 toutes communes'!$B$9:$D$317,3,FALSE)</f>
        <v>4420</v>
      </c>
      <c r="AA163" s="617"/>
      <c r="AB163" s="618">
        <v>355358</v>
      </c>
      <c r="AC163" s="547">
        <f>AB163/VPI!R163</f>
        <v>3.8291312373842179</v>
      </c>
      <c r="AD163" s="548">
        <f t="shared" si="10"/>
        <v>553795</v>
      </c>
      <c r="AE163" s="547">
        <f>AD163/VPI!R163</f>
        <v>5.9673729973919061</v>
      </c>
      <c r="AF163" s="618">
        <v>909153</v>
      </c>
      <c r="AG163" s="618">
        <v>417283</v>
      </c>
      <c r="AH163" s="618">
        <v>302775</v>
      </c>
      <c r="AI163" s="637"/>
      <c r="AJ163" s="628">
        <v>-685</v>
      </c>
      <c r="AK163" s="547">
        <f>AJ163/VPI!R163</f>
        <v>-7.3811618075523529E-3</v>
      </c>
      <c r="AL163" s="548">
        <f t="shared" si="11"/>
        <v>46418</v>
      </c>
      <c r="AM163" s="547">
        <f>AL163/VPI!R163</f>
        <v>0.50017338508462061</v>
      </c>
      <c r="AN163" s="628">
        <v>45733</v>
      </c>
      <c r="AO163" s="637"/>
      <c r="AP163" s="629">
        <v>-1.9078726133116397</v>
      </c>
      <c r="AR163" s="630">
        <v>0</v>
      </c>
    </row>
    <row r="164" spans="1:1476" x14ac:dyDescent="0.25">
      <c r="A164" s="608">
        <v>5678</v>
      </c>
      <c r="B164" s="609" t="s">
        <v>91</v>
      </c>
      <c r="C164" s="610">
        <v>6675784.1500000004</v>
      </c>
      <c r="D164" s="610">
        <v>737875.74</v>
      </c>
      <c r="E164" s="610"/>
      <c r="F164" s="611">
        <v>35058.9</v>
      </c>
      <c r="G164" s="610">
        <v>788590.5</v>
      </c>
      <c r="H164" s="610">
        <v>17524.650000000001</v>
      </c>
      <c r="I164" s="610"/>
      <c r="J164" s="610">
        <v>443201.87</v>
      </c>
      <c r="K164" s="610">
        <v>45101.55</v>
      </c>
      <c r="L164" s="610">
        <v>894845.5</v>
      </c>
      <c r="M164" s="434">
        <f t="shared" si="8"/>
        <v>9637982.8600000013</v>
      </c>
      <c r="N164" s="612">
        <v>241493.45</v>
      </c>
      <c r="O164" s="612">
        <v>451136</v>
      </c>
      <c r="P164" s="612">
        <v>339572.4</v>
      </c>
      <c r="Q164" s="612">
        <v>106648.87</v>
      </c>
      <c r="R164" s="612">
        <v>208124.75</v>
      </c>
      <c r="S164" s="610">
        <v>84243.17</v>
      </c>
      <c r="T164" s="543">
        <f t="shared" si="9"/>
        <v>11069201.5</v>
      </c>
      <c r="U164" s="575">
        <v>-352863.06</v>
      </c>
      <c r="V164" s="612"/>
      <c r="W164" s="612">
        <v>-2020.57</v>
      </c>
      <c r="X164" s="624">
        <v>72.5</v>
      </c>
      <c r="Y164" s="631">
        <v>1</v>
      </c>
      <c r="Z164" s="628">
        <f>VLOOKUP(A164,'[2]2022 toutes communes'!$B$9:$D$317,3,FALSE)</f>
        <v>6132</v>
      </c>
      <c r="AA164" s="617"/>
      <c r="AB164" s="618">
        <v>372569</v>
      </c>
      <c r="AC164" s="547">
        <f>AB164/VPI!R164</f>
        <v>2.8510953546614366</v>
      </c>
      <c r="AD164" s="548">
        <f t="shared" si="10"/>
        <v>1430173</v>
      </c>
      <c r="AE164" s="547">
        <f>AD164/VPI!R164</f>
        <v>10.944441423366438</v>
      </c>
      <c r="AF164" s="618">
        <v>1802742</v>
      </c>
      <c r="AG164" s="618">
        <v>583986</v>
      </c>
      <c r="AH164" s="618">
        <v>443088</v>
      </c>
      <c r="AI164" s="637"/>
      <c r="AJ164" s="628">
        <v>0</v>
      </c>
      <c r="AK164" s="547">
        <f>AJ164/VPI!R164</f>
        <v>0</v>
      </c>
      <c r="AL164" s="548">
        <f t="shared" si="11"/>
        <v>92946</v>
      </c>
      <c r="AM164" s="547">
        <f>AL164/VPI!R164</f>
        <v>0.71127202970285197</v>
      </c>
      <c r="AN164" s="628">
        <v>92946</v>
      </c>
      <c r="AO164" s="637"/>
      <c r="AP164" s="629">
        <v>-17.91780532672507</v>
      </c>
      <c r="AR164" s="630">
        <v>0</v>
      </c>
    </row>
    <row r="165" spans="1:1476" s="632" customFormat="1" x14ac:dyDescent="0.25">
      <c r="A165" s="608">
        <v>5680</v>
      </c>
      <c r="B165" s="609" t="s">
        <v>92</v>
      </c>
      <c r="C165" s="610">
        <v>514467.31</v>
      </c>
      <c r="D165" s="610">
        <v>101713.56</v>
      </c>
      <c r="E165" s="610"/>
      <c r="F165" s="611"/>
      <c r="G165" s="610">
        <v>93861.05</v>
      </c>
      <c r="H165" s="610">
        <v>6164.25</v>
      </c>
      <c r="I165" s="610"/>
      <c r="J165" s="610">
        <v>22372.31</v>
      </c>
      <c r="K165" s="610">
        <v>625</v>
      </c>
      <c r="L165" s="610">
        <v>87482.6</v>
      </c>
      <c r="M165" s="434">
        <f t="shared" si="8"/>
        <v>826686.08000000007</v>
      </c>
      <c r="N165" s="612">
        <v>0</v>
      </c>
      <c r="O165" s="612"/>
      <c r="P165" s="612">
        <v>99800.15</v>
      </c>
      <c r="Q165" s="612"/>
      <c r="R165" s="612">
        <v>49643.55</v>
      </c>
      <c r="S165" s="610">
        <v>10453.16</v>
      </c>
      <c r="T165" s="543">
        <f t="shared" si="9"/>
        <v>986582.94000000018</v>
      </c>
      <c r="U165" s="575">
        <v>-20425.57</v>
      </c>
      <c r="V165" s="612"/>
      <c r="W165" s="612">
        <v>0</v>
      </c>
      <c r="X165" s="624">
        <v>78</v>
      </c>
      <c r="Y165" s="631">
        <v>1.5</v>
      </c>
      <c r="Z165" s="628">
        <f>VLOOKUP(A165,'[2]2022 toutes communes'!$B$9:$D$317,3,FALSE)</f>
        <v>324</v>
      </c>
      <c r="AA165" s="617"/>
      <c r="AB165" s="618">
        <v>31580</v>
      </c>
      <c r="AC165" s="547">
        <f>AB165/VPI!R165</f>
        <v>3.1277140905019776</v>
      </c>
      <c r="AD165" s="548">
        <f t="shared" si="10"/>
        <v>20869</v>
      </c>
      <c r="AE165" s="547">
        <f>AD165/VPI!R165</f>
        <v>2.0668861733592707</v>
      </c>
      <c r="AF165" s="618">
        <v>52449</v>
      </c>
      <c r="AG165" s="618">
        <v>15340</v>
      </c>
      <c r="AH165" s="618">
        <v>28267</v>
      </c>
      <c r="AI165" s="637"/>
      <c r="AJ165" s="628">
        <v>0</v>
      </c>
      <c r="AK165" s="547">
        <f>AJ165/VPI!R165</f>
        <v>0</v>
      </c>
      <c r="AL165" s="548">
        <f t="shared" si="11"/>
        <v>15242</v>
      </c>
      <c r="AM165" s="547">
        <f>AL165/VPI!R165</f>
        <v>1.5095825892156789</v>
      </c>
      <c r="AN165" s="628">
        <v>15242</v>
      </c>
      <c r="AO165" s="637"/>
      <c r="AP165" s="629">
        <v>6.0441160707446988</v>
      </c>
      <c r="AQ165" s="575"/>
      <c r="AR165" s="630">
        <v>0</v>
      </c>
      <c r="AS165" s="575"/>
      <c r="AT165" s="575"/>
      <c r="AU165" s="575"/>
      <c r="AV165" s="575"/>
      <c r="AW165" s="575"/>
      <c r="AX165" s="575"/>
      <c r="AY165" s="575"/>
      <c r="AZ165" s="575"/>
      <c r="BA165" s="575"/>
      <c r="BB165" s="575"/>
      <c r="BC165" s="575"/>
      <c r="BD165" s="575"/>
      <c r="BE165" s="575"/>
      <c r="BF165" s="575"/>
      <c r="BG165" s="575"/>
      <c r="BH165" s="575"/>
      <c r="BI165" s="575"/>
      <c r="BJ165" s="575"/>
      <c r="BK165" s="575"/>
      <c r="BL165" s="575"/>
      <c r="BM165" s="575"/>
      <c r="BN165" s="575"/>
      <c r="BO165" s="575"/>
      <c r="BP165" s="575"/>
      <c r="BQ165" s="575"/>
      <c r="BR165" s="575"/>
      <c r="BS165" s="575"/>
      <c r="BT165" s="575"/>
      <c r="BU165" s="575"/>
      <c r="BV165" s="575"/>
      <c r="BW165" s="575"/>
      <c r="BX165" s="575"/>
      <c r="BY165" s="575"/>
      <c r="BZ165" s="575"/>
      <c r="CA165" s="575"/>
      <c r="CB165" s="575"/>
      <c r="CC165" s="575"/>
      <c r="CD165" s="575"/>
      <c r="CE165" s="575"/>
      <c r="CF165" s="575"/>
      <c r="CG165" s="575"/>
      <c r="CH165" s="575"/>
      <c r="CI165" s="575"/>
      <c r="CJ165" s="575"/>
      <c r="CK165" s="575"/>
      <c r="CL165" s="575"/>
      <c r="CM165" s="575"/>
      <c r="CN165" s="575"/>
      <c r="CO165" s="575"/>
      <c r="CP165" s="575"/>
      <c r="CQ165" s="575"/>
      <c r="CR165" s="575"/>
      <c r="CS165" s="575"/>
      <c r="CT165" s="575"/>
      <c r="CU165" s="575"/>
      <c r="CV165" s="575"/>
      <c r="CW165" s="575"/>
      <c r="CX165" s="575"/>
      <c r="CY165" s="575"/>
      <c r="CZ165" s="575"/>
      <c r="DA165" s="575"/>
      <c r="DB165" s="575"/>
      <c r="DC165" s="575"/>
      <c r="DD165" s="575"/>
      <c r="DE165" s="575"/>
      <c r="DF165" s="575"/>
      <c r="DG165" s="575"/>
      <c r="DH165" s="575"/>
      <c r="DI165" s="575"/>
      <c r="DJ165" s="575"/>
      <c r="DK165" s="575"/>
      <c r="DL165" s="575"/>
      <c r="DM165" s="575"/>
      <c r="DN165" s="575"/>
      <c r="DO165" s="575"/>
      <c r="DP165" s="575"/>
      <c r="DQ165" s="575"/>
      <c r="DR165" s="575"/>
      <c r="DS165" s="575"/>
      <c r="DT165" s="575"/>
      <c r="DU165" s="575"/>
      <c r="DV165" s="575"/>
      <c r="DW165" s="575"/>
      <c r="DX165" s="575"/>
      <c r="DY165" s="575"/>
      <c r="DZ165" s="575"/>
      <c r="EA165" s="575"/>
      <c r="EB165" s="575"/>
      <c r="EC165" s="575"/>
      <c r="ED165" s="575"/>
      <c r="EE165" s="575"/>
      <c r="EF165" s="575"/>
      <c r="EG165" s="575"/>
      <c r="EH165" s="575"/>
      <c r="EI165" s="575"/>
      <c r="EJ165" s="575"/>
      <c r="EK165" s="575"/>
      <c r="EL165" s="575"/>
      <c r="EM165" s="575"/>
      <c r="EN165" s="575"/>
      <c r="EO165" s="575"/>
      <c r="EP165" s="575"/>
      <c r="EQ165" s="575"/>
      <c r="ER165" s="575"/>
      <c r="ES165" s="575"/>
      <c r="ET165" s="575"/>
      <c r="EU165" s="575"/>
      <c r="EV165" s="575"/>
      <c r="EW165" s="575"/>
      <c r="EX165" s="575"/>
      <c r="EY165" s="575"/>
      <c r="EZ165" s="575"/>
      <c r="FA165" s="575"/>
      <c r="FB165" s="575"/>
      <c r="FC165" s="575"/>
      <c r="FD165" s="575"/>
      <c r="FE165" s="575"/>
      <c r="FF165" s="575"/>
      <c r="FG165" s="575"/>
      <c r="FH165" s="575"/>
      <c r="FI165" s="575"/>
      <c r="FJ165" s="575"/>
      <c r="FK165" s="575"/>
      <c r="FL165" s="575"/>
      <c r="FM165" s="575"/>
      <c r="FN165" s="575"/>
      <c r="FO165" s="575"/>
      <c r="FP165" s="575"/>
      <c r="FQ165" s="575"/>
      <c r="FR165" s="575"/>
      <c r="FS165" s="575"/>
      <c r="FT165" s="575"/>
      <c r="FU165" s="575"/>
      <c r="FV165" s="575"/>
      <c r="FW165" s="575"/>
      <c r="FX165" s="575"/>
      <c r="FY165" s="575"/>
      <c r="FZ165" s="575"/>
      <c r="GA165" s="575"/>
      <c r="GB165" s="575"/>
      <c r="GC165" s="575"/>
      <c r="GD165" s="575"/>
      <c r="GE165" s="575"/>
      <c r="GF165" s="575"/>
      <c r="GG165" s="575"/>
      <c r="GH165" s="575"/>
      <c r="GI165" s="575"/>
      <c r="GJ165" s="575"/>
      <c r="GK165" s="575"/>
      <c r="GL165" s="575"/>
      <c r="GM165" s="575"/>
      <c r="GN165" s="575"/>
      <c r="GO165" s="575"/>
      <c r="GP165" s="575"/>
      <c r="GQ165" s="575"/>
      <c r="GR165" s="575"/>
      <c r="GS165" s="575"/>
      <c r="GT165" s="575"/>
      <c r="GU165" s="575"/>
      <c r="GV165" s="575"/>
      <c r="GW165" s="575"/>
      <c r="GX165" s="575"/>
      <c r="GY165" s="575"/>
      <c r="GZ165" s="575"/>
      <c r="HA165" s="575"/>
      <c r="HB165" s="575"/>
      <c r="HC165" s="575"/>
      <c r="HD165" s="575"/>
      <c r="HE165" s="575"/>
      <c r="HF165" s="575"/>
      <c r="HG165" s="575"/>
      <c r="HH165" s="575"/>
      <c r="HI165" s="575"/>
      <c r="HJ165" s="575"/>
      <c r="HK165" s="575"/>
      <c r="HL165" s="575"/>
      <c r="HM165" s="575"/>
      <c r="HN165" s="575"/>
      <c r="HO165" s="575"/>
      <c r="HP165" s="575"/>
      <c r="HQ165" s="575"/>
      <c r="HR165" s="575"/>
      <c r="HS165" s="575"/>
      <c r="HT165" s="575"/>
      <c r="HU165" s="575"/>
      <c r="HV165" s="575"/>
      <c r="HW165" s="575"/>
      <c r="HX165" s="575"/>
      <c r="HY165" s="575"/>
      <c r="HZ165" s="575"/>
      <c r="IA165" s="575"/>
      <c r="IB165" s="575"/>
      <c r="IC165" s="575"/>
      <c r="ID165" s="575"/>
      <c r="IE165" s="575"/>
      <c r="IF165" s="575"/>
      <c r="IG165" s="575"/>
      <c r="IH165" s="575"/>
      <c r="II165" s="575"/>
      <c r="IJ165" s="575"/>
      <c r="IK165" s="575"/>
      <c r="IL165" s="575"/>
      <c r="IM165" s="575"/>
      <c r="IN165" s="575"/>
      <c r="IO165" s="575"/>
      <c r="IP165" s="575"/>
      <c r="IQ165" s="575"/>
      <c r="IR165" s="575"/>
      <c r="IS165" s="575"/>
      <c r="IT165" s="575"/>
      <c r="IU165" s="575"/>
      <c r="IV165" s="575"/>
      <c r="IW165" s="575"/>
      <c r="IX165" s="575"/>
      <c r="IY165" s="575"/>
      <c r="IZ165" s="575"/>
      <c r="JA165" s="575"/>
      <c r="JB165" s="575"/>
      <c r="JC165" s="575"/>
      <c r="JD165" s="575"/>
      <c r="JE165" s="575"/>
      <c r="JF165" s="575"/>
      <c r="JG165" s="575"/>
      <c r="JH165" s="575"/>
      <c r="JI165" s="575"/>
      <c r="JJ165" s="575"/>
      <c r="JK165" s="575"/>
      <c r="JL165" s="575"/>
      <c r="JM165" s="575"/>
      <c r="JN165" s="575"/>
      <c r="JO165" s="575"/>
      <c r="JP165" s="575"/>
      <c r="JQ165" s="575"/>
      <c r="JR165" s="575"/>
      <c r="JS165" s="575"/>
      <c r="JT165" s="575"/>
      <c r="JU165" s="575"/>
      <c r="JV165" s="575"/>
      <c r="JW165" s="575"/>
      <c r="JX165" s="575"/>
      <c r="JY165" s="575"/>
      <c r="JZ165" s="575"/>
      <c r="KA165" s="575"/>
      <c r="KB165" s="575"/>
      <c r="KC165" s="575"/>
      <c r="KD165" s="575"/>
      <c r="KE165" s="575"/>
      <c r="KF165" s="575"/>
      <c r="KG165" s="575"/>
      <c r="KH165" s="575"/>
      <c r="KI165" s="575"/>
      <c r="KJ165" s="575"/>
      <c r="KK165" s="575"/>
      <c r="KL165" s="575"/>
      <c r="KM165" s="575"/>
      <c r="KN165" s="575"/>
      <c r="KO165" s="575"/>
      <c r="KP165" s="575"/>
      <c r="KQ165" s="575"/>
      <c r="KR165" s="575"/>
      <c r="KS165" s="575"/>
      <c r="KT165" s="575"/>
      <c r="KU165" s="575"/>
      <c r="KV165" s="575"/>
      <c r="KW165" s="575"/>
      <c r="KX165" s="575"/>
      <c r="KY165" s="575"/>
      <c r="KZ165" s="575"/>
      <c r="LA165" s="575"/>
      <c r="LB165" s="575"/>
      <c r="LC165" s="575"/>
      <c r="LD165" s="575"/>
      <c r="LE165" s="575"/>
      <c r="LF165" s="575"/>
      <c r="LG165" s="575"/>
      <c r="LH165" s="575"/>
      <c r="LI165" s="575"/>
      <c r="LJ165" s="575"/>
      <c r="LK165" s="575"/>
      <c r="LL165" s="575"/>
      <c r="LM165" s="575"/>
      <c r="LN165" s="575"/>
      <c r="LO165" s="575"/>
      <c r="LP165" s="575"/>
      <c r="LQ165" s="575"/>
      <c r="LR165" s="575"/>
      <c r="LS165" s="575"/>
      <c r="LT165" s="575"/>
      <c r="LU165" s="575"/>
      <c r="LV165" s="575"/>
      <c r="LW165" s="575"/>
      <c r="LX165" s="575"/>
      <c r="LY165" s="575"/>
      <c r="LZ165" s="575"/>
      <c r="MA165" s="575"/>
      <c r="MB165" s="575"/>
      <c r="MC165" s="575"/>
      <c r="MD165" s="575"/>
      <c r="ME165" s="575"/>
      <c r="MF165" s="575"/>
      <c r="MG165" s="575"/>
      <c r="MH165" s="575"/>
      <c r="MI165" s="575"/>
      <c r="MJ165" s="575"/>
      <c r="MK165" s="575"/>
      <c r="ML165" s="575"/>
      <c r="MM165" s="575"/>
      <c r="MN165" s="575"/>
      <c r="MO165" s="575"/>
      <c r="MP165" s="575"/>
      <c r="MQ165" s="575"/>
      <c r="MR165" s="575"/>
      <c r="MS165" s="575"/>
      <c r="MT165" s="575"/>
      <c r="MU165" s="575"/>
      <c r="MV165" s="575"/>
      <c r="MW165" s="575"/>
      <c r="MX165" s="575"/>
      <c r="MY165" s="575"/>
      <c r="MZ165" s="575"/>
      <c r="NA165" s="575"/>
      <c r="NB165" s="575"/>
      <c r="NC165" s="575"/>
      <c r="ND165" s="575"/>
      <c r="NE165" s="575"/>
      <c r="NF165" s="575"/>
      <c r="NG165" s="575"/>
      <c r="NH165" s="575"/>
      <c r="NI165" s="575"/>
      <c r="NJ165" s="575"/>
      <c r="NK165" s="575"/>
      <c r="NL165" s="575"/>
      <c r="NM165" s="575"/>
      <c r="NN165" s="575"/>
      <c r="NO165" s="575"/>
      <c r="NP165" s="575"/>
      <c r="NQ165" s="575"/>
      <c r="NR165" s="575"/>
      <c r="NS165" s="575"/>
      <c r="NT165" s="575"/>
      <c r="NU165" s="575"/>
      <c r="NV165" s="575"/>
      <c r="NW165" s="575"/>
      <c r="NX165" s="575"/>
      <c r="NY165" s="575"/>
      <c r="NZ165" s="575"/>
      <c r="OA165" s="575"/>
      <c r="OB165" s="575"/>
      <c r="OC165" s="575"/>
      <c r="OD165" s="575"/>
      <c r="OE165" s="575"/>
      <c r="OF165" s="575"/>
      <c r="OG165" s="575"/>
      <c r="OH165" s="575"/>
      <c r="OI165" s="575"/>
      <c r="OJ165" s="575"/>
      <c r="OK165" s="575"/>
      <c r="OL165" s="575"/>
      <c r="OM165" s="575"/>
      <c r="ON165" s="575"/>
      <c r="OO165" s="575"/>
      <c r="OP165" s="575"/>
      <c r="OQ165" s="575"/>
      <c r="OR165" s="575"/>
      <c r="OS165" s="575"/>
      <c r="OT165" s="575"/>
      <c r="OU165" s="575"/>
      <c r="OV165" s="575"/>
      <c r="OW165" s="575"/>
      <c r="OX165" s="575"/>
      <c r="OY165" s="575"/>
      <c r="OZ165" s="575"/>
      <c r="PA165" s="575"/>
      <c r="PB165" s="575"/>
      <c r="PC165" s="575"/>
      <c r="PD165" s="575"/>
      <c r="PE165" s="575"/>
      <c r="PF165" s="575"/>
      <c r="PG165" s="575"/>
      <c r="PH165" s="575"/>
      <c r="PI165" s="575"/>
      <c r="PJ165" s="575"/>
      <c r="PK165" s="575"/>
      <c r="PL165" s="575"/>
      <c r="PM165" s="575"/>
      <c r="PN165" s="575"/>
      <c r="PO165" s="575"/>
      <c r="PP165" s="575"/>
      <c r="PQ165" s="575"/>
      <c r="PR165" s="575"/>
      <c r="PS165" s="575"/>
      <c r="PT165" s="575"/>
      <c r="PU165" s="575"/>
      <c r="PV165" s="575"/>
      <c r="PW165" s="575"/>
      <c r="PX165" s="575"/>
      <c r="PY165" s="575"/>
      <c r="PZ165" s="575"/>
      <c r="QA165" s="575"/>
      <c r="QB165" s="575"/>
      <c r="QC165" s="575"/>
      <c r="QD165" s="575"/>
      <c r="QE165" s="575"/>
      <c r="QF165" s="575"/>
      <c r="QG165" s="575"/>
      <c r="QH165" s="575"/>
      <c r="QI165" s="575"/>
      <c r="QJ165" s="575"/>
      <c r="QK165" s="575"/>
      <c r="QL165" s="575"/>
      <c r="QM165" s="575"/>
      <c r="QN165" s="575"/>
      <c r="QO165" s="575"/>
      <c r="QP165" s="575"/>
      <c r="QQ165" s="575"/>
      <c r="QR165" s="575"/>
      <c r="QS165" s="575"/>
      <c r="QT165" s="575"/>
      <c r="QU165" s="575"/>
      <c r="QV165" s="575"/>
      <c r="QW165" s="575"/>
      <c r="QX165" s="575"/>
      <c r="QY165" s="575"/>
      <c r="QZ165" s="575"/>
      <c r="RA165" s="575"/>
      <c r="RB165" s="575"/>
      <c r="RC165" s="575"/>
      <c r="RD165" s="575"/>
      <c r="RE165" s="575"/>
      <c r="RF165" s="575"/>
      <c r="RG165" s="575"/>
      <c r="RH165" s="575"/>
      <c r="RI165" s="575"/>
      <c r="RJ165" s="575"/>
      <c r="RK165" s="575"/>
      <c r="RL165" s="575"/>
      <c r="RM165" s="575"/>
      <c r="RN165" s="575"/>
      <c r="RO165" s="575"/>
      <c r="RP165" s="575"/>
      <c r="RQ165" s="575"/>
      <c r="RR165" s="575"/>
      <c r="RS165" s="575"/>
      <c r="RT165" s="575"/>
      <c r="RU165" s="575"/>
      <c r="RV165" s="575"/>
      <c r="RW165" s="575"/>
      <c r="RX165" s="575"/>
      <c r="RY165" s="575"/>
      <c r="RZ165" s="575"/>
      <c r="SA165" s="575"/>
      <c r="SB165" s="575"/>
      <c r="SC165" s="575"/>
      <c r="SD165" s="575"/>
      <c r="SE165" s="575"/>
      <c r="SF165" s="575"/>
      <c r="SG165" s="575"/>
      <c r="SH165" s="575"/>
      <c r="SI165" s="575"/>
      <c r="SJ165" s="575"/>
      <c r="SK165" s="575"/>
      <c r="SL165" s="575"/>
      <c r="SM165" s="575"/>
      <c r="SN165" s="575"/>
      <c r="SO165" s="575"/>
      <c r="SP165" s="575"/>
      <c r="SQ165" s="575"/>
      <c r="SR165" s="575"/>
      <c r="SS165" s="575"/>
      <c r="ST165" s="575"/>
      <c r="SU165" s="575"/>
      <c r="SV165" s="575"/>
      <c r="SW165" s="575"/>
      <c r="SX165" s="575"/>
      <c r="SY165" s="575"/>
      <c r="SZ165" s="575"/>
      <c r="TA165" s="575"/>
      <c r="TB165" s="575"/>
      <c r="TC165" s="575"/>
      <c r="TD165" s="575"/>
      <c r="TE165" s="575"/>
      <c r="TF165" s="575"/>
      <c r="TG165" s="575"/>
      <c r="TH165" s="575"/>
      <c r="TI165" s="575"/>
      <c r="TJ165" s="575"/>
      <c r="TK165" s="575"/>
      <c r="TL165" s="575"/>
      <c r="TM165" s="575"/>
      <c r="TN165" s="575"/>
      <c r="TO165" s="575"/>
      <c r="TP165" s="575"/>
      <c r="TQ165" s="575"/>
      <c r="TR165" s="575"/>
      <c r="TS165" s="575"/>
      <c r="TT165" s="575"/>
      <c r="TU165" s="575"/>
      <c r="TV165" s="575"/>
      <c r="TW165" s="575"/>
      <c r="TX165" s="575"/>
      <c r="TY165" s="575"/>
      <c r="TZ165" s="575"/>
      <c r="UA165" s="575"/>
      <c r="UB165" s="575"/>
      <c r="UC165" s="575"/>
      <c r="UD165" s="575"/>
      <c r="UE165" s="575"/>
      <c r="UF165" s="575"/>
      <c r="UG165" s="575"/>
      <c r="UH165" s="575"/>
      <c r="UI165" s="575"/>
      <c r="UJ165" s="575"/>
      <c r="UK165" s="575"/>
      <c r="UL165" s="575"/>
      <c r="UM165" s="575"/>
      <c r="UN165" s="575"/>
      <c r="UO165" s="575"/>
      <c r="UP165" s="575"/>
      <c r="UQ165" s="575"/>
      <c r="UR165" s="575"/>
      <c r="US165" s="575"/>
      <c r="UT165" s="575"/>
      <c r="UU165" s="575"/>
      <c r="UV165" s="575"/>
      <c r="UW165" s="575"/>
      <c r="UX165" s="575"/>
      <c r="UY165" s="575"/>
      <c r="UZ165" s="575"/>
      <c r="VA165" s="575"/>
      <c r="VB165" s="575"/>
      <c r="VC165" s="575"/>
      <c r="VD165" s="575"/>
      <c r="VE165" s="575"/>
      <c r="VF165" s="575"/>
      <c r="VG165" s="575"/>
      <c r="VH165" s="575"/>
      <c r="VI165" s="575"/>
      <c r="VJ165" s="575"/>
      <c r="VK165" s="575"/>
      <c r="VL165" s="575"/>
      <c r="VM165" s="575"/>
      <c r="VN165" s="575"/>
      <c r="VO165" s="575"/>
      <c r="VP165" s="575"/>
      <c r="VQ165" s="575"/>
      <c r="VR165" s="575"/>
      <c r="VS165" s="575"/>
      <c r="VT165" s="575"/>
      <c r="VU165" s="575"/>
      <c r="VV165" s="575"/>
      <c r="VW165" s="575"/>
      <c r="VX165" s="575"/>
      <c r="VY165" s="575"/>
      <c r="VZ165" s="575"/>
      <c r="WA165" s="575"/>
      <c r="WB165" s="575"/>
      <c r="WC165" s="575"/>
      <c r="WD165" s="575"/>
      <c r="WE165" s="575"/>
      <c r="WF165" s="575"/>
      <c r="WG165" s="575"/>
      <c r="WH165" s="575"/>
      <c r="WI165" s="575"/>
      <c r="WJ165" s="575"/>
      <c r="WK165" s="575"/>
      <c r="WL165" s="575"/>
      <c r="WM165" s="575"/>
      <c r="WN165" s="575"/>
      <c r="WO165" s="575"/>
      <c r="WP165" s="575"/>
      <c r="WQ165" s="575"/>
      <c r="WR165" s="575"/>
      <c r="WS165" s="575"/>
      <c r="WT165" s="575"/>
      <c r="WU165" s="575"/>
      <c r="WV165" s="575"/>
      <c r="WW165" s="575"/>
      <c r="WX165" s="575"/>
      <c r="WY165" s="575"/>
      <c r="WZ165" s="575"/>
      <c r="XA165" s="575"/>
      <c r="XB165" s="575"/>
      <c r="XC165" s="575"/>
      <c r="XD165" s="575"/>
      <c r="XE165" s="575"/>
      <c r="XF165" s="575"/>
      <c r="XG165" s="575"/>
      <c r="XH165" s="575"/>
      <c r="XI165" s="575"/>
      <c r="XJ165" s="575"/>
      <c r="XK165" s="575"/>
      <c r="XL165" s="575"/>
      <c r="XM165" s="575"/>
      <c r="XN165" s="575"/>
      <c r="XO165" s="575"/>
      <c r="XP165" s="575"/>
      <c r="XQ165" s="575"/>
      <c r="XR165" s="575"/>
      <c r="XS165" s="575"/>
      <c r="XT165" s="575"/>
      <c r="XU165" s="575"/>
      <c r="XV165" s="575"/>
      <c r="XW165" s="575"/>
      <c r="XX165" s="575"/>
      <c r="XY165" s="575"/>
      <c r="XZ165" s="575"/>
      <c r="YA165" s="575"/>
      <c r="YB165" s="575"/>
      <c r="YC165" s="575"/>
      <c r="YD165" s="575"/>
      <c r="YE165" s="575"/>
      <c r="YF165" s="575"/>
      <c r="YG165" s="575"/>
      <c r="YH165" s="575"/>
      <c r="YI165" s="575"/>
      <c r="YJ165" s="575"/>
      <c r="YK165" s="575"/>
      <c r="YL165" s="575"/>
      <c r="YM165" s="575"/>
      <c r="YN165" s="575"/>
      <c r="YO165" s="575"/>
      <c r="YP165" s="575"/>
      <c r="YQ165" s="575"/>
      <c r="YR165" s="575"/>
      <c r="YS165" s="575"/>
      <c r="YT165" s="575"/>
      <c r="YU165" s="575"/>
      <c r="YV165" s="575"/>
      <c r="YW165" s="575"/>
      <c r="YX165" s="575"/>
      <c r="YY165" s="575"/>
      <c r="YZ165" s="575"/>
      <c r="ZA165" s="575"/>
      <c r="ZB165" s="575"/>
      <c r="ZC165" s="575"/>
      <c r="ZD165" s="575"/>
      <c r="ZE165" s="575"/>
      <c r="ZF165" s="575"/>
      <c r="ZG165" s="575"/>
      <c r="ZH165" s="575"/>
      <c r="ZI165" s="575"/>
      <c r="ZJ165" s="575"/>
      <c r="ZK165" s="575"/>
      <c r="ZL165" s="575"/>
      <c r="ZM165" s="575"/>
      <c r="ZN165" s="575"/>
      <c r="ZO165" s="575"/>
      <c r="ZP165" s="575"/>
      <c r="ZQ165" s="575"/>
      <c r="ZR165" s="575"/>
      <c r="ZS165" s="575"/>
      <c r="ZT165" s="575"/>
      <c r="ZU165" s="575"/>
      <c r="ZV165" s="575"/>
      <c r="ZW165" s="575"/>
      <c r="ZX165" s="575"/>
      <c r="ZY165" s="575"/>
      <c r="ZZ165" s="575"/>
      <c r="AAA165" s="575"/>
      <c r="AAB165" s="575"/>
      <c r="AAC165" s="575"/>
      <c r="AAD165" s="575"/>
      <c r="AAE165" s="575"/>
      <c r="AAF165" s="575"/>
      <c r="AAG165" s="575"/>
      <c r="AAH165" s="575"/>
      <c r="AAI165" s="575"/>
      <c r="AAJ165" s="575"/>
      <c r="AAK165" s="575"/>
      <c r="AAL165" s="575"/>
      <c r="AAM165" s="575"/>
      <c r="AAN165" s="575"/>
      <c r="AAO165" s="575"/>
      <c r="AAP165" s="575"/>
      <c r="AAQ165" s="575"/>
      <c r="AAR165" s="575"/>
      <c r="AAS165" s="575"/>
      <c r="AAT165" s="575"/>
      <c r="AAU165" s="575"/>
      <c r="AAV165" s="575"/>
      <c r="AAW165" s="575"/>
      <c r="AAX165" s="575"/>
      <c r="AAY165" s="575"/>
      <c r="AAZ165" s="575"/>
      <c r="ABA165" s="575"/>
      <c r="ABB165" s="575"/>
      <c r="ABC165" s="575"/>
      <c r="ABD165" s="575"/>
      <c r="ABE165" s="575"/>
      <c r="ABF165" s="575"/>
      <c r="ABG165" s="575"/>
      <c r="ABH165" s="575"/>
      <c r="ABI165" s="575"/>
      <c r="ABJ165" s="575"/>
      <c r="ABK165" s="575"/>
      <c r="ABL165" s="575"/>
      <c r="ABM165" s="575"/>
      <c r="ABN165" s="575"/>
      <c r="ABO165" s="575"/>
      <c r="ABP165" s="575"/>
      <c r="ABQ165" s="575"/>
      <c r="ABR165" s="575"/>
      <c r="ABS165" s="575"/>
      <c r="ABT165" s="575"/>
      <c r="ABU165" s="575"/>
      <c r="ABV165" s="575"/>
      <c r="ABW165" s="575"/>
      <c r="ABX165" s="575"/>
      <c r="ABY165" s="575"/>
      <c r="ABZ165" s="575"/>
      <c r="ACA165" s="575"/>
      <c r="ACB165" s="575"/>
      <c r="ACC165" s="575"/>
      <c r="ACD165" s="575"/>
      <c r="ACE165" s="575"/>
      <c r="ACF165" s="575"/>
      <c r="ACG165" s="575"/>
      <c r="ACH165" s="575"/>
      <c r="ACI165" s="575"/>
      <c r="ACJ165" s="575"/>
      <c r="ACK165" s="575"/>
      <c r="ACL165" s="575"/>
      <c r="ACM165" s="575"/>
      <c r="ACN165" s="575"/>
      <c r="ACO165" s="575"/>
      <c r="ACP165" s="575"/>
      <c r="ACQ165" s="575"/>
      <c r="ACR165" s="575"/>
      <c r="ACS165" s="575"/>
      <c r="ACT165" s="575"/>
      <c r="ACU165" s="575"/>
      <c r="ACV165" s="575"/>
      <c r="ACW165" s="575"/>
      <c r="ACX165" s="575"/>
      <c r="ACY165" s="575"/>
      <c r="ACZ165" s="575"/>
      <c r="ADA165" s="575"/>
      <c r="ADB165" s="575"/>
      <c r="ADC165" s="575"/>
      <c r="ADD165" s="575"/>
      <c r="ADE165" s="575"/>
      <c r="ADF165" s="575"/>
      <c r="ADG165" s="575"/>
      <c r="ADH165" s="575"/>
      <c r="ADI165" s="575"/>
      <c r="ADJ165" s="575"/>
      <c r="ADK165" s="575"/>
      <c r="ADL165" s="575"/>
      <c r="ADM165" s="575"/>
      <c r="ADN165" s="575"/>
      <c r="ADO165" s="575"/>
      <c r="ADP165" s="575"/>
      <c r="ADQ165" s="575"/>
      <c r="ADR165" s="575"/>
      <c r="ADS165" s="575"/>
      <c r="ADT165" s="575"/>
      <c r="ADU165" s="575"/>
      <c r="ADV165" s="575"/>
      <c r="ADW165" s="575"/>
      <c r="ADX165" s="575"/>
      <c r="ADY165" s="575"/>
      <c r="ADZ165" s="575"/>
      <c r="AEA165" s="575"/>
      <c r="AEB165" s="575"/>
      <c r="AEC165" s="575"/>
      <c r="AED165" s="575"/>
      <c r="AEE165" s="575"/>
      <c r="AEF165" s="575"/>
      <c r="AEG165" s="575"/>
      <c r="AEH165" s="575"/>
      <c r="AEI165" s="575"/>
      <c r="AEJ165" s="575"/>
      <c r="AEK165" s="575"/>
      <c r="AEL165" s="575"/>
      <c r="AEM165" s="575"/>
      <c r="AEN165" s="575"/>
      <c r="AEO165" s="575"/>
      <c r="AEP165" s="575"/>
      <c r="AEQ165" s="575"/>
      <c r="AER165" s="575"/>
      <c r="AES165" s="575"/>
      <c r="AET165" s="575"/>
      <c r="AEU165" s="575"/>
      <c r="AEV165" s="575"/>
      <c r="AEW165" s="575"/>
      <c r="AEX165" s="575"/>
      <c r="AEY165" s="575"/>
      <c r="AEZ165" s="575"/>
      <c r="AFA165" s="575"/>
      <c r="AFB165" s="575"/>
      <c r="AFC165" s="575"/>
      <c r="AFD165" s="575"/>
      <c r="AFE165" s="575"/>
      <c r="AFF165" s="575"/>
      <c r="AFG165" s="575"/>
      <c r="AFH165" s="575"/>
      <c r="AFI165" s="575"/>
      <c r="AFJ165" s="575"/>
      <c r="AFK165" s="575"/>
      <c r="AFL165" s="575"/>
      <c r="AFM165" s="575"/>
      <c r="AFN165" s="575"/>
      <c r="AFO165" s="575"/>
      <c r="AFP165" s="575"/>
      <c r="AFQ165" s="575"/>
      <c r="AFR165" s="575"/>
      <c r="AFS165" s="575"/>
      <c r="AFT165" s="575"/>
      <c r="AFU165" s="575"/>
      <c r="AFV165" s="575"/>
      <c r="AFW165" s="575"/>
      <c r="AFX165" s="575"/>
      <c r="AFY165" s="575"/>
      <c r="AFZ165" s="575"/>
      <c r="AGA165" s="575"/>
      <c r="AGB165" s="575"/>
      <c r="AGC165" s="575"/>
      <c r="AGD165" s="575"/>
      <c r="AGE165" s="575"/>
      <c r="AGF165" s="575"/>
      <c r="AGG165" s="575"/>
      <c r="AGH165" s="575"/>
      <c r="AGI165" s="575"/>
      <c r="AGJ165" s="575"/>
      <c r="AGK165" s="575"/>
      <c r="AGL165" s="575"/>
      <c r="AGM165" s="575"/>
      <c r="AGN165" s="575"/>
      <c r="AGO165" s="575"/>
      <c r="AGP165" s="575"/>
      <c r="AGQ165" s="575"/>
      <c r="AGR165" s="575"/>
      <c r="AGS165" s="575"/>
      <c r="AGT165" s="575"/>
      <c r="AGU165" s="575"/>
      <c r="AGV165" s="575"/>
      <c r="AGW165" s="575"/>
      <c r="AGX165" s="575"/>
      <c r="AGY165" s="575"/>
      <c r="AGZ165" s="575"/>
      <c r="AHA165" s="575"/>
      <c r="AHB165" s="575"/>
      <c r="AHC165" s="575"/>
      <c r="AHD165" s="575"/>
      <c r="AHE165" s="575"/>
      <c r="AHF165" s="575"/>
      <c r="AHG165" s="575"/>
      <c r="AHH165" s="575"/>
      <c r="AHI165" s="575"/>
      <c r="AHJ165" s="575"/>
      <c r="AHK165" s="575"/>
      <c r="AHL165" s="575"/>
      <c r="AHM165" s="575"/>
      <c r="AHN165" s="575"/>
      <c r="AHO165" s="575"/>
      <c r="AHP165" s="575"/>
      <c r="AHQ165" s="575"/>
      <c r="AHR165" s="575"/>
      <c r="AHS165" s="575"/>
      <c r="AHT165" s="575"/>
      <c r="AHU165" s="575"/>
      <c r="AHV165" s="575"/>
      <c r="AHW165" s="575"/>
      <c r="AHX165" s="575"/>
      <c r="AHY165" s="575"/>
      <c r="AHZ165" s="575"/>
      <c r="AIA165" s="575"/>
      <c r="AIB165" s="575"/>
      <c r="AIC165" s="575"/>
      <c r="AID165" s="575"/>
      <c r="AIE165" s="575"/>
      <c r="AIF165" s="575"/>
      <c r="AIG165" s="575"/>
      <c r="AIH165" s="575"/>
      <c r="AII165" s="575"/>
      <c r="AIJ165" s="575"/>
      <c r="AIK165" s="575"/>
      <c r="AIL165" s="575"/>
      <c r="AIM165" s="575"/>
      <c r="AIN165" s="575"/>
      <c r="AIO165" s="575"/>
      <c r="AIP165" s="575"/>
      <c r="AIQ165" s="575"/>
      <c r="AIR165" s="575"/>
      <c r="AIS165" s="575"/>
      <c r="AIT165" s="575"/>
      <c r="AIU165" s="575"/>
      <c r="AIV165" s="575"/>
      <c r="AIW165" s="575"/>
      <c r="AIX165" s="575"/>
      <c r="AIY165" s="575"/>
      <c r="AIZ165" s="575"/>
      <c r="AJA165" s="575"/>
      <c r="AJB165" s="575"/>
      <c r="AJC165" s="575"/>
      <c r="AJD165" s="575"/>
      <c r="AJE165" s="575"/>
      <c r="AJF165" s="575"/>
      <c r="AJG165" s="575"/>
      <c r="AJH165" s="575"/>
      <c r="AJI165" s="575"/>
      <c r="AJJ165" s="575"/>
      <c r="AJK165" s="575"/>
      <c r="AJL165" s="575"/>
      <c r="AJM165" s="575"/>
      <c r="AJN165" s="575"/>
      <c r="AJO165" s="575"/>
      <c r="AJP165" s="575"/>
      <c r="AJQ165" s="575"/>
      <c r="AJR165" s="575"/>
      <c r="AJS165" s="575"/>
      <c r="AJT165" s="575"/>
      <c r="AJU165" s="575"/>
      <c r="AJV165" s="575"/>
      <c r="AJW165" s="575"/>
      <c r="AJX165" s="575"/>
      <c r="AJY165" s="575"/>
      <c r="AJZ165" s="575"/>
      <c r="AKA165" s="575"/>
      <c r="AKB165" s="575"/>
      <c r="AKC165" s="575"/>
      <c r="AKD165" s="575"/>
      <c r="AKE165" s="575"/>
      <c r="AKF165" s="575"/>
      <c r="AKG165" s="575"/>
      <c r="AKH165" s="575"/>
      <c r="AKI165" s="575"/>
      <c r="AKJ165" s="575"/>
      <c r="AKK165" s="575"/>
      <c r="AKL165" s="575"/>
      <c r="AKM165" s="575"/>
      <c r="AKN165" s="575"/>
      <c r="AKO165" s="575"/>
      <c r="AKP165" s="575"/>
      <c r="AKQ165" s="575"/>
      <c r="AKR165" s="575"/>
      <c r="AKS165" s="575"/>
      <c r="AKT165" s="575"/>
      <c r="AKU165" s="575"/>
      <c r="AKV165" s="575"/>
      <c r="AKW165" s="575"/>
      <c r="AKX165" s="575"/>
      <c r="AKY165" s="575"/>
      <c r="AKZ165" s="575"/>
      <c r="ALA165" s="575"/>
      <c r="ALB165" s="575"/>
      <c r="ALC165" s="575"/>
      <c r="ALD165" s="575"/>
      <c r="ALE165" s="575"/>
      <c r="ALF165" s="575"/>
      <c r="ALG165" s="575"/>
      <c r="ALH165" s="575"/>
      <c r="ALI165" s="575"/>
      <c r="ALJ165" s="575"/>
      <c r="ALK165" s="575"/>
      <c r="ALL165" s="575"/>
      <c r="ALM165" s="575"/>
      <c r="ALN165" s="575"/>
      <c r="ALO165" s="575"/>
      <c r="ALP165" s="575"/>
      <c r="ALQ165" s="575"/>
      <c r="ALR165" s="575"/>
      <c r="ALS165" s="575"/>
      <c r="ALT165" s="575"/>
      <c r="ALU165" s="575"/>
      <c r="ALV165" s="575"/>
      <c r="ALW165" s="575"/>
      <c r="ALX165" s="575"/>
      <c r="ALY165" s="575"/>
      <c r="ALZ165" s="575"/>
      <c r="AMA165" s="575"/>
      <c r="AMB165" s="575"/>
      <c r="AMC165" s="575"/>
      <c r="AMD165" s="575"/>
      <c r="AME165" s="575"/>
      <c r="AMF165" s="575"/>
      <c r="AMG165" s="575"/>
      <c r="AMH165" s="575"/>
      <c r="AMI165" s="575"/>
      <c r="AMJ165" s="575"/>
      <c r="AMK165" s="575"/>
      <c r="AML165" s="575"/>
      <c r="AMM165" s="575"/>
      <c r="AMN165" s="575"/>
      <c r="AMO165" s="575"/>
      <c r="AMP165" s="575"/>
      <c r="AMQ165" s="575"/>
      <c r="AMR165" s="575"/>
      <c r="AMS165" s="575"/>
      <c r="AMT165" s="575"/>
      <c r="AMU165" s="575"/>
      <c r="AMV165" s="575"/>
      <c r="AMW165" s="575"/>
      <c r="AMX165" s="575"/>
      <c r="AMY165" s="575"/>
      <c r="AMZ165" s="575"/>
      <c r="ANA165" s="575"/>
      <c r="ANB165" s="575"/>
      <c r="ANC165" s="575"/>
      <c r="AND165" s="575"/>
      <c r="ANE165" s="575"/>
      <c r="ANF165" s="575"/>
      <c r="ANG165" s="575"/>
      <c r="ANH165" s="575"/>
      <c r="ANI165" s="575"/>
      <c r="ANJ165" s="575"/>
      <c r="ANK165" s="575"/>
      <c r="ANL165" s="575"/>
      <c r="ANM165" s="575"/>
      <c r="ANN165" s="575"/>
      <c r="ANO165" s="575"/>
      <c r="ANP165" s="575"/>
      <c r="ANQ165" s="575"/>
      <c r="ANR165" s="575"/>
      <c r="ANS165" s="575"/>
      <c r="ANT165" s="575"/>
      <c r="ANU165" s="575"/>
      <c r="ANV165" s="575"/>
      <c r="ANW165" s="575"/>
      <c r="ANX165" s="575"/>
      <c r="ANY165" s="575"/>
      <c r="ANZ165" s="575"/>
      <c r="AOA165" s="575"/>
      <c r="AOB165" s="575"/>
      <c r="AOC165" s="575"/>
      <c r="AOD165" s="575"/>
      <c r="AOE165" s="575"/>
      <c r="AOF165" s="575"/>
      <c r="AOG165" s="575"/>
      <c r="AOH165" s="575"/>
      <c r="AOI165" s="575"/>
      <c r="AOJ165" s="575"/>
      <c r="AOK165" s="575"/>
      <c r="AOL165" s="575"/>
      <c r="AOM165" s="575"/>
      <c r="AON165" s="575"/>
      <c r="AOO165" s="575"/>
      <c r="AOP165" s="575"/>
      <c r="AOQ165" s="575"/>
      <c r="AOR165" s="575"/>
      <c r="AOS165" s="575"/>
      <c r="AOT165" s="575"/>
      <c r="AOU165" s="575"/>
      <c r="AOV165" s="575"/>
      <c r="AOW165" s="575"/>
      <c r="AOX165" s="575"/>
      <c r="AOY165" s="575"/>
      <c r="AOZ165" s="575"/>
      <c r="APA165" s="575"/>
      <c r="APB165" s="575"/>
      <c r="APC165" s="575"/>
      <c r="APD165" s="575"/>
      <c r="APE165" s="575"/>
      <c r="APF165" s="575"/>
      <c r="APG165" s="575"/>
      <c r="APH165" s="575"/>
      <c r="API165" s="575"/>
      <c r="APJ165" s="575"/>
      <c r="APK165" s="575"/>
      <c r="APL165" s="575"/>
      <c r="APM165" s="575"/>
      <c r="APN165" s="575"/>
      <c r="APO165" s="575"/>
      <c r="APP165" s="575"/>
      <c r="APQ165" s="575"/>
      <c r="APR165" s="575"/>
      <c r="APS165" s="575"/>
      <c r="APT165" s="575"/>
      <c r="APU165" s="575"/>
      <c r="APV165" s="575"/>
      <c r="APW165" s="575"/>
      <c r="APX165" s="575"/>
      <c r="APY165" s="575"/>
      <c r="APZ165" s="575"/>
      <c r="AQA165" s="575"/>
      <c r="AQB165" s="575"/>
      <c r="AQC165" s="575"/>
      <c r="AQD165" s="575"/>
      <c r="AQE165" s="575"/>
      <c r="AQF165" s="575"/>
      <c r="AQG165" s="575"/>
      <c r="AQH165" s="575"/>
      <c r="AQI165" s="575"/>
      <c r="AQJ165" s="575"/>
      <c r="AQK165" s="575"/>
      <c r="AQL165" s="575"/>
      <c r="AQM165" s="575"/>
      <c r="AQN165" s="575"/>
      <c r="AQO165" s="575"/>
      <c r="AQP165" s="575"/>
      <c r="AQQ165" s="575"/>
      <c r="AQR165" s="575"/>
      <c r="AQS165" s="575"/>
      <c r="AQT165" s="575"/>
      <c r="AQU165" s="575"/>
      <c r="AQV165" s="575"/>
      <c r="AQW165" s="575"/>
      <c r="AQX165" s="575"/>
      <c r="AQY165" s="575"/>
      <c r="AQZ165" s="575"/>
      <c r="ARA165" s="575"/>
      <c r="ARB165" s="575"/>
      <c r="ARC165" s="575"/>
      <c r="ARD165" s="575"/>
      <c r="ARE165" s="575"/>
      <c r="ARF165" s="575"/>
      <c r="ARG165" s="575"/>
      <c r="ARH165" s="575"/>
      <c r="ARI165" s="575"/>
      <c r="ARJ165" s="575"/>
      <c r="ARK165" s="575"/>
      <c r="ARL165" s="575"/>
      <c r="ARM165" s="575"/>
      <c r="ARN165" s="575"/>
      <c r="ARO165" s="575"/>
      <c r="ARP165" s="575"/>
      <c r="ARQ165" s="575"/>
      <c r="ARR165" s="575"/>
      <c r="ARS165" s="575"/>
      <c r="ART165" s="575"/>
      <c r="ARU165" s="575"/>
      <c r="ARV165" s="575"/>
      <c r="ARW165" s="575"/>
      <c r="ARX165" s="575"/>
      <c r="ARY165" s="575"/>
      <c r="ARZ165" s="575"/>
      <c r="ASA165" s="575"/>
      <c r="ASB165" s="575"/>
      <c r="ASC165" s="575"/>
      <c r="ASD165" s="575"/>
      <c r="ASE165" s="575"/>
      <c r="ASF165" s="575"/>
      <c r="ASG165" s="575"/>
      <c r="ASH165" s="575"/>
      <c r="ASI165" s="575"/>
      <c r="ASJ165" s="575"/>
      <c r="ASK165" s="575"/>
      <c r="ASL165" s="575"/>
      <c r="ASM165" s="575"/>
      <c r="ASN165" s="575"/>
      <c r="ASO165" s="575"/>
      <c r="ASP165" s="575"/>
      <c r="ASQ165" s="575"/>
      <c r="ASR165" s="575"/>
      <c r="ASS165" s="575"/>
      <c r="AST165" s="575"/>
      <c r="ASU165" s="575"/>
      <c r="ASV165" s="575"/>
      <c r="ASW165" s="575"/>
      <c r="ASX165" s="575"/>
      <c r="ASY165" s="575"/>
      <c r="ASZ165" s="575"/>
      <c r="ATA165" s="575"/>
      <c r="ATB165" s="575"/>
      <c r="ATC165" s="575"/>
      <c r="ATD165" s="575"/>
      <c r="ATE165" s="575"/>
      <c r="ATF165" s="575"/>
      <c r="ATG165" s="575"/>
      <c r="ATH165" s="575"/>
      <c r="ATI165" s="575"/>
      <c r="ATJ165" s="575"/>
      <c r="ATK165" s="575"/>
      <c r="ATL165" s="575"/>
      <c r="ATM165" s="575"/>
      <c r="ATN165" s="575"/>
      <c r="ATO165" s="575"/>
      <c r="ATP165" s="575"/>
      <c r="ATQ165" s="575"/>
      <c r="ATR165" s="575"/>
      <c r="ATS165" s="575"/>
      <c r="ATT165" s="575"/>
      <c r="ATU165" s="575"/>
      <c r="ATV165" s="575"/>
      <c r="ATW165" s="575"/>
      <c r="ATX165" s="575"/>
      <c r="ATY165" s="575"/>
      <c r="ATZ165" s="575"/>
      <c r="AUA165" s="575"/>
      <c r="AUB165" s="575"/>
      <c r="AUC165" s="575"/>
      <c r="AUD165" s="575"/>
      <c r="AUE165" s="575"/>
      <c r="AUF165" s="575"/>
      <c r="AUG165" s="575"/>
      <c r="AUH165" s="575"/>
      <c r="AUI165" s="575"/>
      <c r="AUJ165" s="575"/>
      <c r="AUK165" s="575"/>
      <c r="AUL165" s="575"/>
      <c r="AUM165" s="575"/>
      <c r="AUN165" s="575"/>
      <c r="AUO165" s="575"/>
      <c r="AUP165" s="575"/>
      <c r="AUQ165" s="575"/>
      <c r="AUR165" s="575"/>
      <c r="AUS165" s="575"/>
      <c r="AUT165" s="575"/>
      <c r="AUU165" s="575"/>
      <c r="AUV165" s="575"/>
      <c r="AUW165" s="575"/>
      <c r="AUX165" s="575"/>
      <c r="AUY165" s="575"/>
      <c r="AUZ165" s="575"/>
      <c r="AVA165" s="575"/>
      <c r="AVB165" s="575"/>
      <c r="AVC165" s="575"/>
      <c r="AVD165" s="575"/>
      <c r="AVE165" s="575"/>
      <c r="AVF165" s="575"/>
      <c r="AVG165" s="575"/>
      <c r="AVH165" s="575"/>
      <c r="AVI165" s="575"/>
      <c r="AVJ165" s="575"/>
      <c r="AVK165" s="575"/>
      <c r="AVL165" s="575"/>
      <c r="AVM165" s="575"/>
      <c r="AVN165" s="575"/>
      <c r="AVO165" s="575"/>
      <c r="AVP165" s="575"/>
      <c r="AVQ165" s="575"/>
      <c r="AVR165" s="575"/>
      <c r="AVS165" s="575"/>
      <c r="AVT165" s="575"/>
      <c r="AVU165" s="575"/>
      <c r="AVV165" s="575"/>
      <c r="AVW165" s="575"/>
      <c r="AVX165" s="575"/>
      <c r="AVY165" s="575"/>
      <c r="AVZ165" s="575"/>
      <c r="AWA165" s="575"/>
      <c r="AWB165" s="575"/>
      <c r="AWC165" s="575"/>
      <c r="AWD165" s="575"/>
      <c r="AWE165" s="575"/>
      <c r="AWF165" s="575"/>
      <c r="AWG165" s="575"/>
      <c r="AWH165" s="575"/>
      <c r="AWI165" s="575"/>
      <c r="AWJ165" s="575"/>
      <c r="AWK165" s="575"/>
      <c r="AWL165" s="575"/>
      <c r="AWM165" s="575"/>
      <c r="AWN165" s="575"/>
      <c r="AWO165" s="575"/>
      <c r="AWP165" s="575"/>
      <c r="AWQ165" s="575"/>
      <c r="AWR165" s="575"/>
      <c r="AWS165" s="575"/>
      <c r="AWT165" s="575"/>
      <c r="AWU165" s="575"/>
      <c r="AWV165" s="575"/>
      <c r="AWW165" s="575"/>
      <c r="AWX165" s="575"/>
      <c r="AWY165" s="575"/>
      <c r="AWZ165" s="575"/>
      <c r="AXA165" s="575"/>
      <c r="AXB165" s="575"/>
      <c r="AXC165" s="575"/>
      <c r="AXD165" s="575"/>
      <c r="AXE165" s="575"/>
      <c r="AXF165" s="575"/>
      <c r="AXG165" s="575"/>
      <c r="AXH165" s="575"/>
      <c r="AXI165" s="575"/>
      <c r="AXJ165" s="575"/>
      <c r="AXK165" s="575"/>
      <c r="AXL165" s="575"/>
      <c r="AXM165" s="575"/>
      <c r="AXN165" s="575"/>
      <c r="AXO165" s="575"/>
      <c r="AXP165" s="575"/>
      <c r="AXQ165" s="575"/>
      <c r="AXR165" s="575"/>
      <c r="AXS165" s="575"/>
      <c r="AXT165" s="575"/>
      <c r="AXU165" s="575"/>
      <c r="AXV165" s="575"/>
      <c r="AXW165" s="575"/>
      <c r="AXX165" s="575"/>
      <c r="AXY165" s="575"/>
      <c r="AXZ165" s="575"/>
      <c r="AYA165" s="575"/>
      <c r="AYB165" s="575"/>
      <c r="AYC165" s="575"/>
      <c r="AYD165" s="575"/>
      <c r="AYE165" s="575"/>
      <c r="AYF165" s="575"/>
      <c r="AYG165" s="575"/>
      <c r="AYH165" s="575"/>
      <c r="AYI165" s="575"/>
      <c r="AYJ165" s="575"/>
      <c r="AYK165" s="575"/>
      <c r="AYL165" s="575"/>
      <c r="AYM165" s="575"/>
      <c r="AYN165" s="575"/>
      <c r="AYO165" s="575"/>
      <c r="AYP165" s="575"/>
      <c r="AYQ165" s="575"/>
      <c r="AYR165" s="575"/>
      <c r="AYS165" s="575"/>
      <c r="AYT165" s="575"/>
      <c r="AYU165" s="575"/>
      <c r="AYV165" s="575"/>
      <c r="AYW165" s="575"/>
      <c r="AYX165" s="575"/>
      <c r="AYY165" s="575"/>
      <c r="AYZ165" s="575"/>
      <c r="AZA165" s="575"/>
      <c r="AZB165" s="575"/>
      <c r="AZC165" s="575"/>
      <c r="AZD165" s="575"/>
      <c r="AZE165" s="575"/>
      <c r="AZF165" s="575"/>
      <c r="AZG165" s="575"/>
      <c r="AZH165" s="575"/>
      <c r="AZI165" s="575"/>
      <c r="AZJ165" s="575"/>
      <c r="AZK165" s="575"/>
      <c r="AZL165" s="575"/>
      <c r="AZM165" s="575"/>
      <c r="AZN165" s="575"/>
      <c r="AZO165" s="575"/>
      <c r="AZP165" s="575"/>
      <c r="AZQ165" s="575"/>
      <c r="AZR165" s="575"/>
      <c r="AZS165" s="575"/>
      <c r="AZT165" s="575"/>
      <c r="AZU165" s="575"/>
      <c r="AZV165" s="575"/>
      <c r="AZW165" s="575"/>
      <c r="AZX165" s="575"/>
      <c r="AZY165" s="575"/>
      <c r="AZZ165" s="575"/>
      <c r="BAA165" s="575"/>
      <c r="BAB165" s="575"/>
      <c r="BAC165" s="575"/>
      <c r="BAD165" s="575"/>
      <c r="BAE165" s="575"/>
      <c r="BAF165" s="575"/>
      <c r="BAG165" s="575"/>
      <c r="BAH165" s="575"/>
      <c r="BAI165" s="575"/>
      <c r="BAJ165" s="575"/>
      <c r="BAK165" s="575"/>
      <c r="BAL165" s="575"/>
      <c r="BAM165" s="575"/>
      <c r="BAN165" s="575"/>
      <c r="BAO165" s="575"/>
      <c r="BAP165" s="575"/>
      <c r="BAQ165" s="575"/>
      <c r="BAR165" s="575"/>
      <c r="BAS165" s="575"/>
      <c r="BAT165" s="575"/>
      <c r="BAU165" s="575"/>
      <c r="BAV165" s="575"/>
      <c r="BAW165" s="575"/>
      <c r="BAX165" s="575"/>
      <c r="BAY165" s="575"/>
      <c r="BAZ165" s="575"/>
      <c r="BBA165" s="575"/>
      <c r="BBB165" s="575"/>
      <c r="BBC165" s="575"/>
      <c r="BBD165" s="575"/>
      <c r="BBE165" s="575"/>
      <c r="BBF165" s="575"/>
      <c r="BBG165" s="575"/>
      <c r="BBH165" s="575"/>
      <c r="BBI165" s="575"/>
      <c r="BBJ165" s="575"/>
      <c r="BBK165" s="575"/>
      <c r="BBL165" s="575"/>
      <c r="BBM165" s="575"/>
      <c r="BBN165" s="575"/>
      <c r="BBO165" s="575"/>
      <c r="BBP165" s="575"/>
      <c r="BBQ165" s="575"/>
      <c r="BBR165" s="575"/>
      <c r="BBS165" s="575"/>
      <c r="BBT165" s="575"/>
      <c r="BBU165" s="575"/>
      <c r="BBV165" s="575"/>
      <c r="BBW165" s="575"/>
      <c r="BBX165" s="575"/>
      <c r="BBY165" s="575"/>
      <c r="BBZ165" s="575"/>
      <c r="BCA165" s="575"/>
      <c r="BCB165" s="575"/>
      <c r="BCC165" s="575"/>
      <c r="BCD165" s="575"/>
      <c r="BCE165" s="575"/>
      <c r="BCF165" s="575"/>
      <c r="BCG165" s="575"/>
      <c r="BCH165" s="575"/>
      <c r="BCI165" s="575"/>
      <c r="BCJ165" s="575"/>
      <c r="BCK165" s="575"/>
      <c r="BCL165" s="575"/>
      <c r="BCM165" s="575"/>
      <c r="BCN165" s="575"/>
      <c r="BCO165" s="575"/>
      <c r="BCP165" s="575"/>
      <c r="BCQ165" s="575"/>
      <c r="BCR165" s="575"/>
      <c r="BCS165" s="575"/>
      <c r="BCT165" s="575"/>
      <c r="BCU165" s="575"/>
      <c r="BCV165" s="575"/>
      <c r="BCW165" s="575"/>
      <c r="BCX165" s="575"/>
      <c r="BCY165" s="575"/>
      <c r="BCZ165" s="575"/>
      <c r="BDA165" s="575"/>
      <c r="BDB165" s="575"/>
      <c r="BDC165" s="575"/>
      <c r="BDD165" s="575"/>
      <c r="BDE165" s="575"/>
      <c r="BDF165" s="575"/>
      <c r="BDG165" s="575"/>
      <c r="BDH165" s="575"/>
      <c r="BDI165" s="575"/>
      <c r="BDJ165" s="575"/>
      <c r="BDK165" s="575"/>
      <c r="BDL165" s="575"/>
      <c r="BDM165" s="575"/>
      <c r="BDN165" s="575"/>
      <c r="BDO165" s="575"/>
      <c r="BDP165" s="575"/>
      <c r="BDQ165" s="575"/>
      <c r="BDR165" s="575"/>
      <c r="BDS165" s="575"/>
      <c r="BDT165" s="575"/>
    </row>
    <row r="166" spans="1:1476" x14ac:dyDescent="0.25">
      <c r="A166" s="608">
        <v>5683</v>
      </c>
      <c r="B166" s="609" t="s">
        <v>93</v>
      </c>
      <c r="C166" s="610">
        <v>310715.03000000003</v>
      </c>
      <c r="D166" s="610">
        <v>17858.580000000002</v>
      </c>
      <c r="E166" s="610"/>
      <c r="F166" s="611"/>
      <c r="G166" s="610">
        <v>4459.2</v>
      </c>
      <c r="H166" s="610">
        <v>487.6</v>
      </c>
      <c r="I166" s="610"/>
      <c r="J166" s="610">
        <v>10522.58</v>
      </c>
      <c r="K166" s="610">
        <v>2220.5</v>
      </c>
      <c r="L166" s="610">
        <v>31663</v>
      </c>
      <c r="M166" s="434">
        <f t="shared" si="8"/>
        <v>377926.49000000005</v>
      </c>
      <c r="N166" s="612">
        <v>0</v>
      </c>
      <c r="O166" s="612"/>
      <c r="P166" s="612">
        <v>11117</v>
      </c>
      <c r="Q166" s="612"/>
      <c r="R166" s="612"/>
      <c r="S166" s="610">
        <v>516.97</v>
      </c>
      <c r="T166" s="543">
        <f t="shared" si="9"/>
        <v>389560.46</v>
      </c>
      <c r="U166" s="575">
        <v>-2777.64</v>
      </c>
      <c r="V166" s="612"/>
      <c r="W166" s="612">
        <v>-0.61</v>
      </c>
      <c r="X166" s="624">
        <v>72.5</v>
      </c>
      <c r="Y166" s="631">
        <v>1</v>
      </c>
      <c r="Z166" s="628">
        <f>VLOOKUP(A166,'[2]2022 toutes communes'!$B$9:$D$317,3,FALSE)</f>
        <v>220</v>
      </c>
      <c r="AA166" s="617"/>
      <c r="AB166" s="618">
        <v>18000</v>
      </c>
      <c r="AC166" s="547">
        <f>AB166/VPI!R166</f>
        <v>3.473837782316866</v>
      </c>
      <c r="AD166" s="548">
        <f t="shared" si="10"/>
        <v>201369</v>
      </c>
      <c r="AE166" s="547">
        <f>AD166/VPI!R166</f>
        <v>38.862402243742501</v>
      </c>
      <c r="AF166" s="618">
        <v>219369</v>
      </c>
      <c r="AG166" s="618">
        <v>8206</v>
      </c>
      <c r="AH166" s="618">
        <v>13761</v>
      </c>
      <c r="AI166" s="637"/>
      <c r="AJ166" s="628">
        <v>0</v>
      </c>
      <c r="AK166" s="547">
        <f>AJ166/VPI!R166</f>
        <v>0</v>
      </c>
      <c r="AL166" s="548">
        <f t="shared" si="11"/>
        <v>-951</v>
      </c>
      <c r="AM166" s="547">
        <f>AL166/VPI!R166</f>
        <v>-0.18353442949907442</v>
      </c>
      <c r="AN166" s="628">
        <v>-951</v>
      </c>
      <c r="AO166" s="637"/>
      <c r="AP166" s="629">
        <v>6.3178602989642156</v>
      </c>
      <c r="AR166" s="630">
        <v>0</v>
      </c>
    </row>
    <row r="167" spans="1:1476" x14ac:dyDescent="0.25">
      <c r="A167" s="608">
        <v>5684</v>
      </c>
      <c r="B167" s="609" t="s">
        <v>94</v>
      </c>
      <c r="C167" s="610">
        <v>376431.95</v>
      </c>
      <c r="D167" s="610">
        <v>123452.14</v>
      </c>
      <c r="E167" s="610"/>
      <c r="F167" s="611"/>
      <c r="G167" s="610">
        <v>1125.25</v>
      </c>
      <c r="H167" s="610">
        <v>9</v>
      </c>
      <c r="I167" s="610"/>
      <c r="J167" s="610">
        <v>12748.25</v>
      </c>
      <c r="K167" s="610"/>
      <c r="L167" s="610">
        <v>10906.1</v>
      </c>
      <c r="M167" s="434">
        <f t="shared" si="8"/>
        <v>524672.69000000006</v>
      </c>
      <c r="N167" s="612">
        <v>0</v>
      </c>
      <c r="O167" s="612"/>
      <c r="P167" s="612">
        <v>2777.5</v>
      </c>
      <c r="Q167" s="612"/>
      <c r="R167" s="612">
        <v>10149.15</v>
      </c>
      <c r="S167" s="610">
        <v>118.53</v>
      </c>
      <c r="T167" s="543">
        <f t="shared" si="9"/>
        <v>537717.87000000011</v>
      </c>
      <c r="U167" s="575">
        <v>-19.18</v>
      </c>
      <c r="V167" s="612"/>
      <c r="W167" s="612">
        <v>0</v>
      </c>
      <c r="X167" s="624">
        <v>75</v>
      </c>
      <c r="Y167" s="631">
        <v>0.8</v>
      </c>
      <c r="Z167" s="628">
        <f>VLOOKUP(A167,'[2]2022 toutes communes'!$B$9:$D$317,3,FALSE)</f>
        <v>93</v>
      </c>
      <c r="AA167" s="617"/>
      <c r="AB167" s="618">
        <v>0</v>
      </c>
      <c r="AC167" s="547">
        <f>AB167/VPI!R167</f>
        <v>0</v>
      </c>
      <c r="AD167" s="548">
        <f t="shared" si="10"/>
        <v>2227</v>
      </c>
      <c r="AE167" s="547">
        <f>AD167/VPI!R167</f>
        <v>0.31663593245983518</v>
      </c>
      <c r="AF167" s="618">
        <v>2227</v>
      </c>
      <c r="AG167" s="618">
        <v>3549</v>
      </c>
      <c r="AH167" s="618">
        <v>5264</v>
      </c>
      <c r="AI167" s="637"/>
      <c r="AJ167" s="628">
        <v>0</v>
      </c>
      <c r="AK167" s="547">
        <f>AJ167/VPI!R167</f>
        <v>0</v>
      </c>
      <c r="AL167" s="548">
        <f t="shared" si="11"/>
        <v>119</v>
      </c>
      <c r="AM167" s="547">
        <f>AL167/VPI!R167</f>
        <v>1.6919477307014093E-2</v>
      </c>
      <c r="AN167" s="628">
        <v>119</v>
      </c>
      <c r="AO167" s="637"/>
      <c r="AP167" s="629">
        <v>18.676643175524021</v>
      </c>
      <c r="AR167" s="630">
        <v>0</v>
      </c>
    </row>
    <row r="168" spans="1:1476" x14ac:dyDescent="0.25">
      <c r="A168" s="608">
        <v>5688</v>
      </c>
      <c r="B168" s="609" t="s">
        <v>95</v>
      </c>
      <c r="C168" s="610">
        <v>234499.7</v>
      </c>
      <c r="D168" s="610">
        <v>60667.35</v>
      </c>
      <c r="E168" s="610"/>
      <c r="F168" s="611"/>
      <c r="G168" s="610">
        <v>6381</v>
      </c>
      <c r="H168" s="610">
        <v>75.95</v>
      </c>
      <c r="I168" s="610"/>
      <c r="J168" s="610">
        <v>16049.15</v>
      </c>
      <c r="K168" s="610">
        <v>105</v>
      </c>
      <c r="L168" s="610">
        <v>24608.3</v>
      </c>
      <c r="M168" s="434">
        <f t="shared" si="8"/>
        <v>342386.45</v>
      </c>
      <c r="N168" s="612">
        <v>925.7</v>
      </c>
      <c r="O168" s="612"/>
      <c r="P168" s="612">
        <v>23595</v>
      </c>
      <c r="Q168" s="612"/>
      <c r="R168" s="612">
        <v>1882.3</v>
      </c>
      <c r="S168" s="610">
        <v>674.78</v>
      </c>
      <c r="T168" s="543">
        <f t="shared" si="9"/>
        <v>369464.23000000004</v>
      </c>
      <c r="U168" s="575">
        <v>-55.55</v>
      </c>
      <c r="V168" s="612"/>
      <c r="W168" s="612">
        <v>0</v>
      </c>
      <c r="X168" s="624">
        <v>65</v>
      </c>
      <c r="Y168" s="631">
        <v>1</v>
      </c>
      <c r="Z168" s="628">
        <f>VLOOKUP(A168,'[2]2022 toutes communes'!$B$9:$D$317,3,FALSE)</f>
        <v>164</v>
      </c>
      <c r="AA168" s="617"/>
      <c r="AB168" s="618">
        <v>0</v>
      </c>
      <c r="AC168" s="547">
        <f>AB168/VPI!R168</f>
        <v>0</v>
      </c>
      <c r="AD168" s="548">
        <f t="shared" si="10"/>
        <v>32455</v>
      </c>
      <c r="AE168" s="547">
        <f>AD168/VPI!R168</f>
        <v>6.1502625845729435</v>
      </c>
      <c r="AF168" s="618">
        <v>32455</v>
      </c>
      <c r="AG168" s="618">
        <v>9218</v>
      </c>
      <c r="AH168" s="618">
        <v>24718</v>
      </c>
      <c r="AI168" s="637"/>
      <c r="AJ168" s="628">
        <v>0</v>
      </c>
      <c r="AK168" s="547">
        <f>AJ168/VPI!R168</f>
        <v>0</v>
      </c>
      <c r="AL168" s="548">
        <f t="shared" si="11"/>
        <v>4751</v>
      </c>
      <c r="AM168" s="547">
        <f>AL168/VPI!R168</f>
        <v>0.90032036787262526</v>
      </c>
      <c r="AN168" s="628">
        <v>4751</v>
      </c>
      <c r="AO168" s="637"/>
      <c r="AP168" s="629">
        <v>23.102382640777282</v>
      </c>
      <c r="AR168" s="630">
        <v>0</v>
      </c>
    </row>
    <row r="169" spans="1:1476" s="632" customFormat="1" x14ac:dyDescent="0.25">
      <c r="A169" s="608">
        <v>5690</v>
      </c>
      <c r="B169" s="609" t="s">
        <v>96</v>
      </c>
      <c r="C169" s="610">
        <v>241397.32</v>
      </c>
      <c r="D169" s="610">
        <v>37695.870000000003</v>
      </c>
      <c r="E169" s="610"/>
      <c r="F169" s="611">
        <v>800</v>
      </c>
      <c r="G169" s="610">
        <v>999.6</v>
      </c>
      <c r="H169" s="610">
        <v>491.7</v>
      </c>
      <c r="I169" s="610"/>
      <c r="J169" s="610"/>
      <c r="K169" s="610">
        <v>184.1</v>
      </c>
      <c r="L169" s="610">
        <v>25844.9</v>
      </c>
      <c r="M169" s="434">
        <f t="shared" si="8"/>
        <v>307413.49</v>
      </c>
      <c r="N169" s="612">
        <v>0</v>
      </c>
      <c r="O169" s="612">
        <v>75.3</v>
      </c>
      <c r="P169" s="612">
        <v>20713.650000000001</v>
      </c>
      <c r="Q169" s="612"/>
      <c r="R169" s="612">
        <v>13571.55</v>
      </c>
      <c r="S169" s="610">
        <v>155.85</v>
      </c>
      <c r="T169" s="543">
        <f t="shared" si="9"/>
        <v>341929.83999999997</v>
      </c>
      <c r="U169" s="575">
        <v>-65</v>
      </c>
      <c r="V169" s="612"/>
      <c r="W169" s="612">
        <v>0</v>
      </c>
      <c r="X169" s="624">
        <v>70</v>
      </c>
      <c r="Y169" s="631">
        <v>1.2</v>
      </c>
      <c r="Z169" s="628">
        <f>VLOOKUP(A169,'[2]2022 toutes communes'!$B$9:$D$317,3,FALSE)</f>
        <v>138</v>
      </c>
      <c r="AA169" s="617"/>
      <c r="AB169" s="618"/>
      <c r="AC169" s="547">
        <f>AB169/VPI!R169</f>
        <v>0</v>
      </c>
      <c r="AD169" s="548">
        <f t="shared" si="10"/>
        <v>0</v>
      </c>
      <c r="AE169" s="547">
        <f>AD169/VPI!R169</f>
        <v>0</v>
      </c>
      <c r="AF169" s="618"/>
      <c r="AG169" s="618"/>
      <c r="AH169" s="618"/>
      <c r="AI169" s="637"/>
      <c r="AJ169" s="628"/>
      <c r="AK169" s="547">
        <f>AJ169/VPI!R169</f>
        <v>0</v>
      </c>
      <c r="AL169" s="548">
        <f t="shared" si="11"/>
        <v>0</v>
      </c>
      <c r="AM169" s="547">
        <f>AL169/VPI!R169</f>
        <v>0</v>
      </c>
      <c r="AN169" s="628"/>
      <c r="AO169" s="637"/>
      <c r="AP169" s="629">
        <v>9.811980845597013</v>
      </c>
      <c r="AQ169" s="575"/>
      <c r="AR169" s="630">
        <v>0</v>
      </c>
      <c r="AS169" s="575"/>
      <c r="AT169" s="575"/>
      <c r="AU169" s="575"/>
      <c r="AV169" s="575"/>
      <c r="AW169" s="575"/>
      <c r="AX169" s="575"/>
      <c r="AY169" s="575"/>
      <c r="AZ169" s="575"/>
      <c r="BA169" s="575"/>
      <c r="BB169" s="575"/>
      <c r="BC169" s="575"/>
      <c r="BD169" s="575"/>
      <c r="BE169" s="575"/>
      <c r="BF169" s="575"/>
      <c r="BG169" s="575"/>
      <c r="BH169" s="575"/>
      <c r="BI169" s="575"/>
      <c r="BJ169" s="575"/>
      <c r="BK169" s="575"/>
      <c r="BL169" s="575"/>
      <c r="BM169" s="575"/>
      <c r="BN169" s="575"/>
      <c r="BO169" s="575"/>
      <c r="BP169" s="575"/>
      <c r="BQ169" s="575"/>
      <c r="BR169" s="575"/>
      <c r="BS169" s="575"/>
      <c r="BT169" s="575"/>
      <c r="BU169" s="575"/>
      <c r="BV169" s="575"/>
      <c r="BW169" s="575"/>
      <c r="BX169" s="575"/>
      <c r="BY169" s="575"/>
      <c r="BZ169" s="575"/>
      <c r="CA169" s="575"/>
      <c r="CB169" s="575"/>
      <c r="CC169" s="575"/>
      <c r="CD169" s="575"/>
      <c r="CE169" s="575"/>
      <c r="CF169" s="575"/>
      <c r="CG169" s="575"/>
      <c r="CH169" s="575"/>
      <c r="CI169" s="575"/>
      <c r="CJ169" s="575"/>
      <c r="CK169" s="575"/>
      <c r="CL169" s="575"/>
      <c r="CM169" s="575"/>
      <c r="CN169" s="575"/>
      <c r="CO169" s="575"/>
      <c r="CP169" s="575"/>
      <c r="CQ169" s="575"/>
      <c r="CR169" s="575"/>
      <c r="CS169" s="575"/>
      <c r="CT169" s="575"/>
      <c r="CU169" s="575"/>
      <c r="CV169" s="575"/>
      <c r="CW169" s="575"/>
      <c r="CX169" s="575"/>
      <c r="CY169" s="575"/>
      <c r="CZ169" s="575"/>
      <c r="DA169" s="575"/>
      <c r="DB169" s="575"/>
      <c r="DC169" s="575"/>
      <c r="DD169" s="575"/>
      <c r="DE169" s="575"/>
      <c r="DF169" s="575"/>
      <c r="DG169" s="575"/>
      <c r="DH169" s="575"/>
      <c r="DI169" s="575"/>
      <c r="DJ169" s="575"/>
      <c r="DK169" s="575"/>
      <c r="DL169" s="575"/>
      <c r="DM169" s="575"/>
      <c r="DN169" s="575"/>
      <c r="DO169" s="575"/>
      <c r="DP169" s="575"/>
      <c r="DQ169" s="575"/>
      <c r="DR169" s="575"/>
      <c r="DS169" s="575"/>
      <c r="DT169" s="575"/>
      <c r="DU169" s="575"/>
      <c r="DV169" s="575"/>
      <c r="DW169" s="575"/>
      <c r="DX169" s="575"/>
      <c r="DY169" s="575"/>
      <c r="DZ169" s="575"/>
      <c r="EA169" s="575"/>
      <c r="EB169" s="575"/>
      <c r="EC169" s="575"/>
      <c r="ED169" s="575"/>
      <c r="EE169" s="575"/>
      <c r="EF169" s="575"/>
      <c r="EG169" s="575"/>
      <c r="EH169" s="575"/>
      <c r="EI169" s="575"/>
      <c r="EJ169" s="575"/>
      <c r="EK169" s="575"/>
      <c r="EL169" s="575"/>
      <c r="EM169" s="575"/>
      <c r="EN169" s="575"/>
      <c r="EO169" s="575"/>
      <c r="EP169" s="575"/>
      <c r="EQ169" s="575"/>
      <c r="ER169" s="575"/>
      <c r="ES169" s="575"/>
      <c r="ET169" s="575"/>
      <c r="EU169" s="575"/>
      <c r="EV169" s="575"/>
      <c r="EW169" s="575"/>
      <c r="EX169" s="575"/>
      <c r="EY169" s="575"/>
      <c r="EZ169" s="575"/>
      <c r="FA169" s="575"/>
      <c r="FB169" s="575"/>
      <c r="FC169" s="575"/>
      <c r="FD169" s="575"/>
      <c r="FE169" s="575"/>
      <c r="FF169" s="575"/>
      <c r="FG169" s="575"/>
      <c r="FH169" s="575"/>
      <c r="FI169" s="575"/>
      <c r="FJ169" s="575"/>
      <c r="FK169" s="575"/>
      <c r="FL169" s="575"/>
      <c r="FM169" s="575"/>
      <c r="FN169" s="575"/>
      <c r="FO169" s="575"/>
      <c r="FP169" s="575"/>
      <c r="FQ169" s="575"/>
      <c r="FR169" s="575"/>
      <c r="FS169" s="575"/>
      <c r="FT169" s="575"/>
      <c r="FU169" s="575"/>
      <c r="FV169" s="575"/>
      <c r="FW169" s="575"/>
      <c r="FX169" s="575"/>
      <c r="FY169" s="575"/>
      <c r="FZ169" s="575"/>
      <c r="GA169" s="575"/>
      <c r="GB169" s="575"/>
      <c r="GC169" s="575"/>
      <c r="GD169" s="575"/>
      <c r="GE169" s="575"/>
      <c r="GF169" s="575"/>
      <c r="GG169" s="575"/>
      <c r="GH169" s="575"/>
      <c r="GI169" s="575"/>
      <c r="GJ169" s="575"/>
      <c r="GK169" s="575"/>
      <c r="GL169" s="575"/>
      <c r="GM169" s="575"/>
      <c r="GN169" s="575"/>
      <c r="GO169" s="575"/>
      <c r="GP169" s="575"/>
      <c r="GQ169" s="575"/>
      <c r="GR169" s="575"/>
      <c r="GS169" s="575"/>
      <c r="GT169" s="575"/>
      <c r="GU169" s="575"/>
      <c r="GV169" s="575"/>
      <c r="GW169" s="575"/>
      <c r="GX169" s="575"/>
      <c r="GY169" s="575"/>
      <c r="GZ169" s="575"/>
      <c r="HA169" s="575"/>
      <c r="HB169" s="575"/>
      <c r="HC169" s="575"/>
      <c r="HD169" s="575"/>
      <c r="HE169" s="575"/>
      <c r="HF169" s="575"/>
      <c r="HG169" s="575"/>
      <c r="HH169" s="575"/>
      <c r="HI169" s="575"/>
      <c r="HJ169" s="575"/>
      <c r="HK169" s="575"/>
      <c r="HL169" s="575"/>
      <c r="HM169" s="575"/>
      <c r="HN169" s="575"/>
      <c r="HO169" s="575"/>
      <c r="HP169" s="575"/>
      <c r="HQ169" s="575"/>
      <c r="HR169" s="575"/>
      <c r="HS169" s="575"/>
      <c r="HT169" s="575"/>
      <c r="HU169" s="575"/>
      <c r="HV169" s="575"/>
      <c r="HW169" s="575"/>
      <c r="HX169" s="575"/>
      <c r="HY169" s="575"/>
      <c r="HZ169" s="575"/>
      <c r="IA169" s="575"/>
      <c r="IB169" s="575"/>
      <c r="IC169" s="575"/>
      <c r="ID169" s="575"/>
      <c r="IE169" s="575"/>
      <c r="IF169" s="575"/>
      <c r="IG169" s="575"/>
      <c r="IH169" s="575"/>
      <c r="II169" s="575"/>
      <c r="IJ169" s="575"/>
      <c r="IK169" s="575"/>
      <c r="IL169" s="575"/>
      <c r="IM169" s="575"/>
      <c r="IN169" s="575"/>
      <c r="IO169" s="575"/>
      <c r="IP169" s="575"/>
      <c r="IQ169" s="575"/>
      <c r="IR169" s="575"/>
      <c r="IS169" s="575"/>
      <c r="IT169" s="575"/>
      <c r="IU169" s="575"/>
      <c r="IV169" s="575"/>
      <c r="IW169" s="575"/>
      <c r="IX169" s="575"/>
      <c r="IY169" s="575"/>
      <c r="IZ169" s="575"/>
      <c r="JA169" s="575"/>
      <c r="JB169" s="575"/>
      <c r="JC169" s="575"/>
      <c r="JD169" s="575"/>
      <c r="JE169" s="575"/>
      <c r="JF169" s="575"/>
      <c r="JG169" s="575"/>
      <c r="JH169" s="575"/>
      <c r="JI169" s="575"/>
      <c r="JJ169" s="575"/>
      <c r="JK169" s="575"/>
      <c r="JL169" s="575"/>
      <c r="JM169" s="575"/>
      <c r="JN169" s="575"/>
      <c r="JO169" s="575"/>
      <c r="JP169" s="575"/>
      <c r="JQ169" s="575"/>
      <c r="JR169" s="575"/>
      <c r="JS169" s="575"/>
      <c r="JT169" s="575"/>
      <c r="JU169" s="575"/>
      <c r="JV169" s="575"/>
      <c r="JW169" s="575"/>
      <c r="JX169" s="575"/>
      <c r="JY169" s="575"/>
      <c r="JZ169" s="575"/>
      <c r="KA169" s="575"/>
      <c r="KB169" s="575"/>
      <c r="KC169" s="575"/>
      <c r="KD169" s="575"/>
      <c r="KE169" s="575"/>
      <c r="KF169" s="575"/>
      <c r="KG169" s="575"/>
      <c r="KH169" s="575"/>
      <c r="KI169" s="575"/>
      <c r="KJ169" s="575"/>
      <c r="KK169" s="575"/>
      <c r="KL169" s="575"/>
      <c r="KM169" s="575"/>
      <c r="KN169" s="575"/>
      <c r="KO169" s="575"/>
      <c r="KP169" s="575"/>
      <c r="KQ169" s="575"/>
      <c r="KR169" s="575"/>
      <c r="KS169" s="575"/>
      <c r="KT169" s="575"/>
      <c r="KU169" s="575"/>
      <c r="KV169" s="575"/>
      <c r="KW169" s="575"/>
      <c r="KX169" s="575"/>
      <c r="KY169" s="575"/>
      <c r="KZ169" s="575"/>
      <c r="LA169" s="575"/>
      <c r="LB169" s="575"/>
      <c r="LC169" s="575"/>
      <c r="LD169" s="575"/>
      <c r="LE169" s="575"/>
      <c r="LF169" s="575"/>
      <c r="LG169" s="575"/>
      <c r="LH169" s="575"/>
      <c r="LI169" s="575"/>
      <c r="LJ169" s="575"/>
      <c r="LK169" s="575"/>
      <c r="LL169" s="575"/>
      <c r="LM169" s="575"/>
      <c r="LN169" s="575"/>
      <c r="LO169" s="575"/>
      <c r="LP169" s="575"/>
      <c r="LQ169" s="575"/>
      <c r="LR169" s="575"/>
      <c r="LS169" s="575"/>
      <c r="LT169" s="575"/>
      <c r="LU169" s="575"/>
      <c r="LV169" s="575"/>
      <c r="LW169" s="575"/>
      <c r="LX169" s="575"/>
      <c r="LY169" s="575"/>
      <c r="LZ169" s="575"/>
      <c r="MA169" s="575"/>
      <c r="MB169" s="575"/>
      <c r="MC169" s="575"/>
      <c r="MD169" s="575"/>
      <c r="ME169" s="575"/>
      <c r="MF169" s="575"/>
      <c r="MG169" s="575"/>
      <c r="MH169" s="575"/>
      <c r="MI169" s="575"/>
      <c r="MJ169" s="575"/>
      <c r="MK169" s="575"/>
      <c r="ML169" s="575"/>
      <c r="MM169" s="575"/>
      <c r="MN169" s="575"/>
      <c r="MO169" s="575"/>
      <c r="MP169" s="575"/>
      <c r="MQ169" s="575"/>
      <c r="MR169" s="575"/>
      <c r="MS169" s="575"/>
      <c r="MT169" s="575"/>
      <c r="MU169" s="575"/>
      <c r="MV169" s="575"/>
      <c r="MW169" s="575"/>
      <c r="MX169" s="575"/>
      <c r="MY169" s="575"/>
      <c r="MZ169" s="575"/>
      <c r="NA169" s="575"/>
      <c r="NB169" s="575"/>
      <c r="NC169" s="575"/>
      <c r="ND169" s="575"/>
      <c r="NE169" s="575"/>
      <c r="NF169" s="575"/>
      <c r="NG169" s="575"/>
      <c r="NH169" s="575"/>
      <c r="NI169" s="575"/>
      <c r="NJ169" s="575"/>
      <c r="NK169" s="575"/>
      <c r="NL169" s="575"/>
      <c r="NM169" s="575"/>
      <c r="NN169" s="575"/>
      <c r="NO169" s="575"/>
      <c r="NP169" s="575"/>
      <c r="NQ169" s="575"/>
      <c r="NR169" s="575"/>
      <c r="NS169" s="575"/>
      <c r="NT169" s="575"/>
      <c r="NU169" s="575"/>
      <c r="NV169" s="575"/>
      <c r="NW169" s="575"/>
      <c r="NX169" s="575"/>
      <c r="NY169" s="575"/>
      <c r="NZ169" s="575"/>
      <c r="OA169" s="575"/>
      <c r="OB169" s="575"/>
      <c r="OC169" s="575"/>
      <c r="OD169" s="575"/>
      <c r="OE169" s="575"/>
      <c r="OF169" s="575"/>
      <c r="OG169" s="575"/>
      <c r="OH169" s="575"/>
      <c r="OI169" s="575"/>
      <c r="OJ169" s="575"/>
      <c r="OK169" s="575"/>
      <c r="OL169" s="575"/>
      <c r="OM169" s="575"/>
      <c r="ON169" s="575"/>
      <c r="OO169" s="575"/>
      <c r="OP169" s="575"/>
      <c r="OQ169" s="575"/>
      <c r="OR169" s="575"/>
      <c r="OS169" s="575"/>
      <c r="OT169" s="575"/>
      <c r="OU169" s="575"/>
      <c r="OV169" s="575"/>
      <c r="OW169" s="575"/>
      <c r="OX169" s="575"/>
      <c r="OY169" s="575"/>
      <c r="OZ169" s="575"/>
      <c r="PA169" s="575"/>
      <c r="PB169" s="575"/>
      <c r="PC169" s="575"/>
      <c r="PD169" s="575"/>
      <c r="PE169" s="575"/>
      <c r="PF169" s="575"/>
      <c r="PG169" s="575"/>
      <c r="PH169" s="575"/>
      <c r="PI169" s="575"/>
      <c r="PJ169" s="575"/>
      <c r="PK169" s="575"/>
      <c r="PL169" s="575"/>
      <c r="PM169" s="575"/>
      <c r="PN169" s="575"/>
      <c r="PO169" s="575"/>
      <c r="PP169" s="575"/>
      <c r="PQ169" s="575"/>
      <c r="PR169" s="575"/>
      <c r="PS169" s="575"/>
      <c r="PT169" s="575"/>
      <c r="PU169" s="575"/>
      <c r="PV169" s="575"/>
      <c r="PW169" s="575"/>
      <c r="PX169" s="575"/>
      <c r="PY169" s="575"/>
      <c r="PZ169" s="575"/>
      <c r="QA169" s="575"/>
      <c r="QB169" s="575"/>
      <c r="QC169" s="575"/>
      <c r="QD169" s="575"/>
      <c r="QE169" s="575"/>
      <c r="QF169" s="575"/>
      <c r="QG169" s="575"/>
      <c r="QH169" s="575"/>
      <c r="QI169" s="575"/>
      <c r="QJ169" s="575"/>
      <c r="QK169" s="575"/>
      <c r="QL169" s="575"/>
      <c r="QM169" s="575"/>
      <c r="QN169" s="575"/>
      <c r="QO169" s="575"/>
      <c r="QP169" s="575"/>
      <c r="QQ169" s="575"/>
      <c r="QR169" s="575"/>
      <c r="QS169" s="575"/>
      <c r="QT169" s="575"/>
      <c r="QU169" s="575"/>
      <c r="QV169" s="575"/>
      <c r="QW169" s="575"/>
      <c r="QX169" s="575"/>
      <c r="QY169" s="575"/>
      <c r="QZ169" s="575"/>
      <c r="RA169" s="575"/>
      <c r="RB169" s="575"/>
      <c r="RC169" s="575"/>
      <c r="RD169" s="575"/>
      <c r="RE169" s="575"/>
      <c r="RF169" s="575"/>
      <c r="RG169" s="575"/>
      <c r="RH169" s="575"/>
      <c r="RI169" s="575"/>
      <c r="RJ169" s="575"/>
      <c r="RK169" s="575"/>
      <c r="RL169" s="575"/>
      <c r="RM169" s="575"/>
      <c r="RN169" s="575"/>
      <c r="RO169" s="575"/>
      <c r="RP169" s="575"/>
      <c r="RQ169" s="575"/>
      <c r="RR169" s="575"/>
      <c r="RS169" s="575"/>
      <c r="RT169" s="575"/>
      <c r="RU169" s="575"/>
      <c r="RV169" s="575"/>
      <c r="RW169" s="575"/>
      <c r="RX169" s="575"/>
      <c r="RY169" s="575"/>
      <c r="RZ169" s="575"/>
      <c r="SA169" s="575"/>
      <c r="SB169" s="575"/>
      <c r="SC169" s="575"/>
      <c r="SD169" s="575"/>
      <c r="SE169" s="575"/>
      <c r="SF169" s="575"/>
      <c r="SG169" s="575"/>
      <c r="SH169" s="575"/>
      <c r="SI169" s="575"/>
      <c r="SJ169" s="575"/>
      <c r="SK169" s="575"/>
      <c r="SL169" s="575"/>
      <c r="SM169" s="575"/>
      <c r="SN169" s="575"/>
      <c r="SO169" s="575"/>
      <c r="SP169" s="575"/>
      <c r="SQ169" s="575"/>
      <c r="SR169" s="575"/>
      <c r="SS169" s="575"/>
      <c r="ST169" s="575"/>
      <c r="SU169" s="575"/>
      <c r="SV169" s="575"/>
      <c r="SW169" s="575"/>
      <c r="SX169" s="575"/>
      <c r="SY169" s="575"/>
      <c r="SZ169" s="575"/>
      <c r="TA169" s="575"/>
      <c r="TB169" s="575"/>
      <c r="TC169" s="575"/>
      <c r="TD169" s="575"/>
      <c r="TE169" s="575"/>
      <c r="TF169" s="575"/>
      <c r="TG169" s="575"/>
      <c r="TH169" s="575"/>
      <c r="TI169" s="575"/>
      <c r="TJ169" s="575"/>
      <c r="TK169" s="575"/>
      <c r="TL169" s="575"/>
      <c r="TM169" s="575"/>
      <c r="TN169" s="575"/>
      <c r="TO169" s="575"/>
      <c r="TP169" s="575"/>
      <c r="TQ169" s="575"/>
      <c r="TR169" s="575"/>
      <c r="TS169" s="575"/>
      <c r="TT169" s="575"/>
      <c r="TU169" s="575"/>
      <c r="TV169" s="575"/>
      <c r="TW169" s="575"/>
      <c r="TX169" s="575"/>
      <c r="TY169" s="575"/>
      <c r="TZ169" s="575"/>
      <c r="UA169" s="575"/>
      <c r="UB169" s="575"/>
      <c r="UC169" s="575"/>
      <c r="UD169" s="575"/>
      <c r="UE169" s="575"/>
      <c r="UF169" s="575"/>
      <c r="UG169" s="575"/>
      <c r="UH169" s="575"/>
      <c r="UI169" s="575"/>
      <c r="UJ169" s="575"/>
      <c r="UK169" s="575"/>
      <c r="UL169" s="575"/>
      <c r="UM169" s="575"/>
      <c r="UN169" s="575"/>
      <c r="UO169" s="575"/>
      <c r="UP169" s="575"/>
      <c r="UQ169" s="575"/>
      <c r="UR169" s="575"/>
      <c r="US169" s="575"/>
      <c r="UT169" s="575"/>
      <c r="UU169" s="575"/>
      <c r="UV169" s="575"/>
      <c r="UW169" s="575"/>
      <c r="UX169" s="575"/>
      <c r="UY169" s="575"/>
      <c r="UZ169" s="575"/>
      <c r="VA169" s="575"/>
      <c r="VB169" s="575"/>
      <c r="VC169" s="575"/>
      <c r="VD169" s="575"/>
      <c r="VE169" s="575"/>
      <c r="VF169" s="575"/>
      <c r="VG169" s="575"/>
      <c r="VH169" s="575"/>
      <c r="VI169" s="575"/>
      <c r="VJ169" s="575"/>
      <c r="VK169" s="575"/>
      <c r="VL169" s="575"/>
      <c r="VM169" s="575"/>
      <c r="VN169" s="575"/>
      <c r="VO169" s="575"/>
      <c r="VP169" s="575"/>
      <c r="VQ169" s="575"/>
      <c r="VR169" s="575"/>
      <c r="VS169" s="575"/>
      <c r="VT169" s="575"/>
      <c r="VU169" s="575"/>
      <c r="VV169" s="575"/>
      <c r="VW169" s="575"/>
      <c r="VX169" s="575"/>
      <c r="VY169" s="575"/>
      <c r="VZ169" s="575"/>
      <c r="WA169" s="575"/>
      <c r="WB169" s="575"/>
      <c r="WC169" s="575"/>
      <c r="WD169" s="575"/>
      <c r="WE169" s="575"/>
      <c r="WF169" s="575"/>
      <c r="WG169" s="575"/>
      <c r="WH169" s="575"/>
      <c r="WI169" s="575"/>
      <c r="WJ169" s="575"/>
      <c r="WK169" s="575"/>
      <c r="WL169" s="575"/>
      <c r="WM169" s="575"/>
      <c r="WN169" s="575"/>
      <c r="WO169" s="575"/>
      <c r="WP169" s="575"/>
      <c r="WQ169" s="575"/>
      <c r="WR169" s="575"/>
      <c r="WS169" s="575"/>
      <c r="WT169" s="575"/>
      <c r="WU169" s="575"/>
      <c r="WV169" s="575"/>
      <c r="WW169" s="575"/>
      <c r="WX169" s="575"/>
      <c r="WY169" s="575"/>
      <c r="WZ169" s="575"/>
      <c r="XA169" s="575"/>
      <c r="XB169" s="575"/>
      <c r="XC169" s="575"/>
      <c r="XD169" s="575"/>
      <c r="XE169" s="575"/>
      <c r="XF169" s="575"/>
      <c r="XG169" s="575"/>
      <c r="XH169" s="575"/>
      <c r="XI169" s="575"/>
      <c r="XJ169" s="575"/>
      <c r="XK169" s="575"/>
      <c r="XL169" s="575"/>
      <c r="XM169" s="575"/>
      <c r="XN169" s="575"/>
      <c r="XO169" s="575"/>
      <c r="XP169" s="575"/>
      <c r="XQ169" s="575"/>
      <c r="XR169" s="575"/>
      <c r="XS169" s="575"/>
      <c r="XT169" s="575"/>
      <c r="XU169" s="575"/>
      <c r="XV169" s="575"/>
      <c r="XW169" s="575"/>
      <c r="XX169" s="575"/>
      <c r="XY169" s="575"/>
      <c r="XZ169" s="575"/>
      <c r="YA169" s="575"/>
      <c r="YB169" s="575"/>
      <c r="YC169" s="575"/>
      <c r="YD169" s="575"/>
      <c r="YE169" s="575"/>
      <c r="YF169" s="575"/>
      <c r="YG169" s="575"/>
      <c r="YH169" s="575"/>
      <c r="YI169" s="575"/>
      <c r="YJ169" s="575"/>
      <c r="YK169" s="575"/>
      <c r="YL169" s="575"/>
      <c r="YM169" s="575"/>
      <c r="YN169" s="575"/>
      <c r="YO169" s="575"/>
      <c r="YP169" s="575"/>
      <c r="YQ169" s="575"/>
      <c r="YR169" s="575"/>
      <c r="YS169" s="575"/>
      <c r="YT169" s="575"/>
      <c r="YU169" s="575"/>
      <c r="YV169" s="575"/>
      <c r="YW169" s="575"/>
      <c r="YX169" s="575"/>
      <c r="YY169" s="575"/>
      <c r="YZ169" s="575"/>
      <c r="ZA169" s="575"/>
      <c r="ZB169" s="575"/>
      <c r="ZC169" s="575"/>
      <c r="ZD169" s="575"/>
      <c r="ZE169" s="575"/>
      <c r="ZF169" s="575"/>
      <c r="ZG169" s="575"/>
      <c r="ZH169" s="575"/>
      <c r="ZI169" s="575"/>
      <c r="ZJ169" s="575"/>
      <c r="ZK169" s="575"/>
      <c r="ZL169" s="575"/>
      <c r="ZM169" s="575"/>
      <c r="ZN169" s="575"/>
      <c r="ZO169" s="575"/>
      <c r="ZP169" s="575"/>
      <c r="ZQ169" s="575"/>
      <c r="ZR169" s="575"/>
      <c r="ZS169" s="575"/>
      <c r="ZT169" s="575"/>
      <c r="ZU169" s="575"/>
      <c r="ZV169" s="575"/>
      <c r="ZW169" s="575"/>
      <c r="ZX169" s="575"/>
      <c r="ZY169" s="575"/>
      <c r="ZZ169" s="575"/>
      <c r="AAA169" s="575"/>
      <c r="AAB169" s="575"/>
      <c r="AAC169" s="575"/>
      <c r="AAD169" s="575"/>
      <c r="AAE169" s="575"/>
      <c r="AAF169" s="575"/>
      <c r="AAG169" s="575"/>
      <c r="AAH169" s="575"/>
      <c r="AAI169" s="575"/>
      <c r="AAJ169" s="575"/>
      <c r="AAK169" s="575"/>
      <c r="AAL169" s="575"/>
      <c r="AAM169" s="575"/>
      <c r="AAN169" s="575"/>
      <c r="AAO169" s="575"/>
      <c r="AAP169" s="575"/>
      <c r="AAQ169" s="575"/>
      <c r="AAR169" s="575"/>
      <c r="AAS169" s="575"/>
      <c r="AAT169" s="575"/>
      <c r="AAU169" s="575"/>
      <c r="AAV169" s="575"/>
      <c r="AAW169" s="575"/>
      <c r="AAX169" s="575"/>
      <c r="AAY169" s="575"/>
      <c r="AAZ169" s="575"/>
      <c r="ABA169" s="575"/>
      <c r="ABB169" s="575"/>
      <c r="ABC169" s="575"/>
      <c r="ABD169" s="575"/>
      <c r="ABE169" s="575"/>
      <c r="ABF169" s="575"/>
      <c r="ABG169" s="575"/>
      <c r="ABH169" s="575"/>
      <c r="ABI169" s="575"/>
      <c r="ABJ169" s="575"/>
      <c r="ABK169" s="575"/>
      <c r="ABL169" s="575"/>
      <c r="ABM169" s="575"/>
      <c r="ABN169" s="575"/>
      <c r="ABO169" s="575"/>
      <c r="ABP169" s="575"/>
      <c r="ABQ169" s="575"/>
      <c r="ABR169" s="575"/>
      <c r="ABS169" s="575"/>
      <c r="ABT169" s="575"/>
      <c r="ABU169" s="575"/>
      <c r="ABV169" s="575"/>
      <c r="ABW169" s="575"/>
      <c r="ABX169" s="575"/>
      <c r="ABY169" s="575"/>
      <c r="ABZ169" s="575"/>
      <c r="ACA169" s="575"/>
      <c r="ACB169" s="575"/>
      <c r="ACC169" s="575"/>
      <c r="ACD169" s="575"/>
      <c r="ACE169" s="575"/>
      <c r="ACF169" s="575"/>
      <c r="ACG169" s="575"/>
      <c r="ACH169" s="575"/>
      <c r="ACI169" s="575"/>
      <c r="ACJ169" s="575"/>
      <c r="ACK169" s="575"/>
      <c r="ACL169" s="575"/>
      <c r="ACM169" s="575"/>
      <c r="ACN169" s="575"/>
      <c r="ACO169" s="575"/>
      <c r="ACP169" s="575"/>
      <c r="ACQ169" s="575"/>
      <c r="ACR169" s="575"/>
      <c r="ACS169" s="575"/>
      <c r="ACT169" s="575"/>
      <c r="ACU169" s="575"/>
      <c r="ACV169" s="575"/>
      <c r="ACW169" s="575"/>
      <c r="ACX169" s="575"/>
      <c r="ACY169" s="575"/>
      <c r="ACZ169" s="575"/>
      <c r="ADA169" s="575"/>
      <c r="ADB169" s="575"/>
      <c r="ADC169" s="575"/>
      <c r="ADD169" s="575"/>
      <c r="ADE169" s="575"/>
      <c r="ADF169" s="575"/>
      <c r="ADG169" s="575"/>
      <c r="ADH169" s="575"/>
      <c r="ADI169" s="575"/>
      <c r="ADJ169" s="575"/>
      <c r="ADK169" s="575"/>
      <c r="ADL169" s="575"/>
      <c r="ADM169" s="575"/>
      <c r="ADN169" s="575"/>
      <c r="ADO169" s="575"/>
      <c r="ADP169" s="575"/>
      <c r="ADQ169" s="575"/>
      <c r="ADR169" s="575"/>
      <c r="ADS169" s="575"/>
      <c r="ADT169" s="575"/>
      <c r="ADU169" s="575"/>
      <c r="ADV169" s="575"/>
      <c r="ADW169" s="575"/>
      <c r="ADX169" s="575"/>
      <c r="ADY169" s="575"/>
      <c r="ADZ169" s="575"/>
      <c r="AEA169" s="575"/>
      <c r="AEB169" s="575"/>
      <c r="AEC169" s="575"/>
      <c r="AED169" s="575"/>
      <c r="AEE169" s="575"/>
      <c r="AEF169" s="575"/>
      <c r="AEG169" s="575"/>
      <c r="AEH169" s="575"/>
      <c r="AEI169" s="575"/>
      <c r="AEJ169" s="575"/>
      <c r="AEK169" s="575"/>
      <c r="AEL169" s="575"/>
      <c r="AEM169" s="575"/>
      <c r="AEN169" s="575"/>
      <c r="AEO169" s="575"/>
      <c r="AEP169" s="575"/>
      <c r="AEQ169" s="575"/>
      <c r="AER169" s="575"/>
      <c r="AES169" s="575"/>
      <c r="AET169" s="575"/>
      <c r="AEU169" s="575"/>
      <c r="AEV169" s="575"/>
      <c r="AEW169" s="575"/>
      <c r="AEX169" s="575"/>
      <c r="AEY169" s="575"/>
      <c r="AEZ169" s="575"/>
      <c r="AFA169" s="575"/>
      <c r="AFB169" s="575"/>
      <c r="AFC169" s="575"/>
      <c r="AFD169" s="575"/>
      <c r="AFE169" s="575"/>
      <c r="AFF169" s="575"/>
      <c r="AFG169" s="575"/>
      <c r="AFH169" s="575"/>
      <c r="AFI169" s="575"/>
      <c r="AFJ169" s="575"/>
      <c r="AFK169" s="575"/>
      <c r="AFL169" s="575"/>
      <c r="AFM169" s="575"/>
      <c r="AFN169" s="575"/>
      <c r="AFO169" s="575"/>
      <c r="AFP169" s="575"/>
      <c r="AFQ169" s="575"/>
      <c r="AFR169" s="575"/>
      <c r="AFS169" s="575"/>
      <c r="AFT169" s="575"/>
      <c r="AFU169" s="575"/>
      <c r="AFV169" s="575"/>
      <c r="AFW169" s="575"/>
      <c r="AFX169" s="575"/>
      <c r="AFY169" s="575"/>
      <c r="AFZ169" s="575"/>
      <c r="AGA169" s="575"/>
      <c r="AGB169" s="575"/>
      <c r="AGC169" s="575"/>
      <c r="AGD169" s="575"/>
      <c r="AGE169" s="575"/>
      <c r="AGF169" s="575"/>
      <c r="AGG169" s="575"/>
      <c r="AGH169" s="575"/>
      <c r="AGI169" s="575"/>
      <c r="AGJ169" s="575"/>
      <c r="AGK169" s="575"/>
      <c r="AGL169" s="575"/>
      <c r="AGM169" s="575"/>
      <c r="AGN169" s="575"/>
      <c r="AGO169" s="575"/>
      <c r="AGP169" s="575"/>
      <c r="AGQ169" s="575"/>
      <c r="AGR169" s="575"/>
      <c r="AGS169" s="575"/>
      <c r="AGT169" s="575"/>
      <c r="AGU169" s="575"/>
      <c r="AGV169" s="575"/>
      <c r="AGW169" s="575"/>
      <c r="AGX169" s="575"/>
      <c r="AGY169" s="575"/>
      <c r="AGZ169" s="575"/>
      <c r="AHA169" s="575"/>
      <c r="AHB169" s="575"/>
      <c r="AHC169" s="575"/>
      <c r="AHD169" s="575"/>
      <c r="AHE169" s="575"/>
      <c r="AHF169" s="575"/>
      <c r="AHG169" s="575"/>
      <c r="AHH169" s="575"/>
      <c r="AHI169" s="575"/>
      <c r="AHJ169" s="575"/>
      <c r="AHK169" s="575"/>
      <c r="AHL169" s="575"/>
      <c r="AHM169" s="575"/>
      <c r="AHN169" s="575"/>
      <c r="AHO169" s="575"/>
      <c r="AHP169" s="575"/>
      <c r="AHQ169" s="575"/>
      <c r="AHR169" s="575"/>
      <c r="AHS169" s="575"/>
      <c r="AHT169" s="575"/>
      <c r="AHU169" s="575"/>
      <c r="AHV169" s="575"/>
      <c r="AHW169" s="575"/>
      <c r="AHX169" s="575"/>
      <c r="AHY169" s="575"/>
      <c r="AHZ169" s="575"/>
      <c r="AIA169" s="575"/>
      <c r="AIB169" s="575"/>
      <c r="AIC169" s="575"/>
      <c r="AID169" s="575"/>
      <c r="AIE169" s="575"/>
      <c r="AIF169" s="575"/>
      <c r="AIG169" s="575"/>
      <c r="AIH169" s="575"/>
      <c r="AII169" s="575"/>
      <c r="AIJ169" s="575"/>
      <c r="AIK169" s="575"/>
      <c r="AIL169" s="575"/>
      <c r="AIM169" s="575"/>
      <c r="AIN169" s="575"/>
      <c r="AIO169" s="575"/>
      <c r="AIP169" s="575"/>
      <c r="AIQ169" s="575"/>
      <c r="AIR169" s="575"/>
      <c r="AIS169" s="575"/>
      <c r="AIT169" s="575"/>
      <c r="AIU169" s="575"/>
      <c r="AIV169" s="575"/>
      <c r="AIW169" s="575"/>
      <c r="AIX169" s="575"/>
      <c r="AIY169" s="575"/>
      <c r="AIZ169" s="575"/>
      <c r="AJA169" s="575"/>
      <c r="AJB169" s="575"/>
      <c r="AJC169" s="575"/>
      <c r="AJD169" s="575"/>
      <c r="AJE169" s="575"/>
      <c r="AJF169" s="575"/>
      <c r="AJG169" s="575"/>
      <c r="AJH169" s="575"/>
      <c r="AJI169" s="575"/>
      <c r="AJJ169" s="575"/>
      <c r="AJK169" s="575"/>
      <c r="AJL169" s="575"/>
      <c r="AJM169" s="575"/>
      <c r="AJN169" s="575"/>
      <c r="AJO169" s="575"/>
      <c r="AJP169" s="575"/>
      <c r="AJQ169" s="575"/>
      <c r="AJR169" s="575"/>
      <c r="AJS169" s="575"/>
      <c r="AJT169" s="575"/>
      <c r="AJU169" s="575"/>
      <c r="AJV169" s="575"/>
      <c r="AJW169" s="575"/>
      <c r="AJX169" s="575"/>
      <c r="AJY169" s="575"/>
      <c r="AJZ169" s="575"/>
      <c r="AKA169" s="575"/>
      <c r="AKB169" s="575"/>
      <c r="AKC169" s="575"/>
      <c r="AKD169" s="575"/>
      <c r="AKE169" s="575"/>
      <c r="AKF169" s="575"/>
      <c r="AKG169" s="575"/>
      <c r="AKH169" s="575"/>
      <c r="AKI169" s="575"/>
      <c r="AKJ169" s="575"/>
      <c r="AKK169" s="575"/>
      <c r="AKL169" s="575"/>
      <c r="AKM169" s="575"/>
      <c r="AKN169" s="575"/>
      <c r="AKO169" s="575"/>
      <c r="AKP169" s="575"/>
      <c r="AKQ169" s="575"/>
      <c r="AKR169" s="575"/>
      <c r="AKS169" s="575"/>
      <c r="AKT169" s="575"/>
      <c r="AKU169" s="575"/>
      <c r="AKV169" s="575"/>
      <c r="AKW169" s="575"/>
      <c r="AKX169" s="575"/>
      <c r="AKY169" s="575"/>
      <c r="AKZ169" s="575"/>
      <c r="ALA169" s="575"/>
      <c r="ALB169" s="575"/>
      <c r="ALC169" s="575"/>
      <c r="ALD169" s="575"/>
      <c r="ALE169" s="575"/>
      <c r="ALF169" s="575"/>
      <c r="ALG169" s="575"/>
      <c r="ALH169" s="575"/>
      <c r="ALI169" s="575"/>
      <c r="ALJ169" s="575"/>
      <c r="ALK169" s="575"/>
      <c r="ALL169" s="575"/>
      <c r="ALM169" s="575"/>
      <c r="ALN169" s="575"/>
      <c r="ALO169" s="575"/>
      <c r="ALP169" s="575"/>
      <c r="ALQ169" s="575"/>
      <c r="ALR169" s="575"/>
      <c r="ALS169" s="575"/>
      <c r="ALT169" s="575"/>
      <c r="ALU169" s="575"/>
      <c r="ALV169" s="575"/>
      <c r="ALW169" s="575"/>
      <c r="ALX169" s="575"/>
      <c r="ALY169" s="575"/>
      <c r="ALZ169" s="575"/>
      <c r="AMA169" s="575"/>
      <c r="AMB169" s="575"/>
      <c r="AMC169" s="575"/>
      <c r="AMD169" s="575"/>
      <c r="AME169" s="575"/>
      <c r="AMF169" s="575"/>
      <c r="AMG169" s="575"/>
      <c r="AMH169" s="575"/>
      <c r="AMI169" s="575"/>
      <c r="AMJ169" s="575"/>
      <c r="AMK169" s="575"/>
      <c r="AML169" s="575"/>
      <c r="AMM169" s="575"/>
      <c r="AMN169" s="575"/>
      <c r="AMO169" s="575"/>
      <c r="AMP169" s="575"/>
      <c r="AMQ169" s="575"/>
      <c r="AMR169" s="575"/>
      <c r="AMS169" s="575"/>
      <c r="AMT169" s="575"/>
      <c r="AMU169" s="575"/>
      <c r="AMV169" s="575"/>
      <c r="AMW169" s="575"/>
      <c r="AMX169" s="575"/>
      <c r="AMY169" s="575"/>
      <c r="AMZ169" s="575"/>
      <c r="ANA169" s="575"/>
      <c r="ANB169" s="575"/>
      <c r="ANC169" s="575"/>
      <c r="AND169" s="575"/>
      <c r="ANE169" s="575"/>
      <c r="ANF169" s="575"/>
      <c r="ANG169" s="575"/>
      <c r="ANH169" s="575"/>
      <c r="ANI169" s="575"/>
      <c r="ANJ169" s="575"/>
      <c r="ANK169" s="575"/>
      <c r="ANL169" s="575"/>
      <c r="ANM169" s="575"/>
      <c r="ANN169" s="575"/>
      <c r="ANO169" s="575"/>
      <c r="ANP169" s="575"/>
      <c r="ANQ169" s="575"/>
      <c r="ANR169" s="575"/>
      <c r="ANS169" s="575"/>
      <c r="ANT169" s="575"/>
      <c r="ANU169" s="575"/>
      <c r="ANV169" s="575"/>
      <c r="ANW169" s="575"/>
      <c r="ANX169" s="575"/>
      <c r="ANY169" s="575"/>
      <c r="ANZ169" s="575"/>
      <c r="AOA169" s="575"/>
      <c r="AOB169" s="575"/>
      <c r="AOC169" s="575"/>
      <c r="AOD169" s="575"/>
      <c r="AOE169" s="575"/>
      <c r="AOF169" s="575"/>
      <c r="AOG169" s="575"/>
      <c r="AOH169" s="575"/>
      <c r="AOI169" s="575"/>
      <c r="AOJ169" s="575"/>
      <c r="AOK169" s="575"/>
      <c r="AOL169" s="575"/>
      <c r="AOM169" s="575"/>
      <c r="AON169" s="575"/>
      <c r="AOO169" s="575"/>
      <c r="AOP169" s="575"/>
      <c r="AOQ169" s="575"/>
      <c r="AOR169" s="575"/>
      <c r="AOS169" s="575"/>
      <c r="AOT169" s="575"/>
      <c r="AOU169" s="575"/>
      <c r="AOV169" s="575"/>
      <c r="AOW169" s="575"/>
      <c r="AOX169" s="575"/>
      <c r="AOY169" s="575"/>
      <c r="AOZ169" s="575"/>
      <c r="APA169" s="575"/>
      <c r="APB169" s="575"/>
      <c r="APC169" s="575"/>
      <c r="APD169" s="575"/>
      <c r="APE169" s="575"/>
      <c r="APF169" s="575"/>
      <c r="APG169" s="575"/>
      <c r="APH169" s="575"/>
      <c r="API169" s="575"/>
      <c r="APJ169" s="575"/>
      <c r="APK169" s="575"/>
      <c r="APL169" s="575"/>
      <c r="APM169" s="575"/>
      <c r="APN169" s="575"/>
      <c r="APO169" s="575"/>
      <c r="APP169" s="575"/>
      <c r="APQ169" s="575"/>
      <c r="APR169" s="575"/>
      <c r="APS169" s="575"/>
      <c r="APT169" s="575"/>
      <c r="APU169" s="575"/>
      <c r="APV169" s="575"/>
      <c r="APW169" s="575"/>
      <c r="APX169" s="575"/>
      <c r="APY169" s="575"/>
      <c r="APZ169" s="575"/>
      <c r="AQA169" s="575"/>
      <c r="AQB169" s="575"/>
      <c r="AQC169" s="575"/>
      <c r="AQD169" s="575"/>
      <c r="AQE169" s="575"/>
      <c r="AQF169" s="575"/>
      <c r="AQG169" s="575"/>
      <c r="AQH169" s="575"/>
      <c r="AQI169" s="575"/>
      <c r="AQJ169" s="575"/>
      <c r="AQK169" s="575"/>
      <c r="AQL169" s="575"/>
      <c r="AQM169" s="575"/>
      <c r="AQN169" s="575"/>
      <c r="AQO169" s="575"/>
      <c r="AQP169" s="575"/>
      <c r="AQQ169" s="575"/>
      <c r="AQR169" s="575"/>
      <c r="AQS169" s="575"/>
      <c r="AQT169" s="575"/>
      <c r="AQU169" s="575"/>
      <c r="AQV169" s="575"/>
      <c r="AQW169" s="575"/>
      <c r="AQX169" s="575"/>
      <c r="AQY169" s="575"/>
      <c r="AQZ169" s="575"/>
      <c r="ARA169" s="575"/>
      <c r="ARB169" s="575"/>
      <c r="ARC169" s="575"/>
      <c r="ARD169" s="575"/>
      <c r="ARE169" s="575"/>
      <c r="ARF169" s="575"/>
      <c r="ARG169" s="575"/>
      <c r="ARH169" s="575"/>
      <c r="ARI169" s="575"/>
      <c r="ARJ169" s="575"/>
      <c r="ARK169" s="575"/>
      <c r="ARL169" s="575"/>
      <c r="ARM169" s="575"/>
      <c r="ARN169" s="575"/>
      <c r="ARO169" s="575"/>
      <c r="ARP169" s="575"/>
      <c r="ARQ169" s="575"/>
      <c r="ARR169" s="575"/>
      <c r="ARS169" s="575"/>
      <c r="ART169" s="575"/>
      <c r="ARU169" s="575"/>
      <c r="ARV169" s="575"/>
      <c r="ARW169" s="575"/>
      <c r="ARX169" s="575"/>
      <c r="ARY169" s="575"/>
      <c r="ARZ169" s="575"/>
      <c r="ASA169" s="575"/>
      <c r="ASB169" s="575"/>
      <c r="ASC169" s="575"/>
      <c r="ASD169" s="575"/>
      <c r="ASE169" s="575"/>
      <c r="ASF169" s="575"/>
      <c r="ASG169" s="575"/>
      <c r="ASH169" s="575"/>
      <c r="ASI169" s="575"/>
      <c r="ASJ169" s="575"/>
      <c r="ASK169" s="575"/>
      <c r="ASL169" s="575"/>
      <c r="ASM169" s="575"/>
      <c r="ASN169" s="575"/>
      <c r="ASO169" s="575"/>
      <c r="ASP169" s="575"/>
      <c r="ASQ169" s="575"/>
      <c r="ASR169" s="575"/>
      <c r="ASS169" s="575"/>
      <c r="AST169" s="575"/>
      <c r="ASU169" s="575"/>
      <c r="ASV169" s="575"/>
      <c r="ASW169" s="575"/>
      <c r="ASX169" s="575"/>
      <c r="ASY169" s="575"/>
      <c r="ASZ169" s="575"/>
      <c r="ATA169" s="575"/>
      <c r="ATB169" s="575"/>
      <c r="ATC169" s="575"/>
      <c r="ATD169" s="575"/>
      <c r="ATE169" s="575"/>
      <c r="ATF169" s="575"/>
      <c r="ATG169" s="575"/>
      <c r="ATH169" s="575"/>
      <c r="ATI169" s="575"/>
      <c r="ATJ169" s="575"/>
      <c r="ATK169" s="575"/>
      <c r="ATL169" s="575"/>
      <c r="ATM169" s="575"/>
      <c r="ATN169" s="575"/>
      <c r="ATO169" s="575"/>
      <c r="ATP169" s="575"/>
      <c r="ATQ169" s="575"/>
      <c r="ATR169" s="575"/>
      <c r="ATS169" s="575"/>
      <c r="ATT169" s="575"/>
      <c r="ATU169" s="575"/>
      <c r="ATV169" s="575"/>
      <c r="ATW169" s="575"/>
      <c r="ATX169" s="575"/>
      <c r="ATY169" s="575"/>
      <c r="ATZ169" s="575"/>
      <c r="AUA169" s="575"/>
      <c r="AUB169" s="575"/>
      <c r="AUC169" s="575"/>
      <c r="AUD169" s="575"/>
      <c r="AUE169" s="575"/>
      <c r="AUF169" s="575"/>
      <c r="AUG169" s="575"/>
      <c r="AUH169" s="575"/>
      <c r="AUI169" s="575"/>
      <c r="AUJ169" s="575"/>
      <c r="AUK169" s="575"/>
      <c r="AUL169" s="575"/>
      <c r="AUM169" s="575"/>
      <c r="AUN169" s="575"/>
      <c r="AUO169" s="575"/>
      <c r="AUP169" s="575"/>
      <c r="AUQ169" s="575"/>
      <c r="AUR169" s="575"/>
      <c r="AUS169" s="575"/>
      <c r="AUT169" s="575"/>
      <c r="AUU169" s="575"/>
      <c r="AUV169" s="575"/>
      <c r="AUW169" s="575"/>
      <c r="AUX169" s="575"/>
      <c r="AUY169" s="575"/>
      <c r="AUZ169" s="575"/>
      <c r="AVA169" s="575"/>
      <c r="AVB169" s="575"/>
      <c r="AVC169" s="575"/>
      <c r="AVD169" s="575"/>
      <c r="AVE169" s="575"/>
      <c r="AVF169" s="575"/>
      <c r="AVG169" s="575"/>
      <c r="AVH169" s="575"/>
      <c r="AVI169" s="575"/>
      <c r="AVJ169" s="575"/>
      <c r="AVK169" s="575"/>
      <c r="AVL169" s="575"/>
      <c r="AVM169" s="575"/>
      <c r="AVN169" s="575"/>
      <c r="AVO169" s="575"/>
      <c r="AVP169" s="575"/>
      <c r="AVQ169" s="575"/>
      <c r="AVR169" s="575"/>
      <c r="AVS169" s="575"/>
      <c r="AVT169" s="575"/>
      <c r="AVU169" s="575"/>
      <c r="AVV169" s="575"/>
      <c r="AVW169" s="575"/>
      <c r="AVX169" s="575"/>
      <c r="AVY169" s="575"/>
      <c r="AVZ169" s="575"/>
      <c r="AWA169" s="575"/>
      <c r="AWB169" s="575"/>
      <c r="AWC169" s="575"/>
      <c r="AWD169" s="575"/>
      <c r="AWE169" s="575"/>
      <c r="AWF169" s="575"/>
      <c r="AWG169" s="575"/>
      <c r="AWH169" s="575"/>
      <c r="AWI169" s="575"/>
      <c r="AWJ169" s="575"/>
      <c r="AWK169" s="575"/>
      <c r="AWL169" s="575"/>
      <c r="AWM169" s="575"/>
      <c r="AWN169" s="575"/>
      <c r="AWO169" s="575"/>
      <c r="AWP169" s="575"/>
      <c r="AWQ169" s="575"/>
      <c r="AWR169" s="575"/>
      <c r="AWS169" s="575"/>
      <c r="AWT169" s="575"/>
      <c r="AWU169" s="575"/>
      <c r="AWV169" s="575"/>
      <c r="AWW169" s="575"/>
      <c r="AWX169" s="575"/>
      <c r="AWY169" s="575"/>
      <c r="AWZ169" s="575"/>
      <c r="AXA169" s="575"/>
      <c r="AXB169" s="575"/>
      <c r="AXC169" s="575"/>
      <c r="AXD169" s="575"/>
      <c r="AXE169" s="575"/>
      <c r="AXF169" s="575"/>
      <c r="AXG169" s="575"/>
      <c r="AXH169" s="575"/>
      <c r="AXI169" s="575"/>
      <c r="AXJ169" s="575"/>
      <c r="AXK169" s="575"/>
      <c r="AXL169" s="575"/>
      <c r="AXM169" s="575"/>
      <c r="AXN169" s="575"/>
      <c r="AXO169" s="575"/>
      <c r="AXP169" s="575"/>
      <c r="AXQ169" s="575"/>
      <c r="AXR169" s="575"/>
      <c r="AXS169" s="575"/>
      <c r="AXT169" s="575"/>
      <c r="AXU169" s="575"/>
      <c r="AXV169" s="575"/>
      <c r="AXW169" s="575"/>
      <c r="AXX169" s="575"/>
      <c r="AXY169" s="575"/>
      <c r="AXZ169" s="575"/>
      <c r="AYA169" s="575"/>
      <c r="AYB169" s="575"/>
      <c r="AYC169" s="575"/>
      <c r="AYD169" s="575"/>
      <c r="AYE169" s="575"/>
      <c r="AYF169" s="575"/>
      <c r="AYG169" s="575"/>
      <c r="AYH169" s="575"/>
      <c r="AYI169" s="575"/>
      <c r="AYJ169" s="575"/>
      <c r="AYK169" s="575"/>
      <c r="AYL169" s="575"/>
      <c r="AYM169" s="575"/>
      <c r="AYN169" s="575"/>
      <c r="AYO169" s="575"/>
      <c r="AYP169" s="575"/>
      <c r="AYQ169" s="575"/>
      <c r="AYR169" s="575"/>
      <c r="AYS169" s="575"/>
      <c r="AYT169" s="575"/>
      <c r="AYU169" s="575"/>
      <c r="AYV169" s="575"/>
      <c r="AYW169" s="575"/>
      <c r="AYX169" s="575"/>
      <c r="AYY169" s="575"/>
      <c r="AYZ169" s="575"/>
      <c r="AZA169" s="575"/>
      <c r="AZB169" s="575"/>
      <c r="AZC169" s="575"/>
      <c r="AZD169" s="575"/>
      <c r="AZE169" s="575"/>
      <c r="AZF169" s="575"/>
      <c r="AZG169" s="575"/>
      <c r="AZH169" s="575"/>
      <c r="AZI169" s="575"/>
      <c r="AZJ169" s="575"/>
      <c r="AZK169" s="575"/>
      <c r="AZL169" s="575"/>
      <c r="AZM169" s="575"/>
      <c r="AZN169" s="575"/>
      <c r="AZO169" s="575"/>
      <c r="AZP169" s="575"/>
      <c r="AZQ169" s="575"/>
      <c r="AZR169" s="575"/>
      <c r="AZS169" s="575"/>
      <c r="AZT169" s="575"/>
      <c r="AZU169" s="575"/>
      <c r="AZV169" s="575"/>
      <c r="AZW169" s="575"/>
      <c r="AZX169" s="575"/>
      <c r="AZY169" s="575"/>
      <c r="AZZ169" s="575"/>
      <c r="BAA169" s="575"/>
      <c r="BAB169" s="575"/>
      <c r="BAC169" s="575"/>
      <c r="BAD169" s="575"/>
      <c r="BAE169" s="575"/>
      <c r="BAF169" s="575"/>
      <c r="BAG169" s="575"/>
      <c r="BAH169" s="575"/>
      <c r="BAI169" s="575"/>
      <c r="BAJ169" s="575"/>
      <c r="BAK169" s="575"/>
      <c r="BAL169" s="575"/>
      <c r="BAM169" s="575"/>
      <c r="BAN169" s="575"/>
      <c r="BAO169" s="575"/>
      <c r="BAP169" s="575"/>
      <c r="BAQ169" s="575"/>
      <c r="BAR169" s="575"/>
      <c r="BAS169" s="575"/>
      <c r="BAT169" s="575"/>
      <c r="BAU169" s="575"/>
      <c r="BAV169" s="575"/>
      <c r="BAW169" s="575"/>
      <c r="BAX169" s="575"/>
      <c r="BAY169" s="575"/>
      <c r="BAZ169" s="575"/>
      <c r="BBA169" s="575"/>
      <c r="BBB169" s="575"/>
      <c r="BBC169" s="575"/>
      <c r="BBD169" s="575"/>
      <c r="BBE169" s="575"/>
      <c r="BBF169" s="575"/>
      <c r="BBG169" s="575"/>
      <c r="BBH169" s="575"/>
      <c r="BBI169" s="575"/>
      <c r="BBJ169" s="575"/>
      <c r="BBK169" s="575"/>
      <c r="BBL169" s="575"/>
      <c r="BBM169" s="575"/>
      <c r="BBN169" s="575"/>
      <c r="BBO169" s="575"/>
      <c r="BBP169" s="575"/>
      <c r="BBQ169" s="575"/>
      <c r="BBR169" s="575"/>
      <c r="BBS169" s="575"/>
      <c r="BBT169" s="575"/>
      <c r="BBU169" s="575"/>
      <c r="BBV169" s="575"/>
      <c r="BBW169" s="575"/>
      <c r="BBX169" s="575"/>
      <c r="BBY169" s="575"/>
      <c r="BBZ169" s="575"/>
      <c r="BCA169" s="575"/>
      <c r="BCB169" s="575"/>
      <c r="BCC169" s="575"/>
      <c r="BCD169" s="575"/>
      <c r="BCE169" s="575"/>
      <c r="BCF169" s="575"/>
      <c r="BCG169" s="575"/>
      <c r="BCH169" s="575"/>
      <c r="BCI169" s="575"/>
      <c r="BCJ169" s="575"/>
      <c r="BCK169" s="575"/>
      <c r="BCL169" s="575"/>
      <c r="BCM169" s="575"/>
      <c r="BCN169" s="575"/>
      <c r="BCO169" s="575"/>
      <c r="BCP169" s="575"/>
      <c r="BCQ169" s="575"/>
      <c r="BCR169" s="575"/>
      <c r="BCS169" s="575"/>
      <c r="BCT169" s="575"/>
      <c r="BCU169" s="575"/>
      <c r="BCV169" s="575"/>
      <c r="BCW169" s="575"/>
      <c r="BCX169" s="575"/>
      <c r="BCY169" s="575"/>
      <c r="BCZ169" s="575"/>
      <c r="BDA169" s="575"/>
      <c r="BDB169" s="575"/>
      <c r="BDC169" s="575"/>
      <c r="BDD169" s="575"/>
      <c r="BDE169" s="575"/>
      <c r="BDF169" s="575"/>
      <c r="BDG169" s="575"/>
      <c r="BDH169" s="575"/>
      <c r="BDI169" s="575"/>
      <c r="BDJ169" s="575"/>
      <c r="BDK169" s="575"/>
      <c r="BDL169" s="575"/>
      <c r="BDM169" s="575"/>
      <c r="BDN169" s="575"/>
      <c r="BDO169" s="575"/>
      <c r="BDP169" s="575"/>
      <c r="BDQ169" s="575"/>
      <c r="BDR169" s="575"/>
      <c r="BDS169" s="575"/>
      <c r="BDT169" s="575"/>
    </row>
    <row r="170" spans="1:1476" x14ac:dyDescent="0.25">
      <c r="A170" s="608">
        <v>5692</v>
      </c>
      <c r="B170" s="609" t="s">
        <v>97</v>
      </c>
      <c r="C170" s="610">
        <v>1233184.3700000001</v>
      </c>
      <c r="D170" s="610">
        <v>126698.6</v>
      </c>
      <c r="E170" s="610"/>
      <c r="F170" s="611"/>
      <c r="G170" s="610">
        <v>9212.4</v>
      </c>
      <c r="H170" s="610">
        <v>190.65</v>
      </c>
      <c r="I170" s="610"/>
      <c r="J170" s="610">
        <v>6340.52</v>
      </c>
      <c r="K170" s="610">
        <v>3062.05</v>
      </c>
      <c r="L170" s="610">
        <v>111093.4</v>
      </c>
      <c r="M170" s="434">
        <f t="shared" si="8"/>
        <v>1489781.99</v>
      </c>
      <c r="N170" s="612">
        <v>13129.25</v>
      </c>
      <c r="O170" s="612">
        <v>490.7</v>
      </c>
      <c r="P170" s="612">
        <v>86886.25</v>
      </c>
      <c r="Q170" s="612"/>
      <c r="R170" s="612">
        <v>86968.3</v>
      </c>
      <c r="S170" s="610">
        <v>982.67</v>
      </c>
      <c r="T170" s="543">
        <f t="shared" si="9"/>
        <v>1678239.16</v>
      </c>
      <c r="U170" s="575">
        <v>-31726.07</v>
      </c>
      <c r="V170" s="612"/>
      <c r="W170" s="612">
        <v>-19.45</v>
      </c>
      <c r="X170" s="624">
        <v>77</v>
      </c>
      <c r="Y170" s="631">
        <v>1</v>
      </c>
      <c r="Z170" s="628">
        <f>VLOOKUP(A170,'[2]2022 toutes communes'!$B$9:$D$317,3,FALSE)</f>
        <v>637</v>
      </c>
      <c r="AA170" s="617"/>
      <c r="AB170" s="618">
        <v>5725</v>
      </c>
      <c r="AC170" s="547">
        <f>AB170/VPI!R170</f>
        <v>0.30213791437993054</v>
      </c>
      <c r="AD170" s="548">
        <f t="shared" si="10"/>
        <v>139113</v>
      </c>
      <c r="AE170" s="547">
        <f>AD170/VPI!R170</f>
        <v>7.3417138311153325</v>
      </c>
      <c r="AF170" s="618">
        <v>144838</v>
      </c>
      <c r="AG170" s="618">
        <v>35669</v>
      </c>
      <c r="AH170" s="618">
        <v>98474</v>
      </c>
      <c r="AI170" s="637"/>
      <c r="AJ170" s="628">
        <v>0</v>
      </c>
      <c r="AK170" s="547">
        <f>AJ170/VPI!R170</f>
        <v>0</v>
      </c>
      <c r="AL170" s="548">
        <f t="shared" si="11"/>
        <v>22488</v>
      </c>
      <c r="AM170" s="547">
        <f>AL170/VPI!R170</f>
        <v>1.1868082827206774</v>
      </c>
      <c r="AN170" s="628">
        <v>22488</v>
      </c>
      <c r="AO170" s="637"/>
      <c r="AP170" s="629">
        <v>12.410454905275152</v>
      </c>
      <c r="AR170" s="630">
        <v>0</v>
      </c>
    </row>
    <row r="171" spans="1:1476" x14ac:dyDescent="0.25">
      <c r="A171" s="608">
        <v>5693</v>
      </c>
      <c r="B171" s="609" t="s">
        <v>353</v>
      </c>
      <c r="C171" s="610">
        <v>4463533.08</v>
      </c>
      <c r="D171" s="610">
        <v>593669.14</v>
      </c>
      <c r="E171" s="610"/>
      <c r="F171" s="611"/>
      <c r="G171" s="610">
        <v>144153.15</v>
      </c>
      <c r="H171" s="610">
        <v>2633.6</v>
      </c>
      <c r="I171" s="610"/>
      <c r="J171" s="610">
        <v>73235.490000000005</v>
      </c>
      <c r="K171" s="610">
        <v>8525.6</v>
      </c>
      <c r="L171" s="610">
        <v>446483.3</v>
      </c>
      <c r="M171" s="434">
        <f t="shared" si="8"/>
        <v>5732233.3599999994</v>
      </c>
      <c r="N171" s="612">
        <v>74880.2</v>
      </c>
      <c r="O171" s="612">
        <v>14579.2</v>
      </c>
      <c r="P171" s="612">
        <v>181968.4</v>
      </c>
      <c r="Q171" s="612">
        <v>3859.79</v>
      </c>
      <c r="R171" s="612">
        <v>199173.4</v>
      </c>
      <c r="S171" s="610">
        <v>15339.97</v>
      </c>
      <c r="T171" s="543">
        <f t="shared" si="9"/>
        <v>6222034.3200000003</v>
      </c>
      <c r="U171" s="575">
        <v>-145624.10999999999</v>
      </c>
      <c r="V171" s="612"/>
      <c r="W171" s="612">
        <v>-345.86</v>
      </c>
      <c r="X171" s="624">
        <v>70</v>
      </c>
      <c r="Y171" s="631">
        <v>1</v>
      </c>
      <c r="Z171" s="628">
        <f>VLOOKUP(A171,'[2]2022 toutes communes'!$B$9:$D$317,3,FALSE)</f>
        <v>2820</v>
      </c>
      <c r="AA171" s="617"/>
      <c r="AB171" s="618">
        <v>213012</v>
      </c>
      <c r="AC171" s="547">
        <f>AB171/VPI!R171</f>
        <v>2.660054950142702</v>
      </c>
      <c r="AD171" s="548">
        <f t="shared" si="10"/>
        <v>846450</v>
      </c>
      <c r="AE171" s="547">
        <f>AD171/VPI!R171</f>
        <v>10.570312999024891</v>
      </c>
      <c r="AF171" s="618">
        <v>1059462</v>
      </c>
      <c r="AG171" s="618">
        <v>158478</v>
      </c>
      <c r="AH171" s="618">
        <v>243750</v>
      </c>
      <c r="AI171" s="637"/>
      <c r="AJ171" s="628">
        <v>0</v>
      </c>
      <c r="AK171" s="547">
        <f>AJ171/VPI!R171</f>
        <v>0</v>
      </c>
      <c r="AL171" s="548">
        <f t="shared" si="11"/>
        <v>117913</v>
      </c>
      <c r="AM171" s="547">
        <f>AL171/VPI!R171</f>
        <v>1.4724760076248118</v>
      </c>
      <c r="AN171" s="628">
        <v>117913</v>
      </c>
      <c r="AO171" s="637"/>
      <c r="AP171" s="629">
        <v>5.9845115236161428</v>
      </c>
      <c r="AR171" s="630">
        <v>0</v>
      </c>
    </row>
    <row r="172" spans="1:1476" x14ac:dyDescent="0.25">
      <c r="A172" s="608">
        <v>5701</v>
      </c>
      <c r="B172" s="609" t="s">
        <v>98</v>
      </c>
      <c r="C172" s="610">
        <v>564524.76</v>
      </c>
      <c r="D172" s="610">
        <v>183346.98</v>
      </c>
      <c r="E172" s="610"/>
      <c r="F172" s="611"/>
      <c r="G172" s="610">
        <v>2167.1</v>
      </c>
      <c r="H172" s="610">
        <v>1706.05</v>
      </c>
      <c r="I172" s="610">
        <v>65333.35</v>
      </c>
      <c r="J172" s="610">
        <v>22572</v>
      </c>
      <c r="K172" s="610">
        <v>508.25</v>
      </c>
      <c r="L172" s="610">
        <v>74026.600000000006</v>
      </c>
      <c r="M172" s="434">
        <f t="shared" si="8"/>
        <v>914185.09</v>
      </c>
      <c r="N172" s="612">
        <v>1445.9</v>
      </c>
      <c r="O172" s="612">
        <v>321000</v>
      </c>
      <c r="P172" s="612">
        <v>67485</v>
      </c>
      <c r="Q172" s="612"/>
      <c r="R172" s="612">
        <v>22990.85</v>
      </c>
      <c r="S172" s="610">
        <v>404.76</v>
      </c>
      <c r="T172" s="543">
        <f t="shared" si="9"/>
        <v>1327511.6000000001</v>
      </c>
      <c r="U172" s="575">
        <v>-1746.75</v>
      </c>
      <c r="V172" s="612"/>
      <c r="W172" s="612">
        <v>-3065.26</v>
      </c>
      <c r="X172" s="624">
        <v>70</v>
      </c>
      <c r="Y172" s="631">
        <v>1</v>
      </c>
      <c r="Z172" s="628">
        <f>VLOOKUP(A172,'[2]2022 toutes communes'!$B$9:$D$317,3,FALSE)</f>
        <v>240</v>
      </c>
      <c r="AA172" s="617"/>
      <c r="AB172" s="618"/>
      <c r="AC172" s="547">
        <f>AB172/VPI!R172</f>
        <v>0</v>
      </c>
      <c r="AD172" s="548">
        <f t="shared" si="10"/>
        <v>0</v>
      </c>
      <c r="AE172" s="547">
        <f>AD172/VPI!R172</f>
        <v>0</v>
      </c>
      <c r="AF172" s="618"/>
      <c r="AG172" s="618"/>
      <c r="AH172" s="618"/>
      <c r="AI172" s="637"/>
      <c r="AJ172" s="628"/>
      <c r="AK172" s="547">
        <f>AJ172/VPI!R172</f>
        <v>0</v>
      </c>
      <c r="AL172" s="548">
        <f t="shared" si="11"/>
        <v>0</v>
      </c>
      <c r="AM172" s="547">
        <f>AL172/VPI!R172</f>
        <v>0</v>
      </c>
      <c r="AN172" s="628"/>
      <c r="AO172" s="637"/>
      <c r="AP172" s="629">
        <v>32.997916489324467</v>
      </c>
      <c r="AR172" s="630">
        <v>0</v>
      </c>
    </row>
    <row r="173" spans="1:1476" s="632" customFormat="1" x14ac:dyDescent="0.25">
      <c r="A173" s="608">
        <v>5702</v>
      </c>
      <c r="B173" s="609" t="s">
        <v>352</v>
      </c>
      <c r="C173" s="610">
        <v>8914654.8000000007</v>
      </c>
      <c r="D173" s="610">
        <v>1615259.71</v>
      </c>
      <c r="E173" s="610"/>
      <c r="F173" s="611"/>
      <c r="G173" s="610">
        <v>67748.649999999994</v>
      </c>
      <c r="H173" s="610">
        <v>62512.7</v>
      </c>
      <c r="I173" s="610">
        <v>444158.53</v>
      </c>
      <c r="J173" s="610">
        <v>62657.440000000002</v>
      </c>
      <c r="K173" s="610">
        <v>19238.150000000001</v>
      </c>
      <c r="L173" s="610">
        <v>1298860.8</v>
      </c>
      <c r="M173" s="434">
        <f t="shared" si="8"/>
        <v>12485090.780000001</v>
      </c>
      <c r="N173" s="612">
        <v>82459.899999999994</v>
      </c>
      <c r="O173" s="612">
        <v>272482.5</v>
      </c>
      <c r="P173" s="612">
        <v>789846.55</v>
      </c>
      <c r="Q173" s="612">
        <v>12993.13</v>
      </c>
      <c r="R173" s="612">
        <v>574856.94999999995</v>
      </c>
      <c r="S173" s="610">
        <v>13612.98</v>
      </c>
      <c r="T173" s="543">
        <f t="shared" si="9"/>
        <v>14231342.790000003</v>
      </c>
      <c r="U173" s="575">
        <v>-30015.07</v>
      </c>
      <c r="V173" s="612"/>
      <c r="W173" s="612">
        <v>-17723.080000000002</v>
      </c>
      <c r="X173" s="624">
        <v>64</v>
      </c>
      <c r="Y173" s="631">
        <v>1.5</v>
      </c>
      <c r="Z173" s="628">
        <f>VLOOKUP(A173,'[2]2022 toutes communes'!$B$9:$D$317,3,FALSE)</f>
        <v>2954</v>
      </c>
      <c r="AA173" s="617"/>
      <c r="AB173" s="618">
        <v>64202</v>
      </c>
      <c r="AC173" s="547">
        <f>AB173/VPI!R173</f>
        <v>0.34152823909441032</v>
      </c>
      <c r="AD173" s="548">
        <f t="shared" si="10"/>
        <v>355502</v>
      </c>
      <c r="AE173" s="547">
        <f>AD173/VPI!R173</f>
        <v>1.8911244518012067</v>
      </c>
      <c r="AF173" s="618">
        <v>419704</v>
      </c>
      <c r="AG173" s="618">
        <v>251338</v>
      </c>
      <c r="AH173" s="618">
        <v>168952</v>
      </c>
      <c r="AI173" s="637"/>
      <c r="AJ173" s="628">
        <v>194949</v>
      </c>
      <c r="AK173" s="547">
        <f>AJ173/VPI!R173</f>
        <v>1.0370485138035608</v>
      </c>
      <c r="AL173" s="548">
        <f t="shared" si="11"/>
        <v>710038</v>
      </c>
      <c r="AM173" s="547">
        <f>AL173/VPI!R173</f>
        <v>3.7771101808373091</v>
      </c>
      <c r="AN173" s="628">
        <v>904987</v>
      </c>
      <c r="AO173" s="637"/>
      <c r="AP173" s="629">
        <v>28.74679314608375</v>
      </c>
      <c r="AQ173" s="575"/>
      <c r="AR173" s="630">
        <v>0</v>
      </c>
      <c r="AS173" s="575"/>
      <c r="AT173" s="575"/>
      <c r="AU173" s="575"/>
      <c r="AV173" s="575"/>
      <c r="AW173" s="575"/>
      <c r="AX173" s="575"/>
      <c r="AY173" s="575"/>
      <c r="AZ173" s="575"/>
      <c r="BA173" s="575"/>
      <c r="BB173" s="575"/>
      <c r="BC173" s="575"/>
      <c r="BD173" s="575"/>
      <c r="BE173" s="575"/>
      <c r="BF173" s="575"/>
      <c r="BG173" s="575"/>
      <c r="BH173" s="575"/>
      <c r="BI173" s="575"/>
      <c r="BJ173" s="575"/>
      <c r="BK173" s="575"/>
      <c r="BL173" s="575"/>
      <c r="BM173" s="575"/>
      <c r="BN173" s="575"/>
      <c r="BO173" s="575"/>
      <c r="BP173" s="575"/>
      <c r="BQ173" s="575"/>
      <c r="BR173" s="575"/>
      <c r="BS173" s="575"/>
      <c r="BT173" s="575"/>
      <c r="BU173" s="575"/>
      <c r="BV173" s="575"/>
      <c r="BW173" s="575"/>
      <c r="BX173" s="575"/>
      <c r="BY173" s="575"/>
      <c r="BZ173" s="575"/>
      <c r="CA173" s="575"/>
      <c r="CB173" s="575"/>
      <c r="CC173" s="575"/>
      <c r="CD173" s="575"/>
      <c r="CE173" s="575"/>
      <c r="CF173" s="575"/>
      <c r="CG173" s="575"/>
      <c r="CH173" s="575"/>
      <c r="CI173" s="575"/>
      <c r="CJ173" s="575"/>
      <c r="CK173" s="575"/>
      <c r="CL173" s="575"/>
      <c r="CM173" s="575"/>
      <c r="CN173" s="575"/>
      <c r="CO173" s="575"/>
      <c r="CP173" s="575"/>
      <c r="CQ173" s="575"/>
      <c r="CR173" s="575"/>
      <c r="CS173" s="575"/>
      <c r="CT173" s="575"/>
      <c r="CU173" s="575"/>
      <c r="CV173" s="575"/>
      <c r="CW173" s="575"/>
      <c r="CX173" s="575"/>
      <c r="CY173" s="575"/>
      <c r="CZ173" s="575"/>
      <c r="DA173" s="575"/>
      <c r="DB173" s="575"/>
      <c r="DC173" s="575"/>
      <c r="DD173" s="575"/>
      <c r="DE173" s="575"/>
      <c r="DF173" s="575"/>
      <c r="DG173" s="575"/>
      <c r="DH173" s="575"/>
      <c r="DI173" s="575"/>
      <c r="DJ173" s="575"/>
      <c r="DK173" s="575"/>
      <c r="DL173" s="575"/>
      <c r="DM173" s="575"/>
      <c r="DN173" s="575"/>
      <c r="DO173" s="575"/>
      <c r="DP173" s="575"/>
      <c r="DQ173" s="575"/>
      <c r="DR173" s="575"/>
      <c r="DS173" s="575"/>
      <c r="DT173" s="575"/>
      <c r="DU173" s="575"/>
      <c r="DV173" s="575"/>
      <c r="DW173" s="575"/>
      <c r="DX173" s="575"/>
      <c r="DY173" s="575"/>
      <c r="DZ173" s="575"/>
      <c r="EA173" s="575"/>
      <c r="EB173" s="575"/>
      <c r="EC173" s="575"/>
      <c r="ED173" s="575"/>
      <c r="EE173" s="575"/>
      <c r="EF173" s="575"/>
      <c r="EG173" s="575"/>
      <c r="EH173" s="575"/>
      <c r="EI173" s="575"/>
      <c r="EJ173" s="575"/>
      <c r="EK173" s="575"/>
      <c r="EL173" s="575"/>
      <c r="EM173" s="575"/>
      <c r="EN173" s="575"/>
      <c r="EO173" s="575"/>
      <c r="EP173" s="575"/>
      <c r="EQ173" s="575"/>
      <c r="ER173" s="575"/>
      <c r="ES173" s="575"/>
      <c r="ET173" s="575"/>
      <c r="EU173" s="575"/>
      <c r="EV173" s="575"/>
      <c r="EW173" s="575"/>
      <c r="EX173" s="575"/>
      <c r="EY173" s="575"/>
      <c r="EZ173" s="575"/>
      <c r="FA173" s="575"/>
      <c r="FB173" s="575"/>
      <c r="FC173" s="575"/>
      <c r="FD173" s="575"/>
      <c r="FE173" s="575"/>
      <c r="FF173" s="575"/>
      <c r="FG173" s="575"/>
      <c r="FH173" s="575"/>
      <c r="FI173" s="575"/>
      <c r="FJ173" s="575"/>
      <c r="FK173" s="575"/>
      <c r="FL173" s="575"/>
      <c r="FM173" s="575"/>
      <c r="FN173" s="575"/>
      <c r="FO173" s="575"/>
      <c r="FP173" s="575"/>
      <c r="FQ173" s="575"/>
      <c r="FR173" s="575"/>
      <c r="FS173" s="575"/>
      <c r="FT173" s="575"/>
      <c r="FU173" s="575"/>
      <c r="FV173" s="575"/>
      <c r="FW173" s="575"/>
      <c r="FX173" s="575"/>
      <c r="FY173" s="575"/>
      <c r="FZ173" s="575"/>
      <c r="GA173" s="575"/>
      <c r="GB173" s="575"/>
      <c r="GC173" s="575"/>
      <c r="GD173" s="575"/>
      <c r="GE173" s="575"/>
      <c r="GF173" s="575"/>
      <c r="GG173" s="575"/>
      <c r="GH173" s="575"/>
      <c r="GI173" s="575"/>
      <c r="GJ173" s="575"/>
      <c r="GK173" s="575"/>
      <c r="GL173" s="575"/>
      <c r="GM173" s="575"/>
      <c r="GN173" s="575"/>
      <c r="GO173" s="575"/>
      <c r="GP173" s="575"/>
      <c r="GQ173" s="575"/>
      <c r="GR173" s="575"/>
      <c r="GS173" s="575"/>
      <c r="GT173" s="575"/>
      <c r="GU173" s="575"/>
      <c r="GV173" s="575"/>
      <c r="GW173" s="575"/>
      <c r="GX173" s="575"/>
      <c r="GY173" s="575"/>
      <c r="GZ173" s="575"/>
      <c r="HA173" s="575"/>
      <c r="HB173" s="575"/>
      <c r="HC173" s="575"/>
      <c r="HD173" s="575"/>
      <c r="HE173" s="575"/>
      <c r="HF173" s="575"/>
      <c r="HG173" s="575"/>
      <c r="HH173" s="575"/>
      <c r="HI173" s="575"/>
      <c r="HJ173" s="575"/>
      <c r="HK173" s="575"/>
      <c r="HL173" s="575"/>
      <c r="HM173" s="575"/>
      <c r="HN173" s="575"/>
      <c r="HO173" s="575"/>
      <c r="HP173" s="575"/>
      <c r="HQ173" s="575"/>
      <c r="HR173" s="575"/>
      <c r="HS173" s="575"/>
      <c r="HT173" s="575"/>
      <c r="HU173" s="575"/>
      <c r="HV173" s="575"/>
      <c r="HW173" s="575"/>
      <c r="HX173" s="575"/>
      <c r="HY173" s="575"/>
      <c r="HZ173" s="575"/>
      <c r="IA173" s="575"/>
      <c r="IB173" s="575"/>
      <c r="IC173" s="575"/>
      <c r="ID173" s="575"/>
      <c r="IE173" s="575"/>
      <c r="IF173" s="575"/>
      <c r="IG173" s="575"/>
      <c r="IH173" s="575"/>
      <c r="II173" s="575"/>
      <c r="IJ173" s="575"/>
      <c r="IK173" s="575"/>
      <c r="IL173" s="575"/>
      <c r="IM173" s="575"/>
      <c r="IN173" s="575"/>
      <c r="IO173" s="575"/>
      <c r="IP173" s="575"/>
      <c r="IQ173" s="575"/>
      <c r="IR173" s="575"/>
      <c r="IS173" s="575"/>
      <c r="IT173" s="575"/>
      <c r="IU173" s="575"/>
      <c r="IV173" s="575"/>
      <c r="IW173" s="575"/>
      <c r="IX173" s="575"/>
      <c r="IY173" s="575"/>
      <c r="IZ173" s="575"/>
      <c r="JA173" s="575"/>
      <c r="JB173" s="575"/>
      <c r="JC173" s="575"/>
      <c r="JD173" s="575"/>
      <c r="JE173" s="575"/>
      <c r="JF173" s="575"/>
      <c r="JG173" s="575"/>
      <c r="JH173" s="575"/>
      <c r="JI173" s="575"/>
      <c r="JJ173" s="575"/>
      <c r="JK173" s="575"/>
      <c r="JL173" s="575"/>
      <c r="JM173" s="575"/>
      <c r="JN173" s="575"/>
      <c r="JO173" s="575"/>
      <c r="JP173" s="575"/>
      <c r="JQ173" s="575"/>
      <c r="JR173" s="575"/>
      <c r="JS173" s="575"/>
      <c r="JT173" s="575"/>
      <c r="JU173" s="575"/>
      <c r="JV173" s="575"/>
      <c r="JW173" s="575"/>
      <c r="JX173" s="575"/>
      <c r="JY173" s="575"/>
      <c r="JZ173" s="575"/>
      <c r="KA173" s="575"/>
      <c r="KB173" s="575"/>
      <c r="KC173" s="575"/>
      <c r="KD173" s="575"/>
      <c r="KE173" s="575"/>
      <c r="KF173" s="575"/>
      <c r="KG173" s="575"/>
      <c r="KH173" s="575"/>
      <c r="KI173" s="575"/>
      <c r="KJ173" s="575"/>
      <c r="KK173" s="575"/>
      <c r="KL173" s="575"/>
      <c r="KM173" s="575"/>
      <c r="KN173" s="575"/>
      <c r="KO173" s="575"/>
      <c r="KP173" s="575"/>
      <c r="KQ173" s="575"/>
      <c r="KR173" s="575"/>
      <c r="KS173" s="575"/>
      <c r="KT173" s="575"/>
      <c r="KU173" s="575"/>
      <c r="KV173" s="575"/>
      <c r="KW173" s="575"/>
      <c r="KX173" s="575"/>
      <c r="KY173" s="575"/>
      <c r="KZ173" s="575"/>
      <c r="LA173" s="575"/>
      <c r="LB173" s="575"/>
      <c r="LC173" s="575"/>
      <c r="LD173" s="575"/>
      <c r="LE173" s="575"/>
      <c r="LF173" s="575"/>
      <c r="LG173" s="575"/>
      <c r="LH173" s="575"/>
      <c r="LI173" s="575"/>
      <c r="LJ173" s="575"/>
      <c r="LK173" s="575"/>
      <c r="LL173" s="575"/>
      <c r="LM173" s="575"/>
      <c r="LN173" s="575"/>
      <c r="LO173" s="575"/>
      <c r="LP173" s="575"/>
      <c r="LQ173" s="575"/>
      <c r="LR173" s="575"/>
      <c r="LS173" s="575"/>
      <c r="LT173" s="575"/>
      <c r="LU173" s="575"/>
      <c r="LV173" s="575"/>
      <c r="LW173" s="575"/>
      <c r="LX173" s="575"/>
      <c r="LY173" s="575"/>
      <c r="LZ173" s="575"/>
      <c r="MA173" s="575"/>
      <c r="MB173" s="575"/>
      <c r="MC173" s="575"/>
      <c r="MD173" s="575"/>
      <c r="ME173" s="575"/>
      <c r="MF173" s="575"/>
      <c r="MG173" s="575"/>
      <c r="MH173" s="575"/>
      <c r="MI173" s="575"/>
      <c r="MJ173" s="575"/>
      <c r="MK173" s="575"/>
      <c r="ML173" s="575"/>
      <c r="MM173" s="575"/>
      <c r="MN173" s="575"/>
      <c r="MO173" s="575"/>
      <c r="MP173" s="575"/>
      <c r="MQ173" s="575"/>
      <c r="MR173" s="575"/>
      <c r="MS173" s="575"/>
      <c r="MT173" s="575"/>
      <c r="MU173" s="575"/>
      <c r="MV173" s="575"/>
      <c r="MW173" s="575"/>
      <c r="MX173" s="575"/>
      <c r="MY173" s="575"/>
      <c r="MZ173" s="575"/>
      <c r="NA173" s="575"/>
      <c r="NB173" s="575"/>
      <c r="NC173" s="575"/>
      <c r="ND173" s="575"/>
      <c r="NE173" s="575"/>
      <c r="NF173" s="575"/>
      <c r="NG173" s="575"/>
      <c r="NH173" s="575"/>
      <c r="NI173" s="575"/>
      <c r="NJ173" s="575"/>
      <c r="NK173" s="575"/>
      <c r="NL173" s="575"/>
      <c r="NM173" s="575"/>
      <c r="NN173" s="575"/>
      <c r="NO173" s="575"/>
      <c r="NP173" s="575"/>
      <c r="NQ173" s="575"/>
      <c r="NR173" s="575"/>
      <c r="NS173" s="575"/>
      <c r="NT173" s="575"/>
      <c r="NU173" s="575"/>
      <c r="NV173" s="575"/>
      <c r="NW173" s="575"/>
      <c r="NX173" s="575"/>
      <c r="NY173" s="575"/>
      <c r="NZ173" s="575"/>
      <c r="OA173" s="575"/>
      <c r="OB173" s="575"/>
      <c r="OC173" s="575"/>
      <c r="OD173" s="575"/>
      <c r="OE173" s="575"/>
      <c r="OF173" s="575"/>
      <c r="OG173" s="575"/>
      <c r="OH173" s="575"/>
      <c r="OI173" s="575"/>
      <c r="OJ173" s="575"/>
      <c r="OK173" s="575"/>
      <c r="OL173" s="575"/>
      <c r="OM173" s="575"/>
      <c r="ON173" s="575"/>
      <c r="OO173" s="575"/>
      <c r="OP173" s="575"/>
      <c r="OQ173" s="575"/>
      <c r="OR173" s="575"/>
      <c r="OS173" s="575"/>
      <c r="OT173" s="575"/>
      <c r="OU173" s="575"/>
      <c r="OV173" s="575"/>
      <c r="OW173" s="575"/>
      <c r="OX173" s="575"/>
      <c r="OY173" s="575"/>
      <c r="OZ173" s="575"/>
      <c r="PA173" s="575"/>
      <c r="PB173" s="575"/>
      <c r="PC173" s="575"/>
      <c r="PD173" s="575"/>
      <c r="PE173" s="575"/>
      <c r="PF173" s="575"/>
      <c r="PG173" s="575"/>
      <c r="PH173" s="575"/>
      <c r="PI173" s="575"/>
      <c r="PJ173" s="575"/>
      <c r="PK173" s="575"/>
      <c r="PL173" s="575"/>
      <c r="PM173" s="575"/>
      <c r="PN173" s="575"/>
      <c r="PO173" s="575"/>
      <c r="PP173" s="575"/>
      <c r="PQ173" s="575"/>
      <c r="PR173" s="575"/>
      <c r="PS173" s="575"/>
      <c r="PT173" s="575"/>
      <c r="PU173" s="575"/>
      <c r="PV173" s="575"/>
      <c r="PW173" s="575"/>
      <c r="PX173" s="575"/>
      <c r="PY173" s="575"/>
      <c r="PZ173" s="575"/>
      <c r="QA173" s="575"/>
      <c r="QB173" s="575"/>
      <c r="QC173" s="575"/>
      <c r="QD173" s="575"/>
      <c r="QE173" s="575"/>
      <c r="QF173" s="575"/>
      <c r="QG173" s="575"/>
      <c r="QH173" s="575"/>
      <c r="QI173" s="575"/>
      <c r="QJ173" s="575"/>
      <c r="QK173" s="575"/>
      <c r="QL173" s="575"/>
      <c r="QM173" s="575"/>
      <c r="QN173" s="575"/>
      <c r="QO173" s="575"/>
      <c r="QP173" s="575"/>
      <c r="QQ173" s="575"/>
      <c r="QR173" s="575"/>
      <c r="QS173" s="575"/>
      <c r="QT173" s="575"/>
      <c r="QU173" s="575"/>
      <c r="QV173" s="575"/>
      <c r="QW173" s="575"/>
      <c r="QX173" s="575"/>
      <c r="QY173" s="575"/>
      <c r="QZ173" s="575"/>
      <c r="RA173" s="575"/>
      <c r="RB173" s="575"/>
      <c r="RC173" s="575"/>
      <c r="RD173" s="575"/>
      <c r="RE173" s="575"/>
      <c r="RF173" s="575"/>
      <c r="RG173" s="575"/>
      <c r="RH173" s="575"/>
      <c r="RI173" s="575"/>
      <c r="RJ173" s="575"/>
      <c r="RK173" s="575"/>
      <c r="RL173" s="575"/>
      <c r="RM173" s="575"/>
      <c r="RN173" s="575"/>
      <c r="RO173" s="575"/>
      <c r="RP173" s="575"/>
      <c r="RQ173" s="575"/>
      <c r="RR173" s="575"/>
      <c r="RS173" s="575"/>
      <c r="RT173" s="575"/>
      <c r="RU173" s="575"/>
      <c r="RV173" s="575"/>
      <c r="RW173" s="575"/>
      <c r="RX173" s="575"/>
      <c r="RY173" s="575"/>
      <c r="RZ173" s="575"/>
      <c r="SA173" s="575"/>
      <c r="SB173" s="575"/>
      <c r="SC173" s="575"/>
      <c r="SD173" s="575"/>
      <c r="SE173" s="575"/>
      <c r="SF173" s="575"/>
      <c r="SG173" s="575"/>
      <c r="SH173" s="575"/>
      <c r="SI173" s="575"/>
      <c r="SJ173" s="575"/>
      <c r="SK173" s="575"/>
      <c r="SL173" s="575"/>
      <c r="SM173" s="575"/>
      <c r="SN173" s="575"/>
      <c r="SO173" s="575"/>
      <c r="SP173" s="575"/>
      <c r="SQ173" s="575"/>
      <c r="SR173" s="575"/>
      <c r="SS173" s="575"/>
      <c r="ST173" s="575"/>
      <c r="SU173" s="575"/>
      <c r="SV173" s="575"/>
      <c r="SW173" s="575"/>
      <c r="SX173" s="575"/>
      <c r="SY173" s="575"/>
      <c r="SZ173" s="575"/>
      <c r="TA173" s="575"/>
      <c r="TB173" s="575"/>
      <c r="TC173" s="575"/>
      <c r="TD173" s="575"/>
      <c r="TE173" s="575"/>
      <c r="TF173" s="575"/>
      <c r="TG173" s="575"/>
      <c r="TH173" s="575"/>
      <c r="TI173" s="575"/>
      <c r="TJ173" s="575"/>
      <c r="TK173" s="575"/>
      <c r="TL173" s="575"/>
      <c r="TM173" s="575"/>
      <c r="TN173" s="575"/>
      <c r="TO173" s="575"/>
      <c r="TP173" s="575"/>
      <c r="TQ173" s="575"/>
      <c r="TR173" s="575"/>
      <c r="TS173" s="575"/>
      <c r="TT173" s="575"/>
      <c r="TU173" s="575"/>
      <c r="TV173" s="575"/>
      <c r="TW173" s="575"/>
      <c r="TX173" s="575"/>
      <c r="TY173" s="575"/>
      <c r="TZ173" s="575"/>
      <c r="UA173" s="575"/>
      <c r="UB173" s="575"/>
      <c r="UC173" s="575"/>
      <c r="UD173" s="575"/>
      <c r="UE173" s="575"/>
      <c r="UF173" s="575"/>
      <c r="UG173" s="575"/>
      <c r="UH173" s="575"/>
      <c r="UI173" s="575"/>
      <c r="UJ173" s="575"/>
      <c r="UK173" s="575"/>
      <c r="UL173" s="575"/>
      <c r="UM173" s="575"/>
      <c r="UN173" s="575"/>
      <c r="UO173" s="575"/>
      <c r="UP173" s="575"/>
      <c r="UQ173" s="575"/>
      <c r="UR173" s="575"/>
      <c r="US173" s="575"/>
      <c r="UT173" s="575"/>
      <c r="UU173" s="575"/>
      <c r="UV173" s="575"/>
      <c r="UW173" s="575"/>
      <c r="UX173" s="575"/>
      <c r="UY173" s="575"/>
      <c r="UZ173" s="575"/>
      <c r="VA173" s="575"/>
      <c r="VB173" s="575"/>
      <c r="VC173" s="575"/>
      <c r="VD173" s="575"/>
      <c r="VE173" s="575"/>
      <c r="VF173" s="575"/>
      <c r="VG173" s="575"/>
      <c r="VH173" s="575"/>
      <c r="VI173" s="575"/>
      <c r="VJ173" s="575"/>
      <c r="VK173" s="575"/>
      <c r="VL173" s="575"/>
      <c r="VM173" s="575"/>
      <c r="VN173" s="575"/>
      <c r="VO173" s="575"/>
      <c r="VP173" s="575"/>
      <c r="VQ173" s="575"/>
      <c r="VR173" s="575"/>
      <c r="VS173" s="575"/>
      <c r="VT173" s="575"/>
      <c r="VU173" s="575"/>
      <c r="VV173" s="575"/>
      <c r="VW173" s="575"/>
      <c r="VX173" s="575"/>
      <c r="VY173" s="575"/>
      <c r="VZ173" s="575"/>
      <c r="WA173" s="575"/>
      <c r="WB173" s="575"/>
      <c r="WC173" s="575"/>
      <c r="WD173" s="575"/>
      <c r="WE173" s="575"/>
      <c r="WF173" s="575"/>
      <c r="WG173" s="575"/>
      <c r="WH173" s="575"/>
      <c r="WI173" s="575"/>
      <c r="WJ173" s="575"/>
      <c r="WK173" s="575"/>
      <c r="WL173" s="575"/>
      <c r="WM173" s="575"/>
      <c r="WN173" s="575"/>
      <c r="WO173" s="575"/>
      <c r="WP173" s="575"/>
      <c r="WQ173" s="575"/>
      <c r="WR173" s="575"/>
      <c r="WS173" s="575"/>
      <c r="WT173" s="575"/>
      <c r="WU173" s="575"/>
      <c r="WV173" s="575"/>
      <c r="WW173" s="575"/>
      <c r="WX173" s="575"/>
      <c r="WY173" s="575"/>
      <c r="WZ173" s="575"/>
      <c r="XA173" s="575"/>
      <c r="XB173" s="575"/>
      <c r="XC173" s="575"/>
      <c r="XD173" s="575"/>
      <c r="XE173" s="575"/>
      <c r="XF173" s="575"/>
      <c r="XG173" s="575"/>
      <c r="XH173" s="575"/>
      <c r="XI173" s="575"/>
      <c r="XJ173" s="575"/>
      <c r="XK173" s="575"/>
      <c r="XL173" s="575"/>
      <c r="XM173" s="575"/>
      <c r="XN173" s="575"/>
      <c r="XO173" s="575"/>
      <c r="XP173" s="575"/>
      <c r="XQ173" s="575"/>
      <c r="XR173" s="575"/>
      <c r="XS173" s="575"/>
      <c r="XT173" s="575"/>
      <c r="XU173" s="575"/>
      <c r="XV173" s="575"/>
      <c r="XW173" s="575"/>
      <c r="XX173" s="575"/>
      <c r="XY173" s="575"/>
      <c r="XZ173" s="575"/>
      <c r="YA173" s="575"/>
      <c r="YB173" s="575"/>
      <c r="YC173" s="575"/>
      <c r="YD173" s="575"/>
      <c r="YE173" s="575"/>
      <c r="YF173" s="575"/>
      <c r="YG173" s="575"/>
      <c r="YH173" s="575"/>
      <c r="YI173" s="575"/>
      <c r="YJ173" s="575"/>
      <c r="YK173" s="575"/>
      <c r="YL173" s="575"/>
      <c r="YM173" s="575"/>
      <c r="YN173" s="575"/>
      <c r="YO173" s="575"/>
      <c r="YP173" s="575"/>
      <c r="YQ173" s="575"/>
      <c r="YR173" s="575"/>
      <c r="YS173" s="575"/>
      <c r="YT173" s="575"/>
      <c r="YU173" s="575"/>
      <c r="YV173" s="575"/>
      <c r="YW173" s="575"/>
      <c r="YX173" s="575"/>
      <c r="YY173" s="575"/>
      <c r="YZ173" s="575"/>
      <c r="ZA173" s="575"/>
      <c r="ZB173" s="575"/>
      <c r="ZC173" s="575"/>
      <c r="ZD173" s="575"/>
      <c r="ZE173" s="575"/>
      <c r="ZF173" s="575"/>
      <c r="ZG173" s="575"/>
      <c r="ZH173" s="575"/>
      <c r="ZI173" s="575"/>
      <c r="ZJ173" s="575"/>
      <c r="ZK173" s="575"/>
      <c r="ZL173" s="575"/>
      <c r="ZM173" s="575"/>
      <c r="ZN173" s="575"/>
      <c r="ZO173" s="575"/>
      <c r="ZP173" s="575"/>
      <c r="ZQ173" s="575"/>
      <c r="ZR173" s="575"/>
      <c r="ZS173" s="575"/>
      <c r="ZT173" s="575"/>
      <c r="ZU173" s="575"/>
      <c r="ZV173" s="575"/>
      <c r="ZW173" s="575"/>
      <c r="ZX173" s="575"/>
      <c r="ZY173" s="575"/>
      <c r="ZZ173" s="575"/>
      <c r="AAA173" s="575"/>
      <c r="AAB173" s="575"/>
      <c r="AAC173" s="575"/>
      <c r="AAD173" s="575"/>
      <c r="AAE173" s="575"/>
      <c r="AAF173" s="575"/>
      <c r="AAG173" s="575"/>
      <c r="AAH173" s="575"/>
      <c r="AAI173" s="575"/>
      <c r="AAJ173" s="575"/>
      <c r="AAK173" s="575"/>
      <c r="AAL173" s="575"/>
      <c r="AAM173" s="575"/>
      <c r="AAN173" s="575"/>
      <c r="AAO173" s="575"/>
      <c r="AAP173" s="575"/>
      <c r="AAQ173" s="575"/>
      <c r="AAR173" s="575"/>
      <c r="AAS173" s="575"/>
      <c r="AAT173" s="575"/>
      <c r="AAU173" s="575"/>
      <c r="AAV173" s="575"/>
      <c r="AAW173" s="575"/>
      <c r="AAX173" s="575"/>
      <c r="AAY173" s="575"/>
      <c r="AAZ173" s="575"/>
      <c r="ABA173" s="575"/>
      <c r="ABB173" s="575"/>
      <c r="ABC173" s="575"/>
      <c r="ABD173" s="575"/>
      <c r="ABE173" s="575"/>
      <c r="ABF173" s="575"/>
      <c r="ABG173" s="575"/>
      <c r="ABH173" s="575"/>
      <c r="ABI173" s="575"/>
      <c r="ABJ173" s="575"/>
      <c r="ABK173" s="575"/>
      <c r="ABL173" s="575"/>
      <c r="ABM173" s="575"/>
      <c r="ABN173" s="575"/>
      <c r="ABO173" s="575"/>
      <c r="ABP173" s="575"/>
      <c r="ABQ173" s="575"/>
      <c r="ABR173" s="575"/>
      <c r="ABS173" s="575"/>
      <c r="ABT173" s="575"/>
      <c r="ABU173" s="575"/>
      <c r="ABV173" s="575"/>
      <c r="ABW173" s="575"/>
      <c r="ABX173" s="575"/>
      <c r="ABY173" s="575"/>
      <c r="ABZ173" s="575"/>
      <c r="ACA173" s="575"/>
      <c r="ACB173" s="575"/>
      <c r="ACC173" s="575"/>
      <c r="ACD173" s="575"/>
      <c r="ACE173" s="575"/>
      <c r="ACF173" s="575"/>
      <c r="ACG173" s="575"/>
      <c r="ACH173" s="575"/>
      <c r="ACI173" s="575"/>
      <c r="ACJ173" s="575"/>
      <c r="ACK173" s="575"/>
      <c r="ACL173" s="575"/>
      <c r="ACM173" s="575"/>
      <c r="ACN173" s="575"/>
      <c r="ACO173" s="575"/>
      <c r="ACP173" s="575"/>
      <c r="ACQ173" s="575"/>
      <c r="ACR173" s="575"/>
      <c r="ACS173" s="575"/>
      <c r="ACT173" s="575"/>
      <c r="ACU173" s="575"/>
      <c r="ACV173" s="575"/>
      <c r="ACW173" s="575"/>
      <c r="ACX173" s="575"/>
      <c r="ACY173" s="575"/>
      <c r="ACZ173" s="575"/>
      <c r="ADA173" s="575"/>
      <c r="ADB173" s="575"/>
      <c r="ADC173" s="575"/>
      <c r="ADD173" s="575"/>
      <c r="ADE173" s="575"/>
      <c r="ADF173" s="575"/>
      <c r="ADG173" s="575"/>
      <c r="ADH173" s="575"/>
      <c r="ADI173" s="575"/>
      <c r="ADJ173" s="575"/>
      <c r="ADK173" s="575"/>
      <c r="ADL173" s="575"/>
      <c r="ADM173" s="575"/>
      <c r="ADN173" s="575"/>
      <c r="ADO173" s="575"/>
      <c r="ADP173" s="575"/>
      <c r="ADQ173" s="575"/>
      <c r="ADR173" s="575"/>
      <c r="ADS173" s="575"/>
      <c r="ADT173" s="575"/>
      <c r="ADU173" s="575"/>
      <c r="ADV173" s="575"/>
      <c r="ADW173" s="575"/>
      <c r="ADX173" s="575"/>
      <c r="ADY173" s="575"/>
      <c r="ADZ173" s="575"/>
      <c r="AEA173" s="575"/>
      <c r="AEB173" s="575"/>
      <c r="AEC173" s="575"/>
      <c r="AED173" s="575"/>
      <c r="AEE173" s="575"/>
      <c r="AEF173" s="575"/>
      <c r="AEG173" s="575"/>
      <c r="AEH173" s="575"/>
      <c r="AEI173" s="575"/>
      <c r="AEJ173" s="575"/>
      <c r="AEK173" s="575"/>
      <c r="AEL173" s="575"/>
      <c r="AEM173" s="575"/>
      <c r="AEN173" s="575"/>
      <c r="AEO173" s="575"/>
      <c r="AEP173" s="575"/>
      <c r="AEQ173" s="575"/>
      <c r="AER173" s="575"/>
      <c r="AES173" s="575"/>
      <c r="AET173" s="575"/>
      <c r="AEU173" s="575"/>
      <c r="AEV173" s="575"/>
      <c r="AEW173" s="575"/>
      <c r="AEX173" s="575"/>
      <c r="AEY173" s="575"/>
      <c r="AEZ173" s="575"/>
      <c r="AFA173" s="575"/>
      <c r="AFB173" s="575"/>
      <c r="AFC173" s="575"/>
      <c r="AFD173" s="575"/>
      <c r="AFE173" s="575"/>
      <c r="AFF173" s="575"/>
      <c r="AFG173" s="575"/>
      <c r="AFH173" s="575"/>
      <c r="AFI173" s="575"/>
      <c r="AFJ173" s="575"/>
      <c r="AFK173" s="575"/>
      <c r="AFL173" s="575"/>
      <c r="AFM173" s="575"/>
      <c r="AFN173" s="575"/>
      <c r="AFO173" s="575"/>
      <c r="AFP173" s="575"/>
      <c r="AFQ173" s="575"/>
      <c r="AFR173" s="575"/>
      <c r="AFS173" s="575"/>
      <c r="AFT173" s="575"/>
      <c r="AFU173" s="575"/>
      <c r="AFV173" s="575"/>
      <c r="AFW173" s="575"/>
      <c r="AFX173" s="575"/>
      <c r="AFY173" s="575"/>
      <c r="AFZ173" s="575"/>
      <c r="AGA173" s="575"/>
      <c r="AGB173" s="575"/>
      <c r="AGC173" s="575"/>
      <c r="AGD173" s="575"/>
      <c r="AGE173" s="575"/>
      <c r="AGF173" s="575"/>
      <c r="AGG173" s="575"/>
      <c r="AGH173" s="575"/>
      <c r="AGI173" s="575"/>
      <c r="AGJ173" s="575"/>
      <c r="AGK173" s="575"/>
      <c r="AGL173" s="575"/>
      <c r="AGM173" s="575"/>
      <c r="AGN173" s="575"/>
      <c r="AGO173" s="575"/>
      <c r="AGP173" s="575"/>
      <c r="AGQ173" s="575"/>
      <c r="AGR173" s="575"/>
      <c r="AGS173" s="575"/>
      <c r="AGT173" s="575"/>
      <c r="AGU173" s="575"/>
      <c r="AGV173" s="575"/>
      <c r="AGW173" s="575"/>
      <c r="AGX173" s="575"/>
      <c r="AGY173" s="575"/>
      <c r="AGZ173" s="575"/>
      <c r="AHA173" s="575"/>
      <c r="AHB173" s="575"/>
      <c r="AHC173" s="575"/>
      <c r="AHD173" s="575"/>
      <c r="AHE173" s="575"/>
      <c r="AHF173" s="575"/>
      <c r="AHG173" s="575"/>
      <c r="AHH173" s="575"/>
      <c r="AHI173" s="575"/>
      <c r="AHJ173" s="575"/>
      <c r="AHK173" s="575"/>
      <c r="AHL173" s="575"/>
      <c r="AHM173" s="575"/>
      <c r="AHN173" s="575"/>
      <c r="AHO173" s="575"/>
      <c r="AHP173" s="575"/>
      <c r="AHQ173" s="575"/>
      <c r="AHR173" s="575"/>
      <c r="AHS173" s="575"/>
      <c r="AHT173" s="575"/>
      <c r="AHU173" s="575"/>
      <c r="AHV173" s="575"/>
      <c r="AHW173" s="575"/>
      <c r="AHX173" s="575"/>
      <c r="AHY173" s="575"/>
      <c r="AHZ173" s="575"/>
      <c r="AIA173" s="575"/>
      <c r="AIB173" s="575"/>
      <c r="AIC173" s="575"/>
      <c r="AID173" s="575"/>
      <c r="AIE173" s="575"/>
      <c r="AIF173" s="575"/>
      <c r="AIG173" s="575"/>
      <c r="AIH173" s="575"/>
      <c r="AII173" s="575"/>
      <c r="AIJ173" s="575"/>
      <c r="AIK173" s="575"/>
      <c r="AIL173" s="575"/>
      <c r="AIM173" s="575"/>
      <c r="AIN173" s="575"/>
      <c r="AIO173" s="575"/>
      <c r="AIP173" s="575"/>
      <c r="AIQ173" s="575"/>
      <c r="AIR173" s="575"/>
      <c r="AIS173" s="575"/>
      <c r="AIT173" s="575"/>
      <c r="AIU173" s="575"/>
      <c r="AIV173" s="575"/>
      <c r="AIW173" s="575"/>
      <c r="AIX173" s="575"/>
      <c r="AIY173" s="575"/>
      <c r="AIZ173" s="575"/>
      <c r="AJA173" s="575"/>
      <c r="AJB173" s="575"/>
      <c r="AJC173" s="575"/>
      <c r="AJD173" s="575"/>
      <c r="AJE173" s="575"/>
      <c r="AJF173" s="575"/>
      <c r="AJG173" s="575"/>
      <c r="AJH173" s="575"/>
      <c r="AJI173" s="575"/>
      <c r="AJJ173" s="575"/>
      <c r="AJK173" s="575"/>
      <c r="AJL173" s="575"/>
      <c r="AJM173" s="575"/>
      <c r="AJN173" s="575"/>
      <c r="AJO173" s="575"/>
      <c r="AJP173" s="575"/>
      <c r="AJQ173" s="575"/>
      <c r="AJR173" s="575"/>
      <c r="AJS173" s="575"/>
      <c r="AJT173" s="575"/>
      <c r="AJU173" s="575"/>
      <c r="AJV173" s="575"/>
      <c r="AJW173" s="575"/>
      <c r="AJX173" s="575"/>
      <c r="AJY173" s="575"/>
      <c r="AJZ173" s="575"/>
      <c r="AKA173" s="575"/>
      <c r="AKB173" s="575"/>
      <c r="AKC173" s="575"/>
      <c r="AKD173" s="575"/>
      <c r="AKE173" s="575"/>
      <c r="AKF173" s="575"/>
      <c r="AKG173" s="575"/>
      <c r="AKH173" s="575"/>
      <c r="AKI173" s="575"/>
      <c r="AKJ173" s="575"/>
      <c r="AKK173" s="575"/>
      <c r="AKL173" s="575"/>
      <c r="AKM173" s="575"/>
      <c r="AKN173" s="575"/>
      <c r="AKO173" s="575"/>
      <c r="AKP173" s="575"/>
      <c r="AKQ173" s="575"/>
      <c r="AKR173" s="575"/>
      <c r="AKS173" s="575"/>
      <c r="AKT173" s="575"/>
      <c r="AKU173" s="575"/>
      <c r="AKV173" s="575"/>
      <c r="AKW173" s="575"/>
      <c r="AKX173" s="575"/>
      <c r="AKY173" s="575"/>
      <c r="AKZ173" s="575"/>
      <c r="ALA173" s="575"/>
      <c r="ALB173" s="575"/>
      <c r="ALC173" s="575"/>
      <c r="ALD173" s="575"/>
      <c r="ALE173" s="575"/>
      <c r="ALF173" s="575"/>
      <c r="ALG173" s="575"/>
      <c r="ALH173" s="575"/>
      <c r="ALI173" s="575"/>
      <c r="ALJ173" s="575"/>
      <c r="ALK173" s="575"/>
      <c r="ALL173" s="575"/>
      <c r="ALM173" s="575"/>
      <c r="ALN173" s="575"/>
      <c r="ALO173" s="575"/>
      <c r="ALP173" s="575"/>
      <c r="ALQ173" s="575"/>
      <c r="ALR173" s="575"/>
      <c r="ALS173" s="575"/>
      <c r="ALT173" s="575"/>
      <c r="ALU173" s="575"/>
      <c r="ALV173" s="575"/>
      <c r="ALW173" s="575"/>
      <c r="ALX173" s="575"/>
      <c r="ALY173" s="575"/>
      <c r="ALZ173" s="575"/>
      <c r="AMA173" s="575"/>
      <c r="AMB173" s="575"/>
      <c r="AMC173" s="575"/>
      <c r="AMD173" s="575"/>
      <c r="AME173" s="575"/>
      <c r="AMF173" s="575"/>
      <c r="AMG173" s="575"/>
      <c r="AMH173" s="575"/>
      <c r="AMI173" s="575"/>
      <c r="AMJ173" s="575"/>
      <c r="AMK173" s="575"/>
      <c r="AML173" s="575"/>
      <c r="AMM173" s="575"/>
      <c r="AMN173" s="575"/>
      <c r="AMO173" s="575"/>
      <c r="AMP173" s="575"/>
      <c r="AMQ173" s="575"/>
      <c r="AMR173" s="575"/>
      <c r="AMS173" s="575"/>
      <c r="AMT173" s="575"/>
      <c r="AMU173" s="575"/>
      <c r="AMV173" s="575"/>
      <c r="AMW173" s="575"/>
      <c r="AMX173" s="575"/>
      <c r="AMY173" s="575"/>
      <c r="AMZ173" s="575"/>
      <c r="ANA173" s="575"/>
      <c r="ANB173" s="575"/>
      <c r="ANC173" s="575"/>
      <c r="AND173" s="575"/>
      <c r="ANE173" s="575"/>
      <c r="ANF173" s="575"/>
      <c r="ANG173" s="575"/>
      <c r="ANH173" s="575"/>
      <c r="ANI173" s="575"/>
      <c r="ANJ173" s="575"/>
      <c r="ANK173" s="575"/>
      <c r="ANL173" s="575"/>
      <c r="ANM173" s="575"/>
      <c r="ANN173" s="575"/>
      <c r="ANO173" s="575"/>
      <c r="ANP173" s="575"/>
      <c r="ANQ173" s="575"/>
      <c r="ANR173" s="575"/>
      <c r="ANS173" s="575"/>
      <c r="ANT173" s="575"/>
      <c r="ANU173" s="575"/>
      <c r="ANV173" s="575"/>
      <c r="ANW173" s="575"/>
      <c r="ANX173" s="575"/>
      <c r="ANY173" s="575"/>
      <c r="ANZ173" s="575"/>
      <c r="AOA173" s="575"/>
      <c r="AOB173" s="575"/>
      <c r="AOC173" s="575"/>
      <c r="AOD173" s="575"/>
      <c r="AOE173" s="575"/>
      <c r="AOF173" s="575"/>
      <c r="AOG173" s="575"/>
      <c r="AOH173" s="575"/>
      <c r="AOI173" s="575"/>
      <c r="AOJ173" s="575"/>
      <c r="AOK173" s="575"/>
      <c r="AOL173" s="575"/>
      <c r="AOM173" s="575"/>
      <c r="AON173" s="575"/>
      <c r="AOO173" s="575"/>
      <c r="AOP173" s="575"/>
      <c r="AOQ173" s="575"/>
      <c r="AOR173" s="575"/>
      <c r="AOS173" s="575"/>
      <c r="AOT173" s="575"/>
      <c r="AOU173" s="575"/>
      <c r="AOV173" s="575"/>
      <c r="AOW173" s="575"/>
      <c r="AOX173" s="575"/>
      <c r="AOY173" s="575"/>
      <c r="AOZ173" s="575"/>
      <c r="APA173" s="575"/>
      <c r="APB173" s="575"/>
      <c r="APC173" s="575"/>
      <c r="APD173" s="575"/>
      <c r="APE173" s="575"/>
      <c r="APF173" s="575"/>
      <c r="APG173" s="575"/>
      <c r="APH173" s="575"/>
      <c r="API173" s="575"/>
      <c r="APJ173" s="575"/>
      <c r="APK173" s="575"/>
      <c r="APL173" s="575"/>
      <c r="APM173" s="575"/>
      <c r="APN173" s="575"/>
      <c r="APO173" s="575"/>
      <c r="APP173" s="575"/>
      <c r="APQ173" s="575"/>
      <c r="APR173" s="575"/>
      <c r="APS173" s="575"/>
      <c r="APT173" s="575"/>
      <c r="APU173" s="575"/>
      <c r="APV173" s="575"/>
      <c r="APW173" s="575"/>
      <c r="APX173" s="575"/>
      <c r="APY173" s="575"/>
      <c r="APZ173" s="575"/>
      <c r="AQA173" s="575"/>
      <c r="AQB173" s="575"/>
      <c r="AQC173" s="575"/>
      <c r="AQD173" s="575"/>
      <c r="AQE173" s="575"/>
      <c r="AQF173" s="575"/>
      <c r="AQG173" s="575"/>
      <c r="AQH173" s="575"/>
      <c r="AQI173" s="575"/>
      <c r="AQJ173" s="575"/>
      <c r="AQK173" s="575"/>
      <c r="AQL173" s="575"/>
      <c r="AQM173" s="575"/>
      <c r="AQN173" s="575"/>
      <c r="AQO173" s="575"/>
      <c r="AQP173" s="575"/>
      <c r="AQQ173" s="575"/>
      <c r="AQR173" s="575"/>
      <c r="AQS173" s="575"/>
      <c r="AQT173" s="575"/>
      <c r="AQU173" s="575"/>
      <c r="AQV173" s="575"/>
      <c r="AQW173" s="575"/>
      <c r="AQX173" s="575"/>
      <c r="AQY173" s="575"/>
      <c r="AQZ173" s="575"/>
      <c r="ARA173" s="575"/>
      <c r="ARB173" s="575"/>
      <c r="ARC173" s="575"/>
      <c r="ARD173" s="575"/>
      <c r="ARE173" s="575"/>
      <c r="ARF173" s="575"/>
      <c r="ARG173" s="575"/>
      <c r="ARH173" s="575"/>
      <c r="ARI173" s="575"/>
      <c r="ARJ173" s="575"/>
      <c r="ARK173" s="575"/>
      <c r="ARL173" s="575"/>
      <c r="ARM173" s="575"/>
      <c r="ARN173" s="575"/>
      <c r="ARO173" s="575"/>
      <c r="ARP173" s="575"/>
      <c r="ARQ173" s="575"/>
      <c r="ARR173" s="575"/>
      <c r="ARS173" s="575"/>
      <c r="ART173" s="575"/>
      <c r="ARU173" s="575"/>
      <c r="ARV173" s="575"/>
      <c r="ARW173" s="575"/>
      <c r="ARX173" s="575"/>
      <c r="ARY173" s="575"/>
      <c r="ARZ173" s="575"/>
      <c r="ASA173" s="575"/>
      <c r="ASB173" s="575"/>
      <c r="ASC173" s="575"/>
      <c r="ASD173" s="575"/>
      <c r="ASE173" s="575"/>
      <c r="ASF173" s="575"/>
      <c r="ASG173" s="575"/>
      <c r="ASH173" s="575"/>
      <c r="ASI173" s="575"/>
      <c r="ASJ173" s="575"/>
      <c r="ASK173" s="575"/>
      <c r="ASL173" s="575"/>
      <c r="ASM173" s="575"/>
      <c r="ASN173" s="575"/>
      <c r="ASO173" s="575"/>
      <c r="ASP173" s="575"/>
      <c r="ASQ173" s="575"/>
      <c r="ASR173" s="575"/>
      <c r="ASS173" s="575"/>
      <c r="AST173" s="575"/>
      <c r="ASU173" s="575"/>
      <c r="ASV173" s="575"/>
      <c r="ASW173" s="575"/>
      <c r="ASX173" s="575"/>
      <c r="ASY173" s="575"/>
      <c r="ASZ173" s="575"/>
      <c r="ATA173" s="575"/>
      <c r="ATB173" s="575"/>
      <c r="ATC173" s="575"/>
      <c r="ATD173" s="575"/>
      <c r="ATE173" s="575"/>
      <c r="ATF173" s="575"/>
      <c r="ATG173" s="575"/>
      <c r="ATH173" s="575"/>
      <c r="ATI173" s="575"/>
      <c r="ATJ173" s="575"/>
      <c r="ATK173" s="575"/>
      <c r="ATL173" s="575"/>
      <c r="ATM173" s="575"/>
      <c r="ATN173" s="575"/>
      <c r="ATO173" s="575"/>
      <c r="ATP173" s="575"/>
      <c r="ATQ173" s="575"/>
      <c r="ATR173" s="575"/>
      <c r="ATS173" s="575"/>
      <c r="ATT173" s="575"/>
      <c r="ATU173" s="575"/>
      <c r="ATV173" s="575"/>
      <c r="ATW173" s="575"/>
      <c r="ATX173" s="575"/>
      <c r="ATY173" s="575"/>
      <c r="ATZ173" s="575"/>
      <c r="AUA173" s="575"/>
      <c r="AUB173" s="575"/>
      <c r="AUC173" s="575"/>
      <c r="AUD173" s="575"/>
      <c r="AUE173" s="575"/>
      <c r="AUF173" s="575"/>
      <c r="AUG173" s="575"/>
      <c r="AUH173" s="575"/>
      <c r="AUI173" s="575"/>
      <c r="AUJ173" s="575"/>
      <c r="AUK173" s="575"/>
      <c r="AUL173" s="575"/>
      <c r="AUM173" s="575"/>
      <c r="AUN173" s="575"/>
      <c r="AUO173" s="575"/>
      <c r="AUP173" s="575"/>
      <c r="AUQ173" s="575"/>
      <c r="AUR173" s="575"/>
      <c r="AUS173" s="575"/>
      <c r="AUT173" s="575"/>
      <c r="AUU173" s="575"/>
      <c r="AUV173" s="575"/>
      <c r="AUW173" s="575"/>
      <c r="AUX173" s="575"/>
      <c r="AUY173" s="575"/>
      <c r="AUZ173" s="575"/>
      <c r="AVA173" s="575"/>
      <c r="AVB173" s="575"/>
      <c r="AVC173" s="575"/>
      <c r="AVD173" s="575"/>
      <c r="AVE173" s="575"/>
      <c r="AVF173" s="575"/>
      <c r="AVG173" s="575"/>
      <c r="AVH173" s="575"/>
      <c r="AVI173" s="575"/>
      <c r="AVJ173" s="575"/>
      <c r="AVK173" s="575"/>
      <c r="AVL173" s="575"/>
      <c r="AVM173" s="575"/>
      <c r="AVN173" s="575"/>
      <c r="AVO173" s="575"/>
      <c r="AVP173" s="575"/>
      <c r="AVQ173" s="575"/>
      <c r="AVR173" s="575"/>
      <c r="AVS173" s="575"/>
      <c r="AVT173" s="575"/>
      <c r="AVU173" s="575"/>
      <c r="AVV173" s="575"/>
      <c r="AVW173" s="575"/>
      <c r="AVX173" s="575"/>
      <c r="AVY173" s="575"/>
      <c r="AVZ173" s="575"/>
      <c r="AWA173" s="575"/>
      <c r="AWB173" s="575"/>
      <c r="AWC173" s="575"/>
      <c r="AWD173" s="575"/>
      <c r="AWE173" s="575"/>
      <c r="AWF173" s="575"/>
      <c r="AWG173" s="575"/>
      <c r="AWH173" s="575"/>
      <c r="AWI173" s="575"/>
      <c r="AWJ173" s="575"/>
      <c r="AWK173" s="575"/>
      <c r="AWL173" s="575"/>
      <c r="AWM173" s="575"/>
      <c r="AWN173" s="575"/>
      <c r="AWO173" s="575"/>
      <c r="AWP173" s="575"/>
      <c r="AWQ173" s="575"/>
      <c r="AWR173" s="575"/>
      <c r="AWS173" s="575"/>
      <c r="AWT173" s="575"/>
      <c r="AWU173" s="575"/>
      <c r="AWV173" s="575"/>
      <c r="AWW173" s="575"/>
      <c r="AWX173" s="575"/>
      <c r="AWY173" s="575"/>
      <c r="AWZ173" s="575"/>
      <c r="AXA173" s="575"/>
      <c r="AXB173" s="575"/>
      <c r="AXC173" s="575"/>
      <c r="AXD173" s="575"/>
      <c r="AXE173" s="575"/>
      <c r="AXF173" s="575"/>
      <c r="AXG173" s="575"/>
      <c r="AXH173" s="575"/>
      <c r="AXI173" s="575"/>
      <c r="AXJ173" s="575"/>
      <c r="AXK173" s="575"/>
      <c r="AXL173" s="575"/>
      <c r="AXM173" s="575"/>
      <c r="AXN173" s="575"/>
      <c r="AXO173" s="575"/>
      <c r="AXP173" s="575"/>
      <c r="AXQ173" s="575"/>
      <c r="AXR173" s="575"/>
      <c r="AXS173" s="575"/>
      <c r="AXT173" s="575"/>
      <c r="AXU173" s="575"/>
      <c r="AXV173" s="575"/>
      <c r="AXW173" s="575"/>
      <c r="AXX173" s="575"/>
      <c r="AXY173" s="575"/>
      <c r="AXZ173" s="575"/>
      <c r="AYA173" s="575"/>
      <c r="AYB173" s="575"/>
      <c r="AYC173" s="575"/>
      <c r="AYD173" s="575"/>
      <c r="AYE173" s="575"/>
      <c r="AYF173" s="575"/>
      <c r="AYG173" s="575"/>
      <c r="AYH173" s="575"/>
      <c r="AYI173" s="575"/>
      <c r="AYJ173" s="575"/>
      <c r="AYK173" s="575"/>
      <c r="AYL173" s="575"/>
      <c r="AYM173" s="575"/>
      <c r="AYN173" s="575"/>
      <c r="AYO173" s="575"/>
      <c r="AYP173" s="575"/>
      <c r="AYQ173" s="575"/>
      <c r="AYR173" s="575"/>
      <c r="AYS173" s="575"/>
      <c r="AYT173" s="575"/>
      <c r="AYU173" s="575"/>
      <c r="AYV173" s="575"/>
      <c r="AYW173" s="575"/>
      <c r="AYX173" s="575"/>
      <c r="AYY173" s="575"/>
      <c r="AYZ173" s="575"/>
      <c r="AZA173" s="575"/>
      <c r="AZB173" s="575"/>
      <c r="AZC173" s="575"/>
      <c r="AZD173" s="575"/>
      <c r="AZE173" s="575"/>
      <c r="AZF173" s="575"/>
      <c r="AZG173" s="575"/>
      <c r="AZH173" s="575"/>
      <c r="AZI173" s="575"/>
      <c r="AZJ173" s="575"/>
      <c r="AZK173" s="575"/>
      <c r="AZL173" s="575"/>
      <c r="AZM173" s="575"/>
      <c r="AZN173" s="575"/>
      <c r="AZO173" s="575"/>
      <c r="AZP173" s="575"/>
      <c r="AZQ173" s="575"/>
      <c r="AZR173" s="575"/>
      <c r="AZS173" s="575"/>
      <c r="AZT173" s="575"/>
      <c r="AZU173" s="575"/>
      <c r="AZV173" s="575"/>
      <c r="AZW173" s="575"/>
      <c r="AZX173" s="575"/>
      <c r="AZY173" s="575"/>
      <c r="AZZ173" s="575"/>
      <c r="BAA173" s="575"/>
      <c r="BAB173" s="575"/>
      <c r="BAC173" s="575"/>
      <c r="BAD173" s="575"/>
      <c r="BAE173" s="575"/>
      <c r="BAF173" s="575"/>
      <c r="BAG173" s="575"/>
      <c r="BAH173" s="575"/>
      <c r="BAI173" s="575"/>
      <c r="BAJ173" s="575"/>
      <c r="BAK173" s="575"/>
      <c r="BAL173" s="575"/>
      <c r="BAM173" s="575"/>
      <c r="BAN173" s="575"/>
      <c r="BAO173" s="575"/>
      <c r="BAP173" s="575"/>
      <c r="BAQ173" s="575"/>
      <c r="BAR173" s="575"/>
      <c r="BAS173" s="575"/>
      <c r="BAT173" s="575"/>
      <c r="BAU173" s="575"/>
      <c r="BAV173" s="575"/>
      <c r="BAW173" s="575"/>
      <c r="BAX173" s="575"/>
      <c r="BAY173" s="575"/>
      <c r="BAZ173" s="575"/>
      <c r="BBA173" s="575"/>
      <c r="BBB173" s="575"/>
      <c r="BBC173" s="575"/>
      <c r="BBD173" s="575"/>
      <c r="BBE173" s="575"/>
      <c r="BBF173" s="575"/>
      <c r="BBG173" s="575"/>
      <c r="BBH173" s="575"/>
      <c r="BBI173" s="575"/>
      <c r="BBJ173" s="575"/>
      <c r="BBK173" s="575"/>
      <c r="BBL173" s="575"/>
      <c r="BBM173" s="575"/>
      <c r="BBN173" s="575"/>
      <c r="BBO173" s="575"/>
      <c r="BBP173" s="575"/>
      <c r="BBQ173" s="575"/>
      <c r="BBR173" s="575"/>
      <c r="BBS173" s="575"/>
      <c r="BBT173" s="575"/>
      <c r="BBU173" s="575"/>
      <c r="BBV173" s="575"/>
      <c r="BBW173" s="575"/>
      <c r="BBX173" s="575"/>
      <c r="BBY173" s="575"/>
      <c r="BBZ173" s="575"/>
      <c r="BCA173" s="575"/>
      <c r="BCB173" s="575"/>
      <c r="BCC173" s="575"/>
      <c r="BCD173" s="575"/>
      <c r="BCE173" s="575"/>
      <c r="BCF173" s="575"/>
      <c r="BCG173" s="575"/>
      <c r="BCH173" s="575"/>
      <c r="BCI173" s="575"/>
      <c r="BCJ173" s="575"/>
      <c r="BCK173" s="575"/>
      <c r="BCL173" s="575"/>
      <c r="BCM173" s="575"/>
      <c r="BCN173" s="575"/>
      <c r="BCO173" s="575"/>
      <c r="BCP173" s="575"/>
      <c r="BCQ173" s="575"/>
      <c r="BCR173" s="575"/>
      <c r="BCS173" s="575"/>
      <c r="BCT173" s="575"/>
      <c r="BCU173" s="575"/>
      <c r="BCV173" s="575"/>
      <c r="BCW173" s="575"/>
      <c r="BCX173" s="575"/>
      <c r="BCY173" s="575"/>
      <c r="BCZ173" s="575"/>
      <c r="BDA173" s="575"/>
      <c r="BDB173" s="575"/>
      <c r="BDC173" s="575"/>
      <c r="BDD173" s="575"/>
      <c r="BDE173" s="575"/>
      <c r="BDF173" s="575"/>
      <c r="BDG173" s="575"/>
      <c r="BDH173" s="575"/>
      <c r="BDI173" s="575"/>
      <c r="BDJ173" s="575"/>
      <c r="BDK173" s="575"/>
      <c r="BDL173" s="575"/>
      <c r="BDM173" s="575"/>
      <c r="BDN173" s="575"/>
      <c r="BDO173" s="575"/>
      <c r="BDP173" s="575"/>
      <c r="BDQ173" s="575"/>
      <c r="BDR173" s="575"/>
      <c r="BDS173" s="575"/>
      <c r="BDT173" s="575"/>
    </row>
    <row r="174" spans="1:1476" x14ac:dyDescent="0.25">
      <c r="A174" s="608">
        <v>5703</v>
      </c>
      <c r="B174" s="609" t="s">
        <v>99</v>
      </c>
      <c r="C174" s="610">
        <v>3673051.02</v>
      </c>
      <c r="D174" s="610">
        <v>506795.29</v>
      </c>
      <c r="E174" s="610"/>
      <c r="F174" s="611"/>
      <c r="G174" s="610">
        <v>46013.15</v>
      </c>
      <c r="H174" s="610">
        <v>1184.4000000000001</v>
      </c>
      <c r="I174" s="610"/>
      <c r="J174" s="610">
        <v>182230.27</v>
      </c>
      <c r="K174" s="610">
        <v>250.75</v>
      </c>
      <c r="L174" s="610">
        <v>482086.55</v>
      </c>
      <c r="M174" s="434">
        <f t="shared" si="8"/>
        <v>4891611.43</v>
      </c>
      <c r="N174" s="612">
        <v>43670.25</v>
      </c>
      <c r="O174" s="612">
        <v>42179.1</v>
      </c>
      <c r="P174" s="612">
        <v>260580.45</v>
      </c>
      <c r="Q174" s="612">
        <v>4661.6099999999997</v>
      </c>
      <c r="R174" s="612">
        <v>149753.20000000001</v>
      </c>
      <c r="S174" s="610">
        <v>4932.3900000000003</v>
      </c>
      <c r="T174" s="543">
        <f t="shared" si="9"/>
        <v>5397388.4299999997</v>
      </c>
      <c r="U174" s="575">
        <v>-17221.099999999999</v>
      </c>
      <c r="V174" s="612"/>
      <c r="W174" s="612">
        <v>-1754.91</v>
      </c>
      <c r="X174" s="624">
        <v>72.5</v>
      </c>
      <c r="Y174" s="631">
        <v>1.4</v>
      </c>
      <c r="Z174" s="628">
        <f>VLOOKUP(A174,'[2]2022 toutes communes'!$B$9:$D$317,3,FALSE)</f>
        <v>1478</v>
      </c>
      <c r="AA174" s="617"/>
      <c r="AB174" s="618"/>
      <c r="AC174" s="547">
        <f>AB174/VPI!R174</f>
        <v>0</v>
      </c>
      <c r="AD174" s="548">
        <f t="shared" si="10"/>
        <v>0</v>
      </c>
      <c r="AE174" s="547">
        <f>AD174/VPI!R174</f>
        <v>0</v>
      </c>
      <c r="AF174" s="618"/>
      <c r="AG174" s="618"/>
      <c r="AH174" s="618"/>
      <c r="AI174" s="637"/>
      <c r="AJ174" s="628"/>
      <c r="AK174" s="547">
        <f>AJ174/VPI!R174</f>
        <v>0</v>
      </c>
      <c r="AL174" s="548">
        <f t="shared" si="11"/>
        <v>0</v>
      </c>
      <c r="AM174" s="547">
        <f>AL174/VPI!R174</f>
        <v>0</v>
      </c>
      <c r="AN174" s="628"/>
      <c r="AO174" s="637"/>
      <c r="AP174" s="629">
        <v>24.81736067408449</v>
      </c>
      <c r="AR174" s="630">
        <v>0</v>
      </c>
    </row>
    <row r="175" spans="1:1476" x14ac:dyDescent="0.25">
      <c r="A175" s="608">
        <v>5704</v>
      </c>
      <c r="B175" s="609" t="s">
        <v>195</v>
      </c>
      <c r="C175" s="610">
        <v>5387686.04</v>
      </c>
      <c r="D175" s="610">
        <v>1830590.67</v>
      </c>
      <c r="E175" s="610"/>
      <c r="F175" s="611"/>
      <c r="G175" s="610">
        <v>-25930.45</v>
      </c>
      <c r="H175" s="610">
        <v>3973.95</v>
      </c>
      <c r="I175" s="610">
        <v>259453.95</v>
      </c>
      <c r="J175" s="610">
        <v>107342.65</v>
      </c>
      <c r="K175" s="610">
        <v>21403.05</v>
      </c>
      <c r="L175" s="610">
        <v>818307.8</v>
      </c>
      <c r="M175" s="434">
        <f t="shared" si="8"/>
        <v>8402827.6600000001</v>
      </c>
      <c r="N175" s="612">
        <v>16362.45</v>
      </c>
      <c r="O175" s="612">
        <v>1453992.8</v>
      </c>
      <c r="P175" s="612">
        <v>589700.5</v>
      </c>
      <c r="Q175" s="612">
        <v>550.91999999999996</v>
      </c>
      <c r="R175" s="612">
        <v>577515.80000000005</v>
      </c>
      <c r="S175" s="610">
        <v>-2294.5700000000002</v>
      </c>
      <c r="T175" s="543">
        <f t="shared" si="9"/>
        <v>11038655.560000001</v>
      </c>
      <c r="U175" s="575">
        <v>-12433.37</v>
      </c>
      <c r="V175" s="612"/>
      <c r="W175" s="612">
        <v>-7754.07</v>
      </c>
      <c r="X175" s="624">
        <v>62.5</v>
      </c>
      <c r="Y175" s="631">
        <v>1.5</v>
      </c>
      <c r="Z175" s="628">
        <f>VLOOKUP(A175,'[2]2022 toutes communes'!$B$9:$D$317,3,FALSE)</f>
        <v>1938</v>
      </c>
      <c r="AA175" s="617"/>
      <c r="AB175" s="618">
        <v>247268</v>
      </c>
      <c r="AC175" s="547">
        <f>AB175/VPI!R175</f>
        <v>1.9060196543345591</v>
      </c>
      <c r="AD175" s="548">
        <f t="shared" si="10"/>
        <v>498903</v>
      </c>
      <c r="AE175" s="547">
        <f>AD175/VPI!R175</f>
        <v>3.8457015206434901</v>
      </c>
      <c r="AF175" s="618">
        <v>746171</v>
      </c>
      <c r="AG175" s="618">
        <v>99324</v>
      </c>
      <c r="AH175" s="618">
        <v>178303</v>
      </c>
      <c r="AI175" s="637"/>
      <c r="AJ175" s="628">
        <v>0</v>
      </c>
      <c r="AK175" s="547">
        <f>AJ175/VPI!R175</f>
        <v>0</v>
      </c>
      <c r="AL175" s="548">
        <f t="shared" si="11"/>
        <v>36244</v>
      </c>
      <c r="AM175" s="547">
        <f>AL175/VPI!R175</f>
        <v>0.2793801719256101</v>
      </c>
      <c r="AN175" s="628">
        <v>36244</v>
      </c>
      <c r="AO175" s="637"/>
      <c r="AP175" s="629">
        <v>40.422784337461025</v>
      </c>
      <c r="AR175" s="630">
        <v>0</v>
      </c>
    </row>
    <row r="176" spans="1:1476" x14ac:dyDescent="0.25">
      <c r="A176" s="608">
        <v>5705</v>
      </c>
      <c r="B176" s="609" t="s">
        <v>196</v>
      </c>
      <c r="C176" s="610">
        <v>2968645.55</v>
      </c>
      <c r="D176" s="610">
        <v>463052.97</v>
      </c>
      <c r="E176" s="610"/>
      <c r="F176" s="611"/>
      <c r="G176" s="610">
        <v>40875.449999999997</v>
      </c>
      <c r="H176" s="610">
        <v>8309.1</v>
      </c>
      <c r="I176" s="610">
        <v>40643.15</v>
      </c>
      <c r="J176" s="610">
        <v>55908.49</v>
      </c>
      <c r="K176" s="610">
        <v>3484.75</v>
      </c>
      <c r="L176" s="610">
        <v>238427.2</v>
      </c>
      <c r="M176" s="434">
        <f t="shared" si="8"/>
        <v>3819346.66</v>
      </c>
      <c r="N176" s="612">
        <v>50994.15</v>
      </c>
      <c r="O176" s="612">
        <v>9306</v>
      </c>
      <c r="P176" s="612">
        <v>284952.8</v>
      </c>
      <c r="Q176" s="612">
        <v>573.07000000000005</v>
      </c>
      <c r="R176" s="612">
        <v>368957.2</v>
      </c>
      <c r="S176" s="610">
        <v>5140.04</v>
      </c>
      <c r="T176" s="543">
        <f t="shared" si="9"/>
        <v>4539269.92</v>
      </c>
      <c r="U176" s="575">
        <v>-16935.310000000001</v>
      </c>
      <c r="V176" s="612"/>
      <c r="W176" s="612">
        <v>-5341.23</v>
      </c>
      <c r="X176" s="624">
        <v>74.5</v>
      </c>
      <c r="Y176" s="631">
        <v>1</v>
      </c>
      <c r="Z176" s="628">
        <f>VLOOKUP(A176,'[2]2022 toutes communes'!$B$9:$D$317,3,FALSE)</f>
        <v>923</v>
      </c>
      <c r="AA176" s="617"/>
      <c r="AB176" s="618"/>
      <c r="AC176" s="547">
        <f>AB176/VPI!R176</f>
        <v>0</v>
      </c>
      <c r="AD176" s="548">
        <f t="shared" si="10"/>
        <v>0</v>
      </c>
      <c r="AE176" s="547">
        <f>AD176/VPI!R176</f>
        <v>0</v>
      </c>
      <c r="AF176" s="618"/>
      <c r="AG176" s="618"/>
      <c r="AH176" s="618"/>
      <c r="AI176" s="637"/>
      <c r="AJ176" s="628"/>
      <c r="AK176" s="547">
        <f>AJ176/VPI!R176</f>
        <v>0</v>
      </c>
      <c r="AL176" s="548">
        <f t="shared" si="11"/>
        <v>0</v>
      </c>
      <c r="AM176" s="547">
        <f>AL176/VPI!R176</f>
        <v>0</v>
      </c>
      <c r="AN176" s="628"/>
      <c r="AO176" s="637"/>
      <c r="AP176" s="629">
        <v>31.351349142717599</v>
      </c>
      <c r="AR176" s="630">
        <v>0</v>
      </c>
    </row>
    <row r="177" spans="1:1476" x14ac:dyDescent="0.25">
      <c r="A177" s="608">
        <v>5706</v>
      </c>
      <c r="B177" s="609" t="s">
        <v>197</v>
      </c>
      <c r="C177" s="610">
        <v>7368348.4699999997</v>
      </c>
      <c r="D177" s="610">
        <v>1196440.28</v>
      </c>
      <c r="E177" s="610"/>
      <c r="F177" s="611"/>
      <c r="G177" s="610">
        <v>24463.1</v>
      </c>
      <c r="H177" s="610">
        <v>4411</v>
      </c>
      <c r="I177" s="610">
        <v>44894.05</v>
      </c>
      <c r="J177" s="610">
        <v>26641.87</v>
      </c>
      <c r="K177" s="610">
        <v>10637.7</v>
      </c>
      <c r="L177" s="610">
        <v>438367.2</v>
      </c>
      <c r="M177" s="434">
        <f t="shared" si="8"/>
        <v>9114203.6699999981</v>
      </c>
      <c r="N177" s="612">
        <v>9334.2000000000007</v>
      </c>
      <c r="O177" s="612">
        <v>75135.199999999997</v>
      </c>
      <c r="P177" s="612">
        <v>216715.4</v>
      </c>
      <c r="Q177" s="612"/>
      <c r="R177" s="612">
        <v>97050.7</v>
      </c>
      <c r="S177" s="610">
        <v>3017.49</v>
      </c>
      <c r="T177" s="543">
        <f t="shared" si="9"/>
        <v>9515456.6599999964</v>
      </c>
      <c r="U177" s="575">
        <v>-17075.64</v>
      </c>
      <c r="V177" s="612"/>
      <c r="W177" s="612">
        <v>-13118.28</v>
      </c>
      <c r="X177" s="624">
        <v>57</v>
      </c>
      <c r="Y177" s="631">
        <v>1.5</v>
      </c>
      <c r="Z177" s="628">
        <f>VLOOKUP(A177,'[2]2022 toutes communes'!$B$9:$D$317,3,FALSE)</f>
        <v>1131</v>
      </c>
      <c r="AA177" s="617"/>
      <c r="AB177" s="618"/>
      <c r="AC177" s="547">
        <f>AB177/VPI!R177</f>
        <v>0</v>
      </c>
      <c r="AD177" s="548">
        <f t="shared" si="10"/>
        <v>0</v>
      </c>
      <c r="AE177" s="547">
        <f>AD177/VPI!R177</f>
        <v>0</v>
      </c>
      <c r="AF177" s="618"/>
      <c r="AG177" s="618"/>
      <c r="AH177" s="618"/>
      <c r="AI177" s="637"/>
      <c r="AJ177" s="628"/>
      <c r="AK177" s="547">
        <f>AJ177/VPI!R177</f>
        <v>0</v>
      </c>
      <c r="AL177" s="548">
        <f t="shared" si="11"/>
        <v>0</v>
      </c>
      <c r="AM177" s="547">
        <f>AL177/VPI!R177</f>
        <v>0</v>
      </c>
      <c r="AN177" s="628"/>
      <c r="AO177" s="637"/>
      <c r="AP177" s="629">
        <v>30.949683807793424</v>
      </c>
      <c r="AR177" s="630">
        <v>0</v>
      </c>
    </row>
    <row r="178" spans="1:1476" x14ac:dyDescent="0.25">
      <c r="A178" s="608">
        <v>5707</v>
      </c>
      <c r="B178" s="609" t="s">
        <v>198</v>
      </c>
      <c r="C178" s="610">
        <v>3234382.12</v>
      </c>
      <c r="D178" s="610">
        <v>488573.77</v>
      </c>
      <c r="E178" s="610"/>
      <c r="F178" s="611"/>
      <c r="G178" s="610">
        <v>588093.5</v>
      </c>
      <c r="H178" s="610">
        <v>11720.55</v>
      </c>
      <c r="I178" s="610">
        <v>31747.15</v>
      </c>
      <c r="J178" s="610">
        <v>68265.009999999995</v>
      </c>
      <c r="K178" s="610">
        <v>69453.600000000006</v>
      </c>
      <c r="L178" s="610">
        <v>743914.55</v>
      </c>
      <c r="M178" s="434">
        <f t="shared" si="8"/>
        <v>5236150.25</v>
      </c>
      <c r="N178" s="612">
        <v>677002.4</v>
      </c>
      <c r="O178" s="612">
        <v>10593</v>
      </c>
      <c r="P178" s="612">
        <v>318330.84999999998</v>
      </c>
      <c r="Q178" s="612">
        <v>2803.59</v>
      </c>
      <c r="R178" s="612">
        <v>319335.5</v>
      </c>
      <c r="S178" s="610">
        <v>62683.65</v>
      </c>
      <c r="T178" s="543">
        <f t="shared" si="9"/>
        <v>6626899.2400000002</v>
      </c>
      <c r="U178" s="575">
        <v>-14652.23</v>
      </c>
      <c r="V178" s="612"/>
      <c r="W178" s="612">
        <v>-4370.3100000000004</v>
      </c>
      <c r="X178" s="624">
        <v>58</v>
      </c>
      <c r="Y178" s="631">
        <v>1.5</v>
      </c>
      <c r="Z178" s="628">
        <f>VLOOKUP(A178,'[2]2022 toutes communes'!$B$9:$D$317,3,FALSE)</f>
        <v>1314</v>
      </c>
      <c r="AA178" s="617"/>
      <c r="AB178" s="618"/>
      <c r="AC178" s="547">
        <f>AB178/VPI!R178</f>
        <v>0</v>
      </c>
      <c r="AD178" s="548">
        <f t="shared" si="10"/>
        <v>0</v>
      </c>
      <c r="AE178" s="547">
        <f>AD178/VPI!R178</f>
        <v>0</v>
      </c>
      <c r="AF178" s="618"/>
      <c r="AG178" s="618"/>
      <c r="AH178" s="618"/>
      <c r="AI178" s="637"/>
      <c r="AJ178" s="628"/>
      <c r="AK178" s="547">
        <f>AJ178/VPI!R178</f>
        <v>0</v>
      </c>
      <c r="AL178" s="548">
        <f t="shared" si="11"/>
        <v>0</v>
      </c>
      <c r="AM178" s="547">
        <f>AL178/VPI!R178</f>
        <v>0</v>
      </c>
      <c r="AN178" s="628"/>
      <c r="AO178" s="637"/>
      <c r="AP178" s="629">
        <v>31.953930542812945</v>
      </c>
      <c r="AR178" s="630">
        <v>0</v>
      </c>
    </row>
    <row r="179" spans="1:1476" x14ac:dyDescent="0.25">
      <c r="A179" s="608">
        <v>5708</v>
      </c>
      <c r="B179" s="609" t="s">
        <v>199</v>
      </c>
      <c r="C179" s="610">
        <v>3538264.84</v>
      </c>
      <c r="D179" s="610">
        <v>813957.27</v>
      </c>
      <c r="E179" s="610"/>
      <c r="F179" s="611"/>
      <c r="G179" s="610">
        <v>98169.2</v>
      </c>
      <c r="H179" s="610">
        <v>1045.55</v>
      </c>
      <c r="I179" s="610"/>
      <c r="J179" s="610">
        <v>39265.82</v>
      </c>
      <c r="K179" s="610">
        <v>12314.3</v>
      </c>
      <c r="L179" s="610">
        <v>444268.79999999999</v>
      </c>
      <c r="M179" s="434">
        <f t="shared" si="8"/>
        <v>4947285.7799999993</v>
      </c>
      <c r="N179" s="612">
        <v>14254.75</v>
      </c>
      <c r="O179" s="612">
        <v>7563.2</v>
      </c>
      <c r="P179" s="612">
        <v>164658.20000000001</v>
      </c>
      <c r="Q179" s="612"/>
      <c r="R179" s="612">
        <v>67084.7</v>
      </c>
      <c r="S179" s="610">
        <v>10368.450000000001</v>
      </c>
      <c r="T179" s="543">
        <f t="shared" si="9"/>
        <v>5211215.08</v>
      </c>
      <c r="U179" s="575">
        <v>-116497.4</v>
      </c>
      <c r="V179" s="612"/>
      <c r="W179" s="612">
        <v>-14207.44</v>
      </c>
      <c r="X179" s="624">
        <v>68</v>
      </c>
      <c r="Y179" s="631">
        <v>1.5</v>
      </c>
      <c r="Z179" s="628">
        <f>VLOOKUP(A179,'[2]2022 toutes communes'!$B$9:$D$317,3,FALSE)</f>
        <v>1019</v>
      </c>
      <c r="AA179" s="617"/>
      <c r="AB179" s="618"/>
      <c r="AC179" s="547">
        <f>AB179/VPI!R179</f>
        <v>0</v>
      </c>
      <c r="AD179" s="548">
        <f t="shared" si="10"/>
        <v>0</v>
      </c>
      <c r="AE179" s="547">
        <f>AD179/VPI!R179</f>
        <v>0</v>
      </c>
      <c r="AF179" s="618"/>
      <c r="AG179" s="618"/>
      <c r="AH179" s="618"/>
      <c r="AI179" s="637"/>
      <c r="AJ179" s="628"/>
      <c r="AK179" s="547">
        <f>AJ179/VPI!R179</f>
        <v>0</v>
      </c>
      <c r="AL179" s="548">
        <f t="shared" si="11"/>
        <v>0</v>
      </c>
      <c r="AM179" s="547">
        <f>AL179/VPI!R179</f>
        <v>0</v>
      </c>
      <c r="AN179" s="628"/>
      <c r="AO179" s="637"/>
      <c r="AP179" s="629">
        <v>33.56930142890549</v>
      </c>
      <c r="AR179" s="630">
        <v>0</v>
      </c>
    </row>
    <row r="180" spans="1:1476" x14ac:dyDescent="0.25">
      <c r="A180" s="608">
        <v>5709</v>
      </c>
      <c r="B180" s="609" t="s">
        <v>200</v>
      </c>
      <c r="C180" s="610">
        <v>3807959.94</v>
      </c>
      <c r="D180" s="610">
        <v>254197.93</v>
      </c>
      <c r="E180" s="610"/>
      <c r="F180" s="611"/>
      <c r="G180" s="610">
        <v>16479.400000000001</v>
      </c>
      <c r="H180" s="610">
        <v>12819.65</v>
      </c>
      <c r="I180" s="610">
        <v>572271.35</v>
      </c>
      <c r="J180" s="610">
        <v>126473.49</v>
      </c>
      <c r="K180" s="610">
        <v>6559.15</v>
      </c>
      <c r="L180" s="610">
        <v>399004.85</v>
      </c>
      <c r="M180" s="434">
        <f t="shared" si="8"/>
        <v>5195765.7599999998</v>
      </c>
      <c r="N180" s="612">
        <v>56721.8</v>
      </c>
      <c r="O180" s="612">
        <v>64875</v>
      </c>
      <c r="P180" s="612">
        <v>265340.45</v>
      </c>
      <c r="Q180" s="612">
        <v>2596.36</v>
      </c>
      <c r="R180" s="612">
        <v>207669.15</v>
      </c>
      <c r="S180" s="610">
        <v>3061.9</v>
      </c>
      <c r="T180" s="543">
        <f t="shared" si="9"/>
        <v>5796030.4200000009</v>
      </c>
      <c r="U180" s="575">
        <v>-12340.81</v>
      </c>
      <c r="V180" s="612"/>
      <c r="W180" s="612">
        <v>-3016.02</v>
      </c>
      <c r="X180" s="624">
        <v>57</v>
      </c>
      <c r="Y180" s="631">
        <v>1</v>
      </c>
      <c r="Z180" s="628">
        <f>VLOOKUP(A180,'[2]2022 toutes communes'!$B$9:$D$317,3,FALSE)</f>
        <v>1251</v>
      </c>
      <c r="AA180" s="617"/>
      <c r="AB180" s="618">
        <v>143477</v>
      </c>
      <c r="AC180" s="547">
        <f>AB180/VPI!R180</f>
        <v>1.5769539229591041</v>
      </c>
      <c r="AD180" s="548">
        <f t="shared" si="10"/>
        <v>114208</v>
      </c>
      <c r="AE180" s="547">
        <f>AD180/VPI!R180</f>
        <v>1.2552587078996171</v>
      </c>
      <c r="AF180" s="618">
        <v>257685</v>
      </c>
      <c r="AG180" s="618">
        <v>64630</v>
      </c>
      <c r="AH180" s="618">
        <v>147118</v>
      </c>
      <c r="AI180" s="637"/>
      <c r="AJ180" s="628"/>
      <c r="AK180" s="547">
        <f>AJ180/VPI!R180</f>
        <v>0</v>
      </c>
      <c r="AL180" s="548">
        <f t="shared" si="11"/>
        <v>65838</v>
      </c>
      <c r="AM180" s="547">
        <f>AL180/VPI!R180</f>
        <v>0.72362463934833798</v>
      </c>
      <c r="AN180" s="628">
        <v>65838</v>
      </c>
      <c r="AO180" s="637"/>
      <c r="AP180" s="629">
        <v>32.880538137603345</v>
      </c>
      <c r="AR180" s="630">
        <v>0</v>
      </c>
    </row>
    <row r="181" spans="1:1476" x14ac:dyDescent="0.25">
      <c r="A181" s="608">
        <v>5710</v>
      </c>
      <c r="B181" s="609" t="s">
        <v>201</v>
      </c>
      <c r="C181" s="610">
        <v>1067199.48</v>
      </c>
      <c r="D181" s="610">
        <v>208128.88</v>
      </c>
      <c r="E181" s="610"/>
      <c r="F181" s="611"/>
      <c r="G181" s="610">
        <v>159934.75</v>
      </c>
      <c r="H181" s="610">
        <v>4697.05</v>
      </c>
      <c r="I181" s="610">
        <v>110957.8</v>
      </c>
      <c r="J181" s="610">
        <v>11943.66</v>
      </c>
      <c r="K181" s="610">
        <v>3534.45</v>
      </c>
      <c r="L181" s="610">
        <v>134861.79999999999</v>
      </c>
      <c r="M181" s="434">
        <f t="shared" si="8"/>
        <v>1701257.8699999999</v>
      </c>
      <c r="N181" s="612">
        <v>42380.65</v>
      </c>
      <c r="O181" s="612"/>
      <c r="P181" s="612">
        <v>134985.65</v>
      </c>
      <c r="Q181" s="612">
        <v>5617.59</v>
      </c>
      <c r="R181" s="612">
        <v>54907.55</v>
      </c>
      <c r="S181" s="610">
        <v>17204.87</v>
      </c>
      <c r="T181" s="543">
        <f t="shared" si="9"/>
        <v>1956354.18</v>
      </c>
      <c r="U181" s="575">
        <v>-6007.97</v>
      </c>
      <c r="V181" s="612"/>
      <c r="W181" s="612">
        <v>-7040.39</v>
      </c>
      <c r="X181" s="624">
        <v>51</v>
      </c>
      <c r="Y181" s="631">
        <v>1</v>
      </c>
      <c r="Z181" s="628">
        <f>VLOOKUP(A181,'[2]2022 toutes communes'!$B$9:$D$317,3,FALSE)</f>
        <v>499</v>
      </c>
      <c r="AA181" s="617"/>
      <c r="AB181" s="618">
        <v>0</v>
      </c>
      <c r="AC181" s="547">
        <f>AB181/VPI!R181</f>
        <v>0</v>
      </c>
      <c r="AD181" s="548">
        <f t="shared" si="10"/>
        <v>98587</v>
      </c>
      <c r="AE181" s="547">
        <f>AD181/VPI!R181</f>
        <v>2.938540651581163</v>
      </c>
      <c r="AF181" s="618">
        <v>98587</v>
      </c>
      <c r="AG181" s="618">
        <v>25995</v>
      </c>
      <c r="AH181" s="618">
        <v>45360</v>
      </c>
      <c r="AI181" s="637"/>
      <c r="AJ181" s="628">
        <v>0</v>
      </c>
      <c r="AK181" s="547">
        <f>AJ181/VPI!R181</f>
        <v>0</v>
      </c>
      <c r="AL181" s="548">
        <f t="shared" si="11"/>
        <v>3155</v>
      </c>
      <c r="AM181" s="547">
        <f>AL181/VPI!R181</f>
        <v>9.4039739070451156E-2</v>
      </c>
      <c r="AN181" s="628">
        <v>3155</v>
      </c>
      <c r="AO181" s="637"/>
      <c r="AP181" s="629">
        <v>36.218506905666679</v>
      </c>
      <c r="AR181" s="630">
        <v>0</v>
      </c>
    </row>
    <row r="182" spans="1:1476" x14ac:dyDescent="0.25">
      <c r="A182" s="608">
        <v>5711</v>
      </c>
      <c r="B182" s="609" t="s">
        <v>202</v>
      </c>
      <c r="C182" s="610">
        <v>13338996.949999999</v>
      </c>
      <c r="D182" s="610">
        <v>2802778.37</v>
      </c>
      <c r="E182" s="610"/>
      <c r="F182" s="611"/>
      <c r="G182" s="610">
        <v>48894.400000000001</v>
      </c>
      <c r="H182" s="610">
        <v>12501.8</v>
      </c>
      <c r="I182" s="610">
        <v>209185.35</v>
      </c>
      <c r="J182" s="610">
        <v>40295.019999999997</v>
      </c>
      <c r="K182" s="610">
        <v>18240.3</v>
      </c>
      <c r="L182" s="610">
        <v>1274038.5</v>
      </c>
      <c r="M182" s="434">
        <f t="shared" si="8"/>
        <v>17744930.690000001</v>
      </c>
      <c r="N182" s="612">
        <v>27324.400000000001</v>
      </c>
      <c r="O182" s="612"/>
      <c r="P182" s="612">
        <v>1125448.45</v>
      </c>
      <c r="Q182" s="612"/>
      <c r="R182" s="612">
        <v>1238976.95</v>
      </c>
      <c r="S182" s="610">
        <v>6416.22</v>
      </c>
      <c r="T182" s="543">
        <f t="shared" si="9"/>
        <v>20143096.709999997</v>
      </c>
      <c r="U182" s="575">
        <v>-20130.099999999999</v>
      </c>
      <c r="V182" s="612"/>
      <c r="W182" s="612">
        <v>-25925.59</v>
      </c>
      <c r="X182" s="624">
        <v>57</v>
      </c>
      <c r="Y182" s="631">
        <v>1.3</v>
      </c>
      <c r="Z182" s="628">
        <f>VLOOKUP(A182,'[2]2022 toutes communes'!$B$9:$D$317,3,FALSE)</f>
        <v>2983</v>
      </c>
      <c r="AA182" s="617"/>
      <c r="AB182" s="618"/>
      <c r="AC182" s="547">
        <f>AB182/VPI!R182</f>
        <v>0</v>
      </c>
      <c r="AD182" s="548">
        <f t="shared" si="10"/>
        <v>0</v>
      </c>
      <c r="AE182" s="547">
        <f>AD182/VPI!R182</f>
        <v>0</v>
      </c>
      <c r="AF182" s="618"/>
      <c r="AG182" s="618"/>
      <c r="AH182" s="618"/>
      <c r="AI182" s="637"/>
      <c r="AJ182" s="628"/>
      <c r="AK182" s="547">
        <f>AJ182/VPI!R182</f>
        <v>0</v>
      </c>
      <c r="AL182" s="548">
        <f t="shared" si="11"/>
        <v>0</v>
      </c>
      <c r="AM182" s="547">
        <f>AL182/VPI!R182</f>
        <v>0</v>
      </c>
      <c r="AN182" s="628"/>
      <c r="AO182" s="637"/>
      <c r="AP182" s="629">
        <v>36.9412331537659</v>
      </c>
      <c r="AR182" s="630">
        <v>0</v>
      </c>
    </row>
    <row r="183" spans="1:1476" x14ac:dyDescent="0.25">
      <c r="A183" s="608">
        <v>5712</v>
      </c>
      <c r="B183" s="609" t="s">
        <v>203</v>
      </c>
      <c r="C183" s="610">
        <v>13756833.5</v>
      </c>
      <c r="D183" s="610">
        <v>5616364.3600000003</v>
      </c>
      <c r="E183" s="610"/>
      <c r="F183" s="611"/>
      <c r="G183" s="610">
        <v>366036.45</v>
      </c>
      <c r="H183" s="610">
        <v>31657</v>
      </c>
      <c r="I183" s="610">
        <v>1297891.26</v>
      </c>
      <c r="J183" s="610">
        <v>104926.78</v>
      </c>
      <c r="K183" s="610">
        <v>40505.5</v>
      </c>
      <c r="L183" s="610">
        <v>1843404.65</v>
      </c>
      <c r="M183" s="434">
        <f t="shared" si="8"/>
        <v>23057619.5</v>
      </c>
      <c r="N183" s="612">
        <v>171358.1</v>
      </c>
      <c r="O183" s="612">
        <v>993524.4</v>
      </c>
      <c r="P183" s="612">
        <v>1161553.3500000001</v>
      </c>
      <c r="Q183" s="612">
        <v>747.53</v>
      </c>
      <c r="R183" s="612">
        <v>785030.8</v>
      </c>
      <c r="S183" s="610">
        <v>41561.01</v>
      </c>
      <c r="T183" s="543">
        <f t="shared" si="9"/>
        <v>26211394.690000005</v>
      </c>
      <c r="U183" s="575">
        <v>-28182.14</v>
      </c>
      <c r="V183" s="612"/>
      <c r="W183" s="612">
        <v>-49800.53</v>
      </c>
      <c r="X183" s="624">
        <v>53</v>
      </c>
      <c r="Y183" s="631">
        <v>1.5</v>
      </c>
      <c r="Z183" s="628">
        <f>VLOOKUP(A183,'[2]2022 toutes communes'!$B$9:$D$317,3,FALSE)</f>
        <v>3184</v>
      </c>
      <c r="AA183" s="617"/>
      <c r="AB183" s="618">
        <v>365150</v>
      </c>
      <c r="AC183" s="547">
        <f>AB183/VPI!R183</f>
        <v>0.86368268357783673</v>
      </c>
      <c r="AD183" s="548">
        <f t="shared" si="10"/>
        <v>473473</v>
      </c>
      <c r="AE183" s="547">
        <f>AD183/VPI!R183</f>
        <v>1.1198971141767742</v>
      </c>
      <c r="AF183" s="618">
        <v>838623</v>
      </c>
      <c r="AG183" s="618">
        <v>273854</v>
      </c>
      <c r="AH183" s="618">
        <v>218220</v>
      </c>
      <c r="AI183" s="637"/>
      <c r="AJ183" s="628">
        <v>0</v>
      </c>
      <c r="AK183" s="547">
        <f>AJ183/VPI!R183</f>
        <v>0</v>
      </c>
      <c r="AL183" s="548">
        <f t="shared" si="11"/>
        <v>0</v>
      </c>
      <c r="AM183" s="547">
        <f>AL183/VPI!R183</f>
        <v>0</v>
      </c>
      <c r="AN183" s="628">
        <v>0</v>
      </c>
      <c r="AO183" s="637"/>
      <c r="AP183" s="629">
        <v>38.037232224813991</v>
      </c>
      <c r="AR183" s="630">
        <v>0</v>
      </c>
    </row>
    <row r="184" spans="1:1476" x14ac:dyDescent="0.25">
      <c r="A184" s="608">
        <v>5713</v>
      </c>
      <c r="B184" s="609" t="s">
        <v>554</v>
      </c>
      <c r="C184" s="610">
        <v>10159833.470000001</v>
      </c>
      <c r="D184" s="610">
        <v>4650634.74</v>
      </c>
      <c r="E184" s="610"/>
      <c r="F184" s="611"/>
      <c r="G184" s="610">
        <v>41149.1</v>
      </c>
      <c r="H184" s="610">
        <v>22635.4</v>
      </c>
      <c r="I184" s="610">
        <v>736044.95</v>
      </c>
      <c r="J184" s="610">
        <v>310875.25</v>
      </c>
      <c r="K184" s="610">
        <v>23710.65</v>
      </c>
      <c r="L184" s="610">
        <v>900695.9</v>
      </c>
      <c r="M184" s="434">
        <f t="shared" si="8"/>
        <v>16845579.460000001</v>
      </c>
      <c r="N184" s="612">
        <v>38257.35</v>
      </c>
      <c r="O184" s="612">
        <v>200464.8</v>
      </c>
      <c r="P184" s="612">
        <v>737540.45</v>
      </c>
      <c r="Q184" s="612"/>
      <c r="R184" s="612">
        <v>731442.85</v>
      </c>
      <c r="S184" s="610">
        <v>6665.81</v>
      </c>
      <c r="T184" s="543">
        <f t="shared" si="9"/>
        <v>18559950.720000003</v>
      </c>
      <c r="U184" s="575">
        <v>-34553.79</v>
      </c>
      <c r="V184" s="612"/>
      <c r="W184" s="612">
        <v>-45810.239999999998</v>
      </c>
      <c r="X184" s="624">
        <v>59</v>
      </c>
      <c r="Y184" s="631">
        <v>1</v>
      </c>
      <c r="Z184" s="628">
        <f>VLOOKUP(A184,'[2]2022 toutes communes'!$B$9:$D$317,3,FALSE)</f>
        <v>2357</v>
      </c>
      <c r="AA184" s="617"/>
      <c r="AB184" s="618"/>
      <c r="AC184" s="547">
        <f>AB184/VPI!R184</f>
        <v>0</v>
      </c>
      <c r="AD184" s="548">
        <f t="shared" si="10"/>
        <v>0</v>
      </c>
      <c r="AE184" s="547">
        <f>AD184/VPI!R184</f>
        <v>0</v>
      </c>
      <c r="AF184" s="618"/>
      <c r="AG184" s="618"/>
      <c r="AH184" s="618"/>
      <c r="AI184" s="637"/>
      <c r="AJ184" s="628"/>
      <c r="AK184" s="547">
        <f>AJ184/VPI!R184</f>
        <v>0</v>
      </c>
      <c r="AL184" s="548">
        <f t="shared" si="11"/>
        <v>0</v>
      </c>
      <c r="AM184" s="547">
        <f>AL184/VPI!R184</f>
        <v>0</v>
      </c>
      <c r="AN184" s="628"/>
      <c r="AO184" s="637"/>
      <c r="AP184" s="629">
        <v>42.611100485799973</v>
      </c>
      <c r="AR184" s="630">
        <v>1</v>
      </c>
    </row>
    <row r="185" spans="1:1476" x14ac:dyDescent="0.25">
      <c r="A185" s="608">
        <v>5714</v>
      </c>
      <c r="B185" s="609" t="s">
        <v>204</v>
      </c>
      <c r="C185" s="610">
        <v>3115396.74</v>
      </c>
      <c r="D185" s="610">
        <v>547220.93000000005</v>
      </c>
      <c r="E185" s="610"/>
      <c r="F185" s="611"/>
      <c r="G185" s="610">
        <v>30062.85</v>
      </c>
      <c r="H185" s="610">
        <v>5957.3</v>
      </c>
      <c r="I185" s="610">
        <v>136399.54999999999</v>
      </c>
      <c r="J185" s="610">
        <v>15874.79</v>
      </c>
      <c r="K185" s="610">
        <v>6086.2</v>
      </c>
      <c r="L185" s="610">
        <v>305025.65000000002</v>
      </c>
      <c r="M185" s="434">
        <f t="shared" si="8"/>
        <v>4162024.0100000002</v>
      </c>
      <c r="N185" s="612">
        <v>131082.9</v>
      </c>
      <c r="O185" s="612">
        <v>16849.2</v>
      </c>
      <c r="P185" s="612">
        <v>246075.5</v>
      </c>
      <c r="Q185" s="612">
        <v>36357.440000000002</v>
      </c>
      <c r="R185" s="612">
        <v>201165.75</v>
      </c>
      <c r="S185" s="610">
        <v>3764.29</v>
      </c>
      <c r="T185" s="543">
        <f t="shared" si="9"/>
        <v>4797319.0900000008</v>
      </c>
      <c r="U185" s="575">
        <v>-40022.769999999997</v>
      </c>
      <c r="V185" s="612"/>
      <c r="W185" s="612">
        <v>-4233.3599999999997</v>
      </c>
      <c r="X185" s="624">
        <v>66.5</v>
      </c>
      <c r="Y185" s="631">
        <v>1</v>
      </c>
      <c r="Z185" s="628">
        <f>VLOOKUP(A185,'[2]2022 toutes communes'!$B$9:$D$317,3,FALSE)</f>
        <v>1233</v>
      </c>
      <c r="AA185" s="617"/>
      <c r="AB185" s="618"/>
      <c r="AC185" s="547">
        <f>AB185/VPI!R185</f>
        <v>0</v>
      </c>
      <c r="AD185" s="548">
        <f t="shared" si="10"/>
        <v>0</v>
      </c>
      <c r="AE185" s="547">
        <f>AD185/VPI!R185</f>
        <v>0</v>
      </c>
      <c r="AF185" s="618"/>
      <c r="AG185" s="618"/>
      <c r="AH185" s="618"/>
      <c r="AI185" s="637"/>
      <c r="AJ185" s="628"/>
      <c r="AK185" s="547">
        <f>AJ185/VPI!R185</f>
        <v>0</v>
      </c>
      <c r="AL185" s="548">
        <f t="shared" si="11"/>
        <v>0</v>
      </c>
      <c r="AM185" s="547">
        <f>AL185/VPI!R185</f>
        <v>0</v>
      </c>
      <c r="AN185" s="628"/>
      <c r="AO185" s="637"/>
      <c r="AP185" s="629">
        <v>28.155699452486139</v>
      </c>
      <c r="AR185" s="630">
        <v>0</v>
      </c>
    </row>
    <row r="186" spans="1:1476" x14ac:dyDescent="0.25">
      <c r="A186" s="608">
        <v>5715</v>
      </c>
      <c r="B186" s="609" t="s">
        <v>205</v>
      </c>
      <c r="C186" s="610">
        <v>3063645.6</v>
      </c>
      <c r="D186" s="610">
        <v>560054.36</v>
      </c>
      <c r="E186" s="610"/>
      <c r="F186" s="611"/>
      <c r="G186" s="610">
        <v>40781.449999999997</v>
      </c>
      <c r="H186" s="610">
        <v>4891</v>
      </c>
      <c r="I186" s="610"/>
      <c r="J186" s="610">
        <v>49327.61</v>
      </c>
      <c r="K186" s="610">
        <v>7927.5</v>
      </c>
      <c r="L186" s="610">
        <v>294377.59999999998</v>
      </c>
      <c r="M186" s="434">
        <f t="shared" si="8"/>
        <v>4021005.12</v>
      </c>
      <c r="N186" s="612">
        <v>117778.5</v>
      </c>
      <c r="O186" s="612"/>
      <c r="P186" s="612">
        <v>237561.05</v>
      </c>
      <c r="Q186" s="612">
        <v>260.89</v>
      </c>
      <c r="R186" s="612">
        <v>131393.79999999999</v>
      </c>
      <c r="S186" s="610">
        <v>4773.01</v>
      </c>
      <c r="T186" s="543">
        <f t="shared" si="9"/>
        <v>4512772.3699999992</v>
      </c>
      <c r="U186" s="575">
        <v>-27142.51</v>
      </c>
      <c r="V186" s="612"/>
      <c r="W186" s="612">
        <v>-2589</v>
      </c>
      <c r="X186" s="624">
        <v>66</v>
      </c>
      <c r="Y186" s="631">
        <v>1</v>
      </c>
      <c r="Z186" s="628">
        <f>VLOOKUP(A186,'[2]2022 toutes communes'!$B$9:$D$317,3,FALSE)</f>
        <v>1116</v>
      </c>
      <c r="AA186" s="617"/>
      <c r="AB186" s="618"/>
      <c r="AC186" s="547">
        <f>AB186/VPI!R186</f>
        <v>0</v>
      </c>
      <c r="AD186" s="548">
        <f t="shared" si="10"/>
        <v>0</v>
      </c>
      <c r="AE186" s="547">
        <f>AD186/VPI!R186</f>
        <v>0</v>
      </c>
      <c r="AF186" s="618"/>
      <c r="AG186" s="618"/>
      <c r="AH186" s="618"/>
      <c r="AI186" s="637"/>
      <c r="AJ186" s="628"/>
      <c r="AK186" s="547">
        <f>AJ186/VPI!R186</f>
        <v>0</v>
      </c>
      <c r="AL186" s="548">
        <f t="shared" si="11"/>
        <v>0</v>
      </c>
      <c r="AM186" s="547">
        <f>AL186/VPI!R186</f>
        <v>0</v>
      </c>
      <c r="AN186" s="628"/>
      <c r="AO186" s="637"/>
      <c r="AP186" s="629">
        <v>31.517191779927614</v>
      </c>
      <c r="AR186" s="630">
        <v>0</v>
      </c>
    </row>
    <row r="187" spans="1:1476" s="632" customFormat="1" x14ac:dyDescent="0.25">
      <c r="A187" s="608">
        <v>5716</v>
      </c>
      <c r="B187" s="609" t="s">
        <v>206</v>
      </c>
      <c r="C187" s="610">
        <v>4144968.44</v>
      </c>
      <c r="D187" s="610">
        <v>572818.32999999996</v>
      </c>
      <c r="E187" s="610"/>
      <c r="F187" s="611"/>
      <c r="G187" s="610">
        <v>6450430.8499999996</v>
      </c>
      <c r="H187" s="610">
        <v>814020.05</v>
      </c>
      <c r="I187" s="610"/>
      <c r="J187" s="610">
        <v>228445.41</v>
      </c>
      <c r="K187" s="610">
        <v>177434.5</v>
      </c>
      <c r="L187" s="610">
        <v>715313.1</v>
      </c>
      <c r="M187" s="434">
        <f t="shared" si="8"/>
        <v>13103430.68</v>
      </c>
      <c r="N187" s="612">
        <v>672454.95</v>
      </c>
      <c r="O187" s="612"/>
      <c r="P187" s="612">
        <v>273828.34999999998</v>
      </c>
      <c r="Q187" s="612">
        <v>29452.22</v>
      </c>
      <c r="R187" s="612">
        <v>190442.3</v>
      </c>
      <c r="S187" s="610">
        <v>759172.41</v>
      </c>
      <c r="T187" s="543">
        <f t="shared" si="9"/>
        <v>15028780.91</v>
      </c>
      <c r="U187" s="575">
        <v>-44876.97</v>
      </c>
      <c r="V187" s="612"/>
      <c r="W187" s="612">
        <v>-10034.41</v>
      </c>
      <c r="X187" s="624">
        <v>59.5</v>
      </c>
      <c r="Y187" s="631">
        <v>1</v>
      </c>
      <c r="Z187" s="628">
        <f>VLOOKUP(A187,'[2]2022 toutes communes'!$B$9:$D$317,3,FALSE)</f>
        <v>1768</v>
      </c>
      <c r="AA187" s="617"/>
      <c r="AB187" s="618"/>
      <c r="AC187" s="547">
        <f>AB187/VPI!R187</f>
        <v>0</v>
      </c>
      <c r="AD187" s="548">
        <f t="shared" si="10"/>
        <v>0</v>
      </c>
      <c r="AE187" s="547">
        <f>AD187/VPI!R187</f>
        <v>0</v>
      </c>
      <c r="AF187" s="618"/>
      <c r="AG187" s="618"/>
      <c r="AH187" s="618"/>
      <c r="AI187" s="637"/>
      <c r="AJ187" s="628"/>
      <c r="AK187" s="547">
        <f>AJ187/VPI!R187</f>
        <v>0</v>
      </c>
      <c r="AL187" s="548">
        <f t="shared" si="11"/>
        <v>0</v>
      </c>
      <c r="AM187" s="547">
        <f>AL187/VPI!R187</f>
        <v>0</v>
      </c>
      <c r="AN187" s="628"/>
      <c r="AO187" s="637"/>
      <c r="AP187" s="629">
        <v>42.300609849685735</v>
      </c>
      <c r="AQ187" s="575"/>
      <c r="AR187" s="630">
        <v>0</v>
      </c>
      <c r="AS187" s="575"/>
      <c r="AT187" s="575"/>
      <c r="AU187" s="575"/>
      <c r="AV187" s="575"/>
      <c r="AW187" s="575"/>
      <c r="AX187" s="575"/>
      <c r="AY187" s="575"/>
      <c r="AZ187" s="575"/>
      <c r="BA187" s="575"/>
      <c r="BB187" s="575"/>
      <c r="BC187" s="575"/>
      <c r="BD187" s="575"/>
      <c r="BE187" s="575"/>
      <c r="BF187" s="575"/>
      <c r="BG187" s="575"/>
      <c r="BH187" s="575"/>
      <c r="BI187" s="575"/>
      <c r="BJ187" s="575"/>
      <c r="BK187" s="575"/>
      <c r="BL187" s="575"/>
      <c r="BM187" s="575"/>
      <c r="BN187" s="575"/>
      <c r="BO187" s="575"/>
      <c r="BP187" s="575"/>
      <c r="BQ187" s="575"/>
      <c r="BR187" s="575"/>
      <c r="BS187" s="575"/>
      <c r="BT187" s="575"/>
      <c r="BU187" s="575"/>
      <c r="BV187" s="575"/>
      <c r="BW187" s="575"/>
      <c r="BX187" s="575"/>
      <c r="BY187" s="575"/>
      <c r="BZ187" s="575"/>
      <c r="CA187" s="575"/>
      <c r="CB187" s="575"/>
      <c r="CC187" s="575"/>
      <c r="CD187" s="575"/>
      <c r="CE187" s="575"/>
      <c r="CF187" s="575"/>
      <c r="CG187" s="575"/>
      <c r="CH187" s="575"/>
      <c r="CI187" s="575"/>
      <c r="CJ187" s="575"/>
      <c r="CK187" s="575"/>
      <c r="CL187" s="575"/>
      <c r="CM187" s="575"/>
      <c r="CN187" s="575"/>
      <c r="CO187" s="575"/>
      <c r="CP187" s="575"/>
      <c r="CQ187" s="575"/>
      <c r="CR187" s="575"/>
      <c r="CS187" s="575"/>
      <c r="CT187" s="575"/>
      <c r="CU187" s="575"/>
      <c r="CV187" s="575"/>
      <c r="CW187" s="575"/>
      <c r="CX187" s="575"/>
      <c r="CY187" s="575"/>
      <c r="CZ187" s="575"/>
      <c r="DA187" s="575"/>
      <c r="DB187" s="575"/>
      <c r="DC187" s="575"/>
      <c r="DD187" s="575"/>
      <c r="DE187" s="575"/>
      <c r="DF187" s="575"/>
      <c r="DG187" s="575"/>
      <c r="DH187" s="575"/>
      <c r="DI187" s="575"/>
      <c r="DJ187" s="575"/>
      <c r="DK187" s="575"/>
      <c r="DL187" s="575"/>
      <c r="DM187" s="575"/>
      <c r="DN187" s="575"/>
      <c r="DO187" s="575"/>
      <c r="DP187" s="575"/>
      <c r="DQ187" s="575"/>
      <c r="DR187" s="575"/>
      <c r="DS187" s="575"/>
      <c r="DT187" s="575"/>
      <c r="DU187" s="575"/>
      <c r="DV187" s="575"/>
      <c r="DW187" s="575"/>
      <c r="DX187" s="575"/>
      <c r="DY187" s="575"/>
      <c r="DZ187" s="575"/>
      <c r="EA187" s="575"/>
      <c r="EB187" s="575"/>
      <c r="EC187" s="575"/>
      <c r="ED187" s="575"/>
      <c r="EE187" s="575"/>
      <c r="EF187" s="575"/>
      <c r="EG187" s="575"/>
      <c r="EH187" s="575"/>
      <c r="EI187" s="575"/>
      <c r="EJ187" s="575"/>
      <c r="EK187" s="575"/>
      <c r="EL187" s="575"/>
      <c r="EM187" s="575"/>
      <c r="EN187" s="575"/>
      <c r="EO187" s="575"/>
      <c r="EP187" s="575"/>
      <c r="EQ187" s="575"/>
      <c r="ER187" s="575"/>
      <c r="ES187" s="575"/>
      <c r="ET187" s="575"/>
      <c r="EU187" s="575"/>
      <c r="EV187" s="575"/>
      <c r="EW187" s="575"/>
      <c r="EX187" s="575"/>
      <c r="EY187" s="575"/>
      <c r="EZ187" s="575"/>
      <c r="FA187" s="575"/>
      <c r="FB187" s="575"/>
      <c r="FC187" s="575"/>
      <c r="FD187" s="575"/>
      <c r="FE187" s="575"/>
      <c r="FF187" s="575"/>
      <c r="FG187" s="575"/>
      <c r="FH187" s="575"/>
      <c r="FI187" s="575"/>
      <c r="FJ187" s="575"/>
      <c r="FK187" s="575"/>
      <c r="FL187" s="575"/>
      <c r="FM187" s="575"/>
      <c r="FN187" s="575"/>
      <c r="FO187" s="575"/>
      <c r="FP187" s="575"/>
      <c r="FQ187" s="575"/>
      <c r="FR187" s="575"/>
      <c r="FS187" s="575"/>
      <c r="FT187" s="575"/>
      <c r="FU187" s="575"/>
      <c r="FV187" s="575"/>
      <c r="FW187" s="575"/>
      <c r="FX187" s="575"/>
      <c r="FY187" s="575"/>
      <c r="FZ187" s="575"/>
      <c r="GA187" s="575"/>
      <c r="GB187" s="575"/>
      <c r="GC187" s="575"/>
      <c r="GD187" s="575"/>
      <c r="GE187" s="575"/>
      <c r="GF187" s="575"/>
      <c r="GG187" s="575"/>
      <c r="GH187" s="575"/>
      <c r="GI187" s="575"/>
      <c r="GJ187" s="575"/>
      <c r="GK187" s="575"/>
      <c r="GL187" s="575"/>
      <c r="GM187" s="575"/>
      <c r="GN187" s="575"/>
      <c r="GO187" s="575"/>
      <c r="GP187" s="575"/>
      <c r="GQ187" s="575"/>
      <c r="GR187" s="575"/>
      <c r="GS187" s="575"/>
      <c r="GT187" s="575"/>
      <c r="GU187" s="575"/>
      <c r="GV187" s="575"/>
      <c r="GW187" s="575"/>
      <c r="GX187" s="575"/>
      <c r="GY187" s="575"/>
      <c r="GZ187" s="575"/>
      <c r="HA187" s="575"/>
      <c r="HB187" s="575"/>
      <c r="HC187" s="575"/>
      <c r="HD187" s="575"/>
      <c r="HE187" s="575"/>
      <c r="HF187" s="575"/>
      <c r="HG187" s="575"/>
      <c r="HH187" s="575"/>
      <c r="HI187" s="575"/>
      <c r="HJ187" s="575"/>
      <c r="HK187" s="575"/>
      <c r="HL187" s="575"/>
      <c r="HM187" s="575"/>
      <c r="HN187" s="575"/>
      <c r="HO187" s="575"/>
      <c r="HP187" s="575"/>
      <c r="HQ187" s="575"/>
      <c r="HR187" s="575"/>
      <c r="HS187" s="575"/>
      <c r="HT187" s="575"/>
      <c r="HU187" s="575"/>
      <c r="HV187" s="575"/>
      <c r="HW187" s="575"/>
      <c r="HX187" s="575"/>
      <c r="HY187" s="575"/>
      <c r="HZ187" s="575"/>
      <c r="IA187" s="575"/>
      <c r="IB187" s="575"/>
      <c r="IC187" s="575"/>
      <c r="ID187" s="575"/>
      <c r="IE187" s="575"/>
      <c r="IF187" s="575"/>
      <c r="IG187" s="575"/>
      <c r="IH187" s="575"/>
      <c r="II187" s="575"/>
      <c r="IJ187" s="575"/>
      <c r="IK187" s="575"/>
      <c r="IL187" s="575"/>
      <c r="IM187" s="575"/>
      <c r="IN187" s="575"/>
      <c r="IO187" s="575"/>
      <c r="IP187" s="575"/>
      <c r="IQ187" s="575"/>
      <c r="IR187" s="575"/>
      <c r="IS187" s="575"/>
      <c r="IT187" s="575"/>
      <c r="IU187" s="575"/>
      <c r="IV187" s="575"/>
      <c r="IW187" s="575"/>
      <c r="IX187" s="575"/>
      <c r="IY187" s="575"/>
      <c r="IZ187" s="575"/>
      <c r="JA187" s="575"/>
      <c r="JB187" s="575"/>
      <c r="JC187" s="575"/>
      <c r="JD187" s="575"/>
      <c r="JE187" s="575"/>
      <c r="JF187" s="575"/>
      <c r="JG187" s="575"/>
      <c r="JH187" s="575"/>
      <c r="JI187" s="575"/>
      <c r="JJ187" s="575"/>
      <c r="JK187" s="575"/>
      <c r="JL187" s="575"/>
      <c r="JM187" s="575"/>
      <c r="JN187" s="575"/>
      <c r="JO187" s="575"/>
      <c r="JP187" s="575"/>
      <c r="JQ187" s="575"/>
      <c r="JR187" s="575"/>
      <c r="JS187" s="575"/>
      <c r="JT187" s="575"/>
      <c r="JU187" s="575"/>
      <c r="JV187" s="575"/>
      <c r="JW187" s="575"/>
      <c r="JX187" s="575"/>
      <c r="JY187" s="575"/>
      <c r="JZ187" s="575"/>
      <c r="KA187" s="575"/>
      <c r="KB187" s="575"/>
      <c r="KC187" s="575"/>
      <c r="KD187" s="575"/>
      <c r="KE187" s="575"/>
      <c r="KF187" s="575"/>
      <c r="KG187" s="575"/>
      <c r="KH187" s="575"/>
      <c r="KI187" s="575"/>
      <c r="KJ187" s="575"/>
      <c r="KK187" s="575"/>
      <c r="KL187" s="575"/>
      <c r="KM187" s="575"/>
      <c r="KN187" s="575"/>
      <c r="KO187" s="575"/>
      <c r="KP187" s="575"/>
      <c r="KQ187" s="575"/>
      <c r="KR187" s="575"/>
      <c r="KS187" s="575"/>
      <c r="KT187" s="575"/>
      <c r="KU187" s="575"/>
      <c r="KV187" s="575"/>
      <c r="KW187" s="575"/>
      <c r="KX187" s="575"/>
      <c r="KY187" s="575"/>
      <c r="KZ187" s="575"/>
      <c r="LA187" s="575"/>
      <c r="LB187" s="575"/>
      <c r="LC187" s="575"/>
      <c r="LD187" s="575"/>
      <c r="LE187" s="575"/>
      <c r="LF187" s="575"/>
      <c r="LG187" s="575"/>
      <c r="LH187" s="575"/>
      <c r="LI187" s="575"/>
      <c r="LJ187" s="575"/>
      <c r="LK187" s="575"/>
      <c r="LL187" s="575"/>
      <c r="LM187" s="575"/>
      <c r="LN187" s="575"/>
      <c r="LO187" s="575"/>
      <c r="LP187" s="575"/>
      <c r="LQ187" s="575"/>
      <c r="LR187" s="575"/>
      <c r="LS187" s="575"/>
      <c r="LT187" s="575"/>
      <c r="LU187" s="575"/>
      <c r="LV187" s="575"/>
      <c r="LW187" s="575"/>
      <c r="LX187" s="575"/>
      <c r="LY187" s="575"/>
      <c r="LZ187" s="575"/>
      <c r="MA187" s="575"/>
      <c r="MB187" s="575"/>
      <c r="MC187" s="575"/>
      <c r="MD187" s="575"/>
      <c r="ME187" s="575"/>
      <c r="MF187" s="575"/>
      <c r="MG187" s="575"/>
      <c r="MH187" s="575"/>
      <c r="MI187" s="575"/>
      <c r="MJ187" s="575"/>
      <c r="MK187" s="575"/>
      <c r="ML187" s="575"/>
      <c r="MM187" s="575"/>
      <c r="MN187" s="575"/>
      <c r="MO187" s="575"/>
      <c r="MP187" s="575"/>
      <c r="MQ187" s="575"/>
      <c r="MR187" s="575"/>
      <c r="MS187" s="575"/>
      <c r="MT187" s="575"/>
      <c r="MU187" s="575"/>
      <c r="MV187" s="575"/>
      <c r="MW187" s="575"/>
      <c r="MX187" s="575"/>
      <c r="MY187" s="575"/>
      <c r="MZ187" s="575"/>
      <c r="NA187" s="575"/>
      <c r="NB187" s="575"/>
      <c r="NC187" s="575"/>
      <c r="ND187" s="575"/>
      <c r="NE187" s="575"/>
      <c r="NF187" s="575"/>
      <c r="NG187" s="575"/>
      <c r="NH187" s="575"/>
      <c r="NI187" s="575"/>
      <c r="NJ187" s="575"/>
      <c r="NK187" s="575"/>
      <c r="NL187" s="575"/>
      <c r="NM187" s="575"/>
      <c r="NN187" s="575"/>
      <c r="NO187" s="575"/>
      <c r="NP187" s="575"/>
      <c r="NQ187" s="575"/>
      <c r="NR187" s="575"/>
      <c r="NS187" s="575"/>
      <c r="NT187" s="575"/>
      <c r="NU187" s="575"/>
      <c r="NV187" s="575"/>
      <c r="NW187" s="575"/>
      <c r="NX187" s="575"/>
      <c r="NY187" s="575"/>
      <c r="NZ187" s="575"/>
      <c r="OA187" s="575"/>
      <c r="OB187" s="575"/>
      <c r="OC187" s="575"/>
      <c r="OD187" s="575"/>
      <c r="OE187" s="575"/>
      <c r="OF187" s="575"/>
      <c r="OG187" s="575"/>
      <c r="OH187" s="575"/>
      <c r="OI187" s="575"/>
      <c r="OJ187" s="575"/>
      <c r="OK187" s="575"/>
      <c r="OL187" s="575"/>
      <c r="OM187" s="575"/>
      <c r="ON187" s="575"/>
      <c r="OO187" s="575"/>
      <c r="OP187" s="575"/>
      <c r="OQ187" s="575"/>
      <c r="OR187" s="575"/>
      <c r="OS187" s="575"/>
      <c r="OT187" s="575"/>
      <c r="OU187" s="575"/>
      <c r="OV187" s="575"/>
      <c r="OW187" s="575"/>
      <c r="OX187" s="575"/>
      <c r="OY187" s="575"/>
      <c r="OZ187" s="575"/>
      <c r="PA187" s="575"/>
      <c r="PB187" s="575"/>
      <c r="PC187" s="575"/>
      <c r="PD187" s="575"/>
      <c r="PE187" s="575"/>
      <c r="PF187" s="575"/>
      <c r="PG187" s="575"/>
      <c r="PH187" s="575"/>
      <c r="PI187" s="575"/>
      <c r="PJ187" s="575"/>
      <c r="PK187" s="575"/>
      <c r="PL187" s="575"/>
      <c r="PM187" s="575"/>
      <c r="PN187" s="575"/>
      <c r="PO187" s="575"/>
      <c r="PP187" s="575"/>
      <c r="PQ187" s="575"/>
      <c r="PR187" s="575"/>
      <c r="PS187" s="575"/>
      <c r="PT187" s="575"/>
      <c r="PU187" s="575"/>
      <c r="PV187" s="575"/>
      <c r="PW187" s="575"/>
      <c r="PX187" s="575"/>
      <c r="PY187" s="575"/>
      <c r="PZ187" s="575"/>
      <c r="QA187" s="575"/>
      <c r="QB187" s="575"/>
      <c r="QC187" s="575"/>
      <c r="QD187" s="575"/>
      <c r="QE187" s="575"/>
      <c r="QF187" s="575"/>
      <c r="QG187" s="575"/>
      <c r="QH187" s="575"/>
      <c r="QI187" s="575"/>
      <c r="QJ187" s="575"/>
      <c r="QK187" s="575"/>
      <c r="QL187" s="575"/>
      <c r="QM187" s="575"/>
      <c r="QN187" s="575"/>
      <c r="QO187" s="575"/>
      <c r="QP187" s="575"/>
      <c r="QQ187" s="575"/>
      <c r="QR187" s="575"/>
      <c r="QS187" s="575"/>
      <c r="QT187" s="575"/>
      <c r="QU187" s="575"/>
      <c r="QV187" s="575"/>
      <c r="QW187" s="575"/>
      <c r="QX187" s="575"/>
      <c r="QY187" s="575"/>
      <c r="QZ187" s="575"/>
      <c r="RA187" s="575"/>
      <c r="RB187" s="575"/>
      <c r="RC187" s="575"/>
      <c r="RD187" s="575"/>
      <c r="RE187" s="575"/>
      <c r="RF187" s="575"/>
      <c r="RG187" s="575"/>
      <c r="RH187" s="575"/>
      <c r="RI187" s="575"/>
      <c r="RJ187" s="575"/>
      <c r="RK187" s="575"/>
      <c r="RL187" s="575"/>
      <c r="RM187" s="575"/>
      <c r="RN187" s="575"/>
      <c r="RO187" s="575"/>
      <c r="RP187" s="575"/>
      <c r="RQ187" s="575"/>
      <c r="RR187" s="575"/>
      <c r="RS187" s="575"/>
      <c r="RT187" s="575"/>
      <c r="RU187" s="575"/>
      <c r="RV187" s="575"/>
      <c r="RW187" s="575"/>
      <c r="RX187" s="575"/>
      <c r="RY187" s="575"/>
      <c r="RZ187" s="575"/>
      <c r="SA187" s="575"/>
      <c r="SB187" s="575"/>
      <c r="SC187" s="575"/>
      <c r="SD187" s="575"/>
      <c r="SE187" s="575"/>
      <c r="SF187" s="575"/>
      <c r="SG187" s="575"/>
      <c r="SH187" s="575"/>
      <c r="SI187" s="575"/>
      <c r="SJ187" s="575"/>
      <c r="SK187" s="575"/>
      <c r="SL187" s="575"/>
      <c r="SM187" s="575"/>
      <c r="SN187" s="575"/>
      <c r="SO187" s="575"/>
      <c r="SP187" s="575"/>
      <c r="SQ187" s="575"/>
      <c r="SR187" s="575"/>
      <c r="SS187" s="575"/>
      <c r="ST187" s="575"/>
      <c r="SU187" s="575"/>
      <c r="SV187" s="575"/>
      <c r="SW187" s="575"/>
      <c r="SX187" s="575"/>
      <c r="SY187" s="575"/>
      <c r="SZ187" s="575"/>
      <c r="TA187" s="575"/>
      <c r="TB187" s="575"/>
      <c r="TC187" s="575"/>
      <c r="TD187" s="575"/>
      <c r="TE187" s="575"/>
      <c r="TF187" s="575"/>
      <c r="TG187" s="575"/>
      <c r="TH187" s="575"/>
      <c r="TI187" s="575"/>
      <c r="TJ187" s="575"/>
      <c r="TK187" s="575"/>
      <c r="TL187" s="575"/>
      <c r="TM187" s="575"/>
      <c r="TN187" s="575"/>
      <c r="TO187" s="575"/>
      <c r="TP187" s="575"/>
      <c r="TQ187" s="575"/>
      <c r="TR187" s="575"/>
      <c r="TS187" s="575"/>
      <c r="TT187" s="575"/>
      <c r="TU187" s="575"/>
      <c r="TV187" s="575"/>
      <c r="TW187" s="575"/>
      <c r="TX187" s="575"/>
      <c r="TY187" s="575"/>
      <c r="TZ187" s="575"/>
      <c r="UA187" s="575"/>
      <c r="UB187" s="575"/>
      <c r="UC187" s="575"/>
      <c r="UD187" s="575"/>
      <c r="UE187" s="575"/>
      <c r="UF187" s="575"/>
      <c r="UG187" s="575"/>
      <c r="UH187" s="575"/>
      <c r="UI187" s="575"/>
      <c r="UJ187" s="575"/>
      <c r="UK187" s="575"/>
      <c r="UL187" s="575"/>
      <c r="UM187" s="575"/>
      <c r="UN187" s="575"/>
      <c r="UO187" s="575"/>
      <c r="UP187" s="575"/>
      <c r="UQ187" s="575"/>
      <c r="UR187" s="575"/>
      <c r="US187" s="575"/>
      <c r="UT187" s="575"/>
      <c r="UU187" s="575"/>
      <c r="UV187" s="575"/>
      <c r="UW187" s="575"/>
      <c r="UX187" s="575"/>
      <c r="UY187" s="575"/>
      <c r="UZ187" s="575"/>
      <c r="VA187" s="575"/>
      <c r="VB187" s="575"/>
      <c r="VC187" s="575"/>
      <c r="VD187" s="575"/>
      <c r="VE187" s="575"/>
      <c r="VF187" s="575"/>
      <c r="VG187" s="575"/>
      <c r="VH187" s="575"/>
      <c r="VI187" s="575"/>
      <c r="VJ187" s="575"/>
      <c r="VK187" s="575"/>
      <c r="VL187" s="575"/>
      <c r="VM187" s="575"/>
      <c r="VN187" s="575"/>
      <c r="VO187" s="575"/>
      <c r="VP187" s="575"/>
      <c r="VQ187" s="575"/>
      <c r="VR187" s="575"/>
      <c r="VS187" s="575"/>
      <c r="VT187" s="575"/>
      <c r="VU187" s="575"/>
      <c r="VV187" s="575"/>
      <c r="VW187" s="575"/>
      <c r="VX187" s="575"/>
      <c r="VY187" s="575"/>
      <c r="VZ187" s="575"/>
      <c r="WA187" s="575"/>
      <c r="WB187" s="575"/>
      <c r="WC187" s="575"/>
      <c r="WD187" s="575"/>
      <c r="WE187" s="575"/>
      <c r="WF187" s="575"/>
      <c r="WG187" s="575"/>
      <c r="WH187" s="575"/>
      <c r="WI187" s="575"/>
      <c r="WJ187" s="575"/>
      <c r="WK187" s="575"/>
      <c r="WL187" s="575"/>
      <c r="WM187" s="575"/>
      <c r="WN187" s="575"/>
      <c r="WO187" s="575"/>
      <c r="WP187" s="575"/>
      <c r="WQ187" s="575"/>
      <c r="WR187" s="575"/>
      <c r="WS187" s="575"/>
      <c r="WT187" s="575"/>
      <c r="WU187" s="575"/>
      <c r="WV187" s="575"/>
      <c r="WW187" s="575"/>
      <c r="WX187" s="575"/>
      <c r="WY187" s="575"/>
      <c r="WZ187" s="575"/>
      <c r="XA187" s="575"/>
      <c r="XB187" s="575"/>
      <c r="XC187" s="575"/>
      <c r="XD187" s="575"/>
      <c r="XE187" s="575"/>
      <c r="XF187" s="575"/>
      <c r="XG187" s="575"/>
      <c r="XH187" s="575"/>
      <c r="XI187" s="575"/>
      <c r="XJ187" s="575"/>
      <c r="XK187" s="575"/>
      <c r="XL187" s="575"/>
      <c r="XM187" s="575"/>
      <c r="XN187" s="575"/>
      <c r="XO187" s="575"/>
      <c r="XP187" s="575"/>
      <c r="XQ187" s="575"/>
      <c r="XR187" s="575"/>
      <c r="XS187" s="575"/>
      <c r="XT187" s="575"/>
      <c r="XU187" s="575"/>
      <c r="XV187" s="575"/>
      <c r="XW187" s="575"/>
      <c r="XX187" s="575"/>
      <c r="XY187" s="575"/>
      <c r="XZ187" s="575"/>
      <c r="YA187" s="575"/>
      <c r="YB187" s="575"/>
      <c r="YC187" s="575"/>
      <c r="YD187" s="575"/>
      <c r="YE187" s="575"/>
      <c r="YF187" s="575"/>
      <c r="YG187" s="575"/>
      <c r="YH187" s="575"/>
      <c r="YI187" s="575"/>
      <c r="YJ187" s="575"/>
      <c r="YK187" s="575"/>
      <c r="YL187" s="575"/>
      <c r="YM187" s="575"/>
      <c r="YN187" s="575"/>
      <c r="YO187" s="575"/>
      <c r="YP187" s="575"/>
      <c r="YQ187" s="575"/>
      <c r="YR187" s="575"/>
      <c r="YS187" s="575"/>
      <c r="YT187" s="575"/>
      <c r="YU187" s="575"/>
      <c r="YV187" s="575"/>
      <c r="YW187" s="575"/>
      <c r="YX187" s="575"/>
      <c r="YY187" s="575"/>
      <c r="YZ187" s="575"/>
      <c r="ZA187" s="575"/>
      <c r="ZB187" s="575"/>
      <c r="ZC187" s="575"/>
      <c r="ZD187" s="575"/>
      <c r="ZE187" s="575"/>
      <c r="ZF187" s="575"/>
      <c r="ZG187" s="575"/>
      <c r="ZH187" s="575"/>
      <c r="ZI187" s="575"/>
      <c r="ZJ187" s="575"/>
      <c r="ZK187" s="575"/>
      <c r="ZL187" s="575"/>
      <c r="ZM187" s="575"/>
      <c r="ZN187" s="575"/>
      <c r="ZO187" s="575"/>
      <c r="ZP187" s="575"/>
      <c r="ZQ187" s="575"/>
      <c r="ZR187" s="575"/>
      <c r="ZS187" s="575"/>
      <c r="ZT187" s="575"/>
      <c r="ZU187" s="575"/>
      <c r="ZV187" s="575"/>
      <c r="ZW187" s="575"/>
      <c r="ZX187" s="575"/>
      <c r="ZY187" s="575"/>
      <c r="ZZ187" s="575"/>
      <c r="AAA187" s="575"/>
      <c r="AAB187" s="575"/>
      <c r="AAC187" s="575"/>
      <c r="AAD187" s="575"/>
      <c r="AAE187" s="575"/>
      <c r="AAF187" s="575"/>
      <c r="AAG187" s="575"/>
      <c r="AAH187" s="575"/>
      <c r="AAI187" s="575"/>
      <c r="AAJ187" s="575"/>
      <c r="AAK187" s="575"/>
      <c r="AAL187" s="575"/>
      <c r="AAM187" s="575"/>
      <c r="AAN187" s="575"/>
      <c r="AAO187" s="575"/>
      <c r="AAP187" s="575"/>
      <c r="AAQ187" s="575"/>
      <c r="AAR187" s="575"/>
      <c r="AAS187" s="575"/>
      <c r="AAT187" s="575"/>
      <c r="AAU187" s="575"/>
      <c r="AAV187" s="575"/>
      <c r="AAW187" s="575"/>
      <c r="AAX187" s="575"/>
      <c r="AAY187" s="575"/>
      <c r="AAZ187" s="575"/>
      <c r="ABA187" s="575"/>
      <c r="ABB187" s="575"/>
      <c r="ABC187" s="575"/>
      <c r="ABD187" s="575"/>
      <c r="ABE187" s="575"/>
      <c r="ABF187" s="575"/>
      <c r="ABG187" s="575"/>
      <c r="ABH187" s="575"/>
      <c r="ABI187" s="575"/>
      <c r="ABJ187" s="575"/>
      <c r="ABK187" s="575"/>
      <c r="ABL187" s="575"/>
      <c r="ABM187" s="575"/>
      <c r="ABN187" s="575"/>
      <c r="ABO187" s="575"/>
      <c r="ABP187" s="575"/>
      <c r="ABQ187" s="575"/>
      <c r="ABR187" s="575"/>
      <c r="ABS187" s="575"/>
      <c r="ABT187" s="575"/>
      <c r="ABU187" s="575"/>
      <c r="ABV187" s="575"/>
      <c r="ABW187" s="575"/>
      <c r="ABX187" s="575"/>
      <c r="ABY187" s="575"/>
      <c r="ABZ187" s="575"/>
      <c r="ACA187" s="575"/>
      <c r="ACB187" s="575"/>
      <c r="ACC187" s="575"/>
      <c r="ACD187" s="575"/>
      <c r="ACE187" s="575"/>
      <c r="ACF187" s="575"/>
      <c r="ACG187" s="575"/>
      <c r="ACH187" s="575"/>
      <c r="ACI187" s="575"/>
      <c r="ACJ187" s="575"/>
      <c r="ACK187" s="575"/>
      <c r="ACL187" s="575"/>
      <c r="ACM187" s="575"/>
      <c r="ACN187" s="575"/>
      <c r="ACO187" s="575"/>
      <c r="ACP187" s="575"/>
      <c r="ACQ187" s="575"/>
      <c r="ACR187" s="575"/>
      <c r="ACS187" s="575"/>
      <c r="ACT187" s="575"/>
      <c r="ACU187" s="575"/>
      <c r="ACV187" s="575"/>
      <c r="ACW187" s="575"/>
      <c r="ACX187" s="575"/>
      <c r="ACY187" s="575"/>
      <c r="ACZ187" s="575"/>
      <c r="ADA187" s="575"/>
      <c r="ADB187" s="575"/>
      <c r="ADC187" s="575"/>
      <c r="ADD187" s="575"/>
      <c r="ADE187" s="575"/>
      <c r="ADF187" s="575"/>
      <c r="ADG187" s="575"/>
      <c r="ADH187" s="575"/>
      <c r="ADI187" s="575"/>
      <c r="ADJ187" s="575"/>
      <c r="ADK187" s="575"/>
      <c r="ADL187" s="575"/>
      <c r="ADM187" s="575"/>
      <c r="ADN187" s="575"/>
      <c r="ADO187" s="575"/>
      <c r="ADP187" s="575"/>
      <c r="ADQ187" s="575"/>
      <c r="ADR187" s="575"/>
      <c r="ADS187" s="575"/>
      <c r="ADT187" s="575"/>
      <c r="ADU187" s="575"/>
      <c r="ADV187" s="575"/>
      <c r="ADW187" s="575"/>
      <c r="ADX187" s="575"/>
      <c r="ADY187" s="575"/>
      <c r="ADZ187" s="575"/>
      <c r="AEA187" s="575"/>
      <c r="AEB187" s="575"/>
      <c r="AEC187" s="575"/>
      <c r="AED187" s="575"/>
      <c r="AEE187" s="575"/>
      <c r="AEF187" s="575"/>
      <c r="AEG187" s="575"/>
      <c r="AEH187" s="575"/>
      <c r="AEI187" s="575"/>
      <c r="AEJ187" s="575"/>
      <c r="AEK187" s="575"/>
      <c r="AEL187" s="575"/>
      <c r="AEM187" s="575"/>
      <c r="AEN187" s="575"/>
      <c r="AEO187" s="575"/>
      <c r="AEP187" s="575"/>
      <c r="AEQ187" s="575"/>
      <c r="AER187" s="575"/>
      <c r="AES187" s="575"/>
      <c r="AET187" s="575"/>
      <c r="AEU187" s="575"/>
      <c r="AEV187" s="575"/>
      <c r="AEW187" s="575"/>
      <c r="AEX187" s="575"/>
      <c r="AEY187" s="575"/>
      <c r="AEZ187" s="575"/>
      <c r="AFA187" s="575"/>
      <c r="AFB187" s="575"/>
      <c r="AFC187" s="575"/>
      <c r="AFD187" s="575"/>
      <c r="AFE187" s="575"/>
      <c r="AFF187" s="575"/>
      <c r="AFG187" s="575"/>
      <c r="AFH187" s="575"/>
      <c r="AFI187" s="575"/>
      <c r="AFJ187" s="575"/>
      <c r="AFK187" s="575"/>
      <c r="AFL187" s="575"/>
      <c r="AFM187" s="575"/>
      <c r="AFN187" s="575"/>
      <c r="AFO187" s="575"/>
      <c r="AFP187" s="575"/>
      <c r="AFQ187" s="575"/>
      <c r="AFR187" s="575"/>
      <c r="AFS187" s="575"/>
      <c r="AFT187" s="575"/>
      <c r="AFU187" s="575"/>
      <c r="AFV187" s="575"/>
      <c r="AFW187" s="575"/>
      <c r="AFX187" s="575"/>
      <c r="AFY187" s="575"/>
      <c r="AFZ187" s="575"/>
      <c r="AGA187" s="575"/>
      <c r="AGB187" s="575"/>
      <c r="AGC187" s="575"/>
      <c r="AGD187" s="575"/>
      <c r="AGE187" s="575"/>
      <c r="AGF187" s="575"/>
      <c r="AGG187" s="575"/>
      <c r="AGH187" s="575"/>
      <c r="AGI187" s="575"/>
      <c r="AGJ187" s="575"/>
      <c r="AGK187" s="575"/>
      <c r="AGL187" s="575"/>
      <c r="AGM187" s="575"/>
      <c r="AGN187" s="575"/>
      <c r="AGO187" s="575"/>
      <c r="AGP187" s="575"/>
      <c r="AGQ187" s="575"/>
      <c r="AGR187" s="575"/>
      <c r="AGS187" s="575"/>
      <c r="AGT187" s="575"/>
      <c r="AGU187" s="575"/>
      <c r="AGV187" s="575"/>
      <c r="AGW187" s="575"/>
      <c r="AGX187" s="575"/>
      <c r="AGY187" s="575"/>
      <c r="AGZ187" s="575"/>
      <c r="AHA187" s="575"/>
      <c r="AHB187" s="575"/>
      <c r="AHC187" s="575"/>
      <c r="AHD187" s="575"/>
      <c r="AHE187" s="575"/>
      <c r="AHF187" s="575"/>
      <c r="AHG187" s="575"/>
      <c r="AHH187" s="575"/>
      <c r="AHI187" s="575"/>
      <c r="AHJ187" s="575"/>
      <c r="AHK187" s="575"/>
      <c r="AHL187" s="575"/>
      <c r="AHM187" s="575"/>
      <c r="AHN187" s="575"/>
      <c r="AHO187" s="575"/>
      <c r="AHP187" s="575"/>
      <c r="AHQ187" s="575"/>
      <c r="AHR187" s="575"/>
      <c r="AHS187" s="575"/>
      <c r="AHT187" s="575"/>
      <c r="AHU187" s="575"/>
      <c r="AHV187" s="575"/>
      <c r="AHW187" s="575"/>
      <c r="AHX187" s="575"/>
      <c r="AHY187" s="575"/>
      <c r="AHZ187" s="575"/>
      <c r="AIA187" s="575"/>
      <c r="AIB187" s="575"/>
      <c r="AIC187" s="575"/>
      <c r="AID187" s="575"/>
      <c r="AIE187" s="575"/>
      <c r="AIF187" s="575"/>
      <c r="AIG187" s="575"/>
      <c r="AIH187" s="575"/>
      <c r="AII187" s="575"/>
      <c r="AIJ187" s="575"/>
      <c r="AIK187" s="575"/>
      <c r="AIL187" s="575"/>
      <c r="AIM187" s="575"/>
      <c r="AIN187" s="575"/>
      <c r="AIO187" s="575"/>
      <c r="AIP187" s="575"/>
      <c r="AIQ187" s="575"/>
      <c r="AIR187" s="575"/>
      <c r="AIS187" s="575"/>
      <c r="AIT187" s="575"/>
      <c r="AIU187" s="575"/>
      <c r="AIV187" s="575"/>
      <c r="AIW187" s="575"/>
      <c r="AIX187" s="575"/>
      <c r="AIY187" s="575"/>
      <c r="AIZ187" s="575"/>
      <c r="AJA187" s="575"/>
      <c r="AJB187" s="575"/>
      <c r="AJC187" s="575"/>
      <c r="AJD187" s="575"/>
      <c r="AJE187" s="575"/>
      <c r="AJF187" s="575"/>
      <c r="AJG187" s="575"/>
      <c r="AJH187" s="575"/>
      <c r="AJI187" s="575"/>
      <c r="AJJ187" s="575"/>
      <c r="AJK187" s="575"/>
      <c r="AJL187" s="575"/>
      <c r="AJM187" s="575"/>
      <c r="AJN187" s="575"/>
      <c r="AJO187" s="575"/>
      <c r="AJP187" s="575"/>
      <c r="AJQ187" s="575"/>
      <c r="AJR187" s="575"/>
      <c r="AJS187" s="575"/>
      <c r="AJT187" s="575"/>
      <c r="AJU187" s="575"/>
      <c r="AJV187" s="575"/>
      <c r="AJW187" s="575"/>
      <c r="AJX187" s="575"/>
      <c r="AJY187" s="575"/>
      <c r="AJZ187" s="575"/>
      <c r="AKA187" s="575"/>
      <c r="AKB187" s="575"/>
      <c r="AKC187" s="575"/>
      <c r="AKD187" s="575"/>
      <c r="AKE187" s="575"/>
      <c r="AKF187" s="575"/>
      <c r="AKG187" s="575"/>
      <c r="AKH187" s="575"/>
      <c r="AKI187" s="575"/>
      <c r="AKJ187" s="575"/>
      <c r="AKK187" s="575"/>
      <c r="AKL187" s="575"/>
      <c r="AKM187" s="575"/>
      <c r="AKN187" s="575"/>
      <c r="AKO187" s="575"/>
      <c r="AKP187" s="575"/>
      <c r="AKQ187" s="575"/>
      <c r="AKR187" s="575"/>
      <c r="AKS187" s="575"/>
      <c r="AKT187" s="575"/>
      <c r="AKU187" s="575"/>
      <c r="AKV187" s="575"/>
      <c r="AKW187" s="575"/>
      <c r="AKX187" s="575"/>
      <c r="AKY187" s="575"/>
      <c r="AKZ187" s="575"/>
      <c r="ALA187" s="575"/>
      <c r="ALB187" s="575"/>
      <c r="ALC187" s="575"/>
      <c r="ALD187" s="575"/>
      <c r="ALE187" s="575"/>
      <c r="ALF187" s="575"/>
      <c r="ALG187" s="575"/>
      <c r="ALH187" s="575"/>
      <c r="ALI187" s="575"/>
      <c r="ALJ187" s="575"/>
      <c r="ALK187" s="575"/>
      <c r="ALL187" s="575"/>
      <c r="ALM187" s="575"/>
      <c r="ALN187" s="575"/>
      <c r="ALO187" s="575"/>
      <c r="ALP187" s="575"/>
      <c r="ALQ187" s="575"/>
      <c r="ALR187" s="575"/>
      <c r="ALS187" s="575"/>
      <c r="ALT187" s="575"/>
      <c r="ALU187" s="575"/>
      <c r="ALV187" s="575"/>
      <c r="ALW187" s="575"/>
      <c r="ALX187" s="575"/>
      <c r="ALY187" s="575"/>
      <c r="ALZ187" s="575"/>
      <c r="AMA187" s="575"/>
      <c r="AMB187" s="575"/>
      <c r="AMC187" s="575"/>
      <c r="AMD187" s="575"/>
      <c r="AME187" s="575"/>
      <c r="AMF187" s="575"/>
      <c r="AMG187" s="575"/>
      <c r="AMH187" s="575"/>
      <c r="AMI187" s="575"/>
      <c r="AMJ187" s="575"/>
      <c r="AMK187" s="575"/>
      <c r="AML187" s="575"/>
      <c r="AMM187" s="575"/>
      <c r="AMN187" s="575"/>
      <c r="AMO187" s="575"/>
      <c r="AMP187" s="575"/>
      <c r="AMQ187" s="575"/>
      <c r="AMR187" s="575"/>
      <c r="AMS187" s="575"/>
      <c r="AMT187" s="575"/>
      <c r="AMU187" s="575"/>
      <c r="AMV187" s="575"/>
      <c r="AMW187" s="575"/>
      <c r="AMX187" s="575"/>
      <c r="AMY187" s="575"/>
      <c r="AMZ187" s="575"/>
      <c r="ANA187" s="575"/>
      <c r="ANB187" s="575"/>
      <c r="ANC187" s="575"/>
      <c r="AND187" s="575"/>
      <c r="ANE187" s="575"/>
      <c r="ANF187" s="575"/>
      <c r="ANG187" s="575"/>
      <c r="ANH187" s="575"/>
      <c r="ANI187" s="575"/>
      <c r="ANJ187" s="575"/>
      <c r="ANK187" s="575"/>
      <c r="ANL187" s="575"/>
      <c r="ANM187" s="575"/>
      <c r="ANN187" s="575"/>
      <c r="ANO187" s="575"/>
      <c r="ANP187" s="575"/>
      <c r="ANQ187" s="575"/>
      <c r="ANR187" s="575"/>
      <c r="ANS187" s="575"/>
      <c r="ANT187" s="575"/>
      <c r="ANU187" s="575"/>
      <c r="ANV187" s="575"/>
      <c r="ANW187" s="575"/>
      <c r="ANX187" s="575"/>
      <c r="ANY187" s="575"/>
      <c r="ANZ187" s="575"/>
      <c r="AOA187" s="575"/>
      <c r="AOB187" s="575"/>
      <c r="AOC187" s="575"/>
      <c r="AOD187" s="575"/>
      <c r="AOE187" s="575"/>
      <c r="AOF187" s="575"/>
      <c r="AOG187" s="575"/>
      <c r="AOH187" s="575"/>
      <c r="AOI187" s="575"/>
      <c r="AOJ187" s="575"/>
      <c r="AOK187" s="575"/>
      <c r="AOL187" s="575"/>
      <c r="AOM187" s="575"/>
      <c r="AON187" s="575"/>
      <c r="AOO187" s="575"/>
      <c r="AOP187" s="575"/>
      <c r="AOQ187" s="575"/>
      <c r="AOR187" s="575"/>
      <c r="AOS187" s="575"/>
      <c r="AOT187" s="575"/>
      <c r="AOU187" s="575"/>
      <c r="AOV187" s="575"/>
      <c r="AOW187" s="575"/>
      <c r="AOX187" s="575"/>
      <c r="AOY187" s="575"/>
      <c r="AOZ187" s="575"/>
      <c r="APA187" s="575"/>
      <c r="APB187" s="575"/>
      <c r="APC187" s="575"/>
      <c r="APD187" s="575"/>
      <c r="APE187" s="575"/>
      <c r="APF187" s="575"/>
      <c r="APG187" s="575"/>
      <c r="APH187" s="575"/>
      <c r="API187" s="575"/>
      <c r="APJ187" s="575"/>
      <c r="APK187" s="575"/>
      <c r="APL187" s="575"/>
      <c r="APM187" s="575"/>
      <c r="APN187" s="575"/>
      <c r="APO187" s="575"/>
      <c r="APP187" s="575"/>
      <c r="APQ187" s="575"/>
      <c r="APR187" s="575"/>
      <c r="APS187" s="575"/>
      <c r="APT187" s="575"/>
      <c r="APU187" s="575"/>
      <c r="APV187" s="575"/>
      <c r="APW187" s="575"/>
      <c r="APX187" s="575"/>
      <c r="APY187" s="575"/>
      <c r="APZ187" s="575"/>
      <c r="AQA187" s="575"/>
      <c r="AQB187" s="575"/>
      <c r="AQC187" s="575"/>
      <c r="AQD187" s="575"/>
      <c r="AQE187" s="575"/>
      <c r="AQF187" s="575"/>
      <c r="AQG187" s="575"/>
      <c r="AQH187" s="575"/>
      <c r="AQI187" s="575"/>
      <c r="AQJ187" s="575"/>
      <c r="AQK187" s="575"/>
      <c r="AQL187" s="575"/>
      <c r="AQM187" s="575"/>
      <c r="AQN187" s="575"/>
      <c r="AQO187" s="575"/>
      <c r="AQP187" s="575"/>
      <c r="AQQ187" s="575"/>
      <c r="AQR187" s="575"/>
      <c r="AQS187" s="575"/>
      <c r="AQT187" s="575"/>
      <c r="AQU187" s="575"/>
      <c r="AQV187" s="575"/>
      <c r="AQW187" s="575"/>
      <c r="AQX187" s="575"/>
      <c r="AQY187" s="575"/>
      <c r="AQZ187" s="575"/>
      <c r="ARA187" s="575"/>
      <c r="ARB187" s="575"/>
      <c r="ARC187" s="575"/>
      <c r="ARD187" s="575"/>
      <c r="ARE187" s="575"/>
      <c r="ARF187" s="575"/>
      <c r="ARG187" s="575"/>
      <c r="ARH187" s="575"/>
      <c r="ARI187" s="575"/>
      <c r="ARJ187" s="575"/>
      <c r="ARK187" s="575"/>
      <c r="ARL187" s="575"/>
      <c r="ARM187" s="575"/>
      <c r="ARN187" s="575"/>
      <c r="ARO187" s="575"/>
      <c r="ARP187" s="575"/>
      <c r="ARQ187" s="575"/>
      <c r="ARR187" s="575"/>
      <c r="ARS187" s="575"/>
      <c r="ART187" s="575"/>
      <c r="ARU187" s="575"/>
      <c r="ARV187" s="575"/>
      <c r="ARW187" s="575"/>
      <c r="ARX187" s="575"/>
      <c r="ARY187" s="575"/>
      <c r="ARZ187" s="575"/>
      <c r="ASA187" s="575"/>
      <c r="ASB187" s="575"/>
      <c r="ASC187" s="575"/>
      <c r="ASD187" s="575"/>
      <c r="ASE187" s="575"/>
      <c r="ASF187" s="575"/>
      <c r="ASG187" s="575"/>
      <c r="ASH187" s="575"/>
      <c r="ASI187" s="575"/>
      <c r="ASJ187" s="575"/>
      <c r="ASK187" s="575"/>
      <c r="ASL187" s="575"/>
      <c r="ASM187" s="575"/>
      <c r="ASN187" s="575"/>
      <c r="ASO187" s="575"/>
      <c r="ASP187" s="575"/>
      <c r="ASQ187" s="575"/>
      <c r="ASR187" s="575"/>
      <c r="ASS187" s="575"/>
      <c r="AST187" s="575"/>
      <c r="ASU187" s="575"/>
      <c r="ASV187" s="575"/>
      <c r="ASW187" s="575"/>
      <c r="ASX187" s="575"/>
      <c r="ASY187" s="575"/>
      <c r="ASZ187" s="575"/>
      <c r="ATA187" s="575"/>
      <c r="ATB187" s="575"/>
      <c r="ATC187" s="575"/>
      <c r="ATD187" s="575"/>
      <c r="ATE187" s="575"/>
      <c r="ATF187" s="575"/>
      <c r="ATG187" s="575"/>
      <c r="ATH187" s="575"/>
      <c r="ATI187" s="575"/>
      <c r="ATJ187" s="575"/>
      <c r="ATK187" s="575"/>
      <c r="ATL187" s="575"/>
      <c r="ATM187" s="575"/>
      <c r="ATN187" s="575"/>
      <c r="ATO187" s="575"/>
      <c r="ATP187" s="575"/>
      <c r="ATQ187" s="575"/>
      <c r="ATR187" s="575"/>
      <c r="ATS187" s="575"/>
      <c r="ATT187" s="575"/>
      <c r="ATU187" s="575"/>
      <c r="ATV187" s="575"/>
      <c r="ATW187" s="575"/>
      <c r="ATX187" s="575"/>
      <c r="ATY187" s="575"/>
      <c r="ATZ187" s="575"/>
      <c r="AUA187" s="575"/>
      <c r="AUB187" s="575"/>
      <c r="AUC187" s="575"/>
      <c r="AUD187" s="575"/>
      <c r="AUE187" s="575"/>
      <c r="AUF187" s="575"/>
      <c r="AUG187" s="575"/>
      <c r="AUH187" s="575"/>
      <c r="AUI187" s="575"/>
      <c r="AUJ187" s="575"/>
      <c r="AUK187" s="575"/>
      <c r="AUL187" s="575"/>
      <c r="AUM187" s="575"/>
      <c r="AUN187" s="575"/>
      <c r="AUO187" s="575"/>
      <c r="AUP187" s="575"/>
      <c r="AUQ187" s="575"/>
      <c r="AUR187" s="575"/>
      <c r="AUS187" s="575"/>
      <c r="AUT187" s="575"/>
      <c r="AUU187" s="575"/>
      <c r="AUV187" s="575"/>
      <c r="AUW187" s="575"/>
      <c r="AUX187" s="575"/>
      <c r="AUY187" s="575"/>
      <c r="AUZ187" s="575"/>
      <c r="AVA187" s="575"/>
      <c r="AVB187" s="575"/>
      <c r="AVC187" s="575"/>
      <c r="AVD187" s="575"/>
      <c r="AVE187" s="575"/>
      <c r="AVF187" s="575"/>
      <c r="AVG187" s="575"/>
      <c r="AVH187" s="575"/>
      <c r="AVI187" s="575"/>
      <c r="AVJ187" s="575"/>
      <c r="AVK187" s="575"/>
      <c r="AVL187" s="575"/>
      <c r="AVM187" s="575"/>
      <c r="AVN187" s="575"/>
      <c r="AVO187" s="575"/>
      <c r="AVP187" s="575"/>
      <c r="AVQ187" s="575"/>
      <c r="AVR187" s="575"/>
      <c r="AVS187" s="575"/>
      <c r="AVT187" s="575"/>
      <c r="AVU187" s="575"/>
      <c r="AVV187" s="575"/>
      <c r="AVW187" s="575"/>
      <c r="AVX187" s="575"/>
      <c r="AVY187" s="575"/>
      <c r="AVZ187" s="575"/>
      <c r="AWA187" s="575"/>
      <c r="AWB187" s="575"/>
      <c r="AWC187" s="575"/>
      <c r="AWD187" s="575"/>
      <c r="AWE187" s="575"/>
      <c r="AWF187" s="575"/>
      <c r="AWG187" s="575"/>
      <c r="AWH187" s="575"/>
      <c r="AWI187" s="575"/>
      <c r="AWJ187" s="575"/>
      <c r="AWK187" s="575"/>
      <c r="AWL187" s="575"/>
      <c r="AWM187" s="575"/>
      <c r="AWN187" s="575"/>
      <c r="AWO187" s="575"/>
      <c r="AWP187" s="575"/>
      <c r="AWQ187" s="575"/>
      <c r="AWR187" s="575"/>
      <c r="AWS187" s="575"/>
      <c r="AWT187" s="575"/>
      <c r="AWU187" s="575"/>
      <c r="AWV187" s="575"/>
      <c r="AWW187" s="575"/>
      <c r="AWX187" s="575"/>
      <c r="AWY187" s="575"/>
      <c r="AWZ187" s="575"/>
      <c r="AXA187" s="575"/>
      <c r="AXB187" s="575"/>
      <c r="AXC187" s="575"/>
      <c r="AXD187" s="575"/>
      <c r="AXE187" s="575"/>
      <c r="AXF187" s="575"/>
      <c r="AXG187" s="575"/>
      <c r="AXH187" s="575"/>
      <c r="AXI187" s="575"/>
      <c r="AXJ187" s="575"/>
      <c r="AXK187" s="575"/>
      <c r="AXL187" s="575"/>
      <c r="AXM187" s="575"/>
      <c r="AXN187" s="575"/>
      <c r="AXO187" s="575"/>
      <c r="AXP187" s="575"/>
      <c r="AXQ187" s="575"/>
      <c r="AXR187" s="575"/>
      <c r="AXS187" s="575"/>
      <c r="AXT187" s="575"/>
      <c r="AXU187" s="575"/>
      <c r="AXV187" s="575"/>
      <c r="AXW187" s="575"/>
      <c r="AXX187" s="575"/>
      <c r="AXY187" s="575"/>
      <c r="AXZ187" s="575"/>
      <c r="AYA187" s="575"/>
      <c r="AYB187" s="575"/>
      <c r="AYC187" s="575"/>
      <c r="AYD187" s="575"/>
      <c r="AYE187" s="575"/>
      <c r="AYF187" s="575"/>
      <c r="AYG187" s="575"/>
      <c r="AYH187" s="575"/>
      <c r="AYI187" s="575"/>
      <c r="AYJ187" s="575"/>
      <c r="AYK187" s="575"/>
      <c r="AYL187" s="575"/>
      <c r="AYM187" s="575"/>
      <c r="AYN187" s="575"/>
      <c r="AYO187" s="575"/>
      <c r="AYP187" s="575"/>
      <c r="AYQ187" s="575"/>
      <c r="AYR187" s="575"/>
      <c r="AYS187" s="575"/>
      <c r="AYT187" s="575"/>
      <c r="AYU187" s="575"/>
      <c r="AYV187" s="575"/>
      <c r="AYW187" s="575"/>
      <c r="AYX187" s="575"/>
      <c r="AYY187" s="575"/>
      <c r="AYZ187" s="575"/>
      <c r="AZA187" s="575"/>
      <c r="AZB187" s="575"/>
      <c r="AZC187" s="575"/>
      <c r="AZD187" s="575"/>
      <c r="AZE187" s="575"/>
      <c r="AZF187" s="575"/>
      <c r="AZG187" s="575"/>
      <c r="AZH187" s="575"/>
      <c r="AZI187" s="575"/>
      <c r="AZJ187" s="575"/>
      <c r="AZK187" s="575"/>
      <c r="AZL187" s="575"/>
      <c r="AZM187" s="575"/>
      <c r="AZN187" s="575"/>
      <c r="AZO187" s="575"/>
      <c r="AZP187" s="575"/>
      <c r="AZQ187" s="575"/>
      <c r="AZR187" s="575"/>
      <c r="AZS187" s="575"/>
      <c r="AZT187" s="575"/>
      <c r="AZU187" s="575"/>
      <c r="AZV187" s="575"/>
      <c r="AZW187" s="575"/>
      <c r="AZX187" s="575"/>
      <c r="AZY187" s="575"/>
      <c r="AZZ187" s="575"/>
      <c r="BAA187" s="575"/>
      <c r="BAB187" s="575"/>
      <c r="BAC187" s="575"/>
      <c r="BAD187" s="575"/>
      <c r="BAE187" s="575"/>
      <c r="BAF187" s="575"/>
      <c r="BAG187" s="575"/>
      <c r="BAH187" s="575"/>
      <c r="BAI187" s="575"/>
      <c r="BAJ187" s="575"/>
      <c r="BAK187" s="575"/>
      <c r="BAL187" s="575"/>
      <c r="BAM187" s="575"/>
      <c r="BAN187" s="575"/>
      <c r="BAO187" s="575"/>
      <c r="BAP187" s="575"/>
      <c r="BAQ187" s="575"/>
      <c r="BAR187" s="575"/>
      <c r="BAS187" s="575"/>
      <c r="BAT187" s="575"/>
      <c r="BAU187" s="575"/>
      <c r="BAV187" s="575"/>
      <c r="BAW187" s="575"/>
      <c r="BAX187" s="575"/>
      <c r="BAY187" s="575"/>
      <c r="BAZ187" s="575"/>
      <c r="BBA187" s="575"/>
      <c r="BBB187" s="575"/>
      <c r="BBC187" s="575"/>
      <c r="BBD187" s="575"/>
      <c r="BBE187" s="575"/>
      <c r="BBF187" s="575"/>
      <c r="BBG187" s="575"/>
      <c r="BBH187" s="575"/>
      <c r="BBI187" s="575"/>
      <c r="BBJ187" s="575"/>
      <c r="BBK187" s="575"/>
      <c r="BBL187" s="575"/>
      <c r="BBM187" s="575"/>
      <c r="BBN187" s="575"/>
      <c r="BBO187" s="575"/>
      <c r="BBP187" s="575"/>
      <c r="BBQ187" s="575"/>
      <c r="BBR187" s="575"/>
      <c r="BBS187" s="575"/>
      <c r="BBT187" s="575"/>
      <c r="BBU187" s="575"/>
      <c r="BBV187" s="575"/>
      <c r="BBW187" s="575"/>
      <c r="BBX187" s="575"/>
      <c r="BBY187" s="575"/>
      <c r="BBZ187" s="575"/>
      <c r="BCA187" s="575"/>
      <c r="BCB187" s="575"/>
      <c r="BCC187" s="575"/>
      <c r="BCD187" s="575"/>
      <c r="BCE187" s="575"/>
      <c r="BCF187" s="575"/>
      <c r="BCG187" s="575"/>
      <c r="BCH187" s="575"/>
      <c r="BCI187" s="575"/>
      <c r="BCJ187" s="575"/>
      <c r="BCK187" s="575"/>
      <c r="BCL187" s="575"/>
      <c r="BCM187" s="575"/>
      <c r="BCN187" s="575"/>
      <c r="BCO187" s="575"/>
      <c r="BCP187" s="575"/>
      <c r="BCQ187" s="575"/>
      <c r="BCR187" s="575"/>
      <c r="BCS187" s="575"/>
      <c r="BCT187" s="575"/>
      <c r="BCU187" s="575"/>
      <c r="BCV187" s="575"/>
      <c r="BCW187" s="575"/>
      <c r="BCX187" s="575"/>
      <c r="BCY187" s="575"/>
      <c r="BCZ187" s="575"/>
      <c r="BDA187" s="575"/>
      <c r="BDB187" s="575"/>
      <c r="BDC187" s="575"/>
      <c r="BDD187" s="575"/>
      <c r="BDE187" s="575"/>
      <c r="BDF187" s="575"/>
      <c r="BDG187" s="575"/>
      <c r="BDH187" s="575"/>
      <c r="BDI187" s="575"/>
      <c r="BDJ187" s="575"/>
      <c r="BDK187" s="575"/>
      <c r="BDL187" s="575"/>
      <c r="BDM187" s="575"/>
      <c r="BDN187" s="575"/>
      <c r="BDO187" s="575"/>
      <c r="BDP187" s="575"/>
      <c r="BDQ187" s="575"/>
      <c r="BDR187" s="575"/>
      <c r="BDS187" s="575"/>
      <c r="BDT187" s="575"/>
    </row>
    <row r="188" spans="1:1476" x14ac:dyDescent="0.25">
      <c r="A188" s="608">
        <v>5717</v>
      </c>
      <c r="B188" s="609" t="s">
        <v>207</v>
      </c>
      <c r="C188" s="610">
        <v>13670744.41</v>
      </c>
      <c r="D188" s="610">
        <v>4130747.1</v>
      </c>
      <c r="E188" s="610"/>
      <c r="F188" s="611"/>
      <c r="G188" s="610">
        <v>116885.6</v>
      </c>
      <c r="H188" s="610">
        <v>35862.15</v>
      </c>
      <c r="I188" s="610">
        <v>914819</v>
      </c>
      <c r="J188" s="610">
        <v>436267.91</v>
      </c>
      <c r="K188" s="610">
        <v>47285.5</v>
      </c>
      <c r="L188" s="610">
        <v>1392543.4</v>
      </c>
      <c r="M188" s="434">
        <f t="shared" si="8"/>
        <v>20745155.07</v>
      </c>
      <c r="N188" s="612">
        <v>206504.3</v>
      </c>
      <c r="O188" s="612">
        <v>-7167.7</v>
      </c>
      <c r="P188" s="612">
        <v>1668847.2</v>
      </c>
      <c r="Q188" s="612">
        <v>2961.22</v>
      </c>
      <c r="R188" s="612">
        <v>1958785.4</v>
      </c>
      <c r="S188" s="610">
        <v>15962.92</v>
      </c>
      <c r="T188" s="543">
        <f t="shared" si="9"/>
        <v>24591048.41</v>
      </c>
      <c r="U188" s="575">
        <v>-84608.59</v>
      </c>
      <c r="V188" s="612"/>
      <c r="W188" s="612">
        <v>-69241.279999999999</v>
      </c>
      <c r="X188" s="624">
        <v>57</v>
      </c>
      <c r="Y188" s="631">
        <v>1</v>
      </c>
      <c r="Z188" s="628">
        <f>VLOOKUP(A188,'[2]2022 toutes communes'!$B$9:$D$317,3,FALSE)</f>
        <v>3763</v>
      </c>
      <c r="AA188" s="617"/>
      <c r="AB188" s="618"/>
      <c r="AC188" s="547">
        <f>AB188/VPI!R188</f>
        <v>0</v>
      </c>
      <c r="AD188" s="548">
        <f t="shared" si="10"/>
        <v>0</v>
      </c>
      <c r="AE188" s="547">
        <f>AD188/VPI!R188</f>
        <v>0</v>
      </c>
      <c r="AF188" s="618"/>
      <c r="AG188" s="618"/>
      <c r="AH188" s="618"/>
      <c r="AI188" s="637"/>
      <c r="AJ188" s="628"/>
      <c r="AK188" s="547">
        <f>AJ188/VPI!R188</f>
        <v>0</v>
      </c>
      <c r="AL188" s="548">
        <f t="shared" si="11"/>
        <v>0</v>
      </c>
      <c r="AM188" s="547">
        <f>AL188/VPI!R188</f>
        <v>0</v>
      </c>
      <c r="AN188" s="628"/>
      <c r="AO188" s="637"/>
      <c r="AP188" s="629">
        <v>38.117729228444745</v>
      </c>
      <c r="AR188" s="630">
        <v>0</v>
      </c>
    </row>
    <row r="189" spans="1:1476" x14ac:dyDescent="0.25">
      <c r="A189" s="608">
        <v>5718</v>
      </c>
      <c r="B189" s="609" t="s">
        <v>208</v>
      </c>
      <c r="C189" s="610">
        <v>7845492.9500000002</v>
      </c>
      <c r="D189" s="610">
        <v>1979627.91</v>
      </c>
      <c r="E189" s="610"/>
      <c r="F189" s="611"/>
      <c r="G189" s="610">
        <v>540777.75</v>
      </c>
      <c r="H189" s="610">
        <v>20639.45</v>
      </c>
      <c r="I189" s="610">
        <v>371967.78</v>
      </c>
      <c r="J189" s="610">
        <v>229837.45</v>
      </c>
      <c r="K189" s="610">
        <v>44941.65</v>
      </c>
      <c r="L189" s="610">
        <v>713959.95</v>
      </c>
      <c r="M189" s="434">
        <f t="shared" si="8"/>
        <v>11747244.889999997</v>
      </c>
      <c r="N189" s="612">
        <v>253669.75</v>
      </c>
      <c r="O189" s="612">
        <v>47489.5</v>
      </c>
      <c r="P189" s="612">
        <v>516916.8</v>
      </c>
      <c r="Q189" s="612">
        <v>508.93</v>
      </c>
      <c r="R189" s="612">
        <v>566159.5</v>
      </c>
      <c r="S189" s="610">
        <v>58670.98</v>
      </c>
      <c r="T189" s="543">
        <f t="shared" si="9"/>
        <v>13190660.349999998</v>
      </c>
      <c r="U189" s="575">
        <v>-96453.06</v>
      </c>
      <c r="V189" s="612"/>
      <c r="W189" s="612">
        <v>-11514.28</v>
      </c>
      <c r="X189" s="624">
        <v>55</v>
      </c>
      <c r="Y189" s="631">
        <v>1</v>
      </c>
      <c r="Z189" s="628">
        <f>VLOOKUP(A189,'[2]2022 toutes communes'!$B$9:$D$317,3,FALSE)</f>
        <v>2026</v>
      </c>
      <c r="AA189" s="617"/>
      <c r="AB189" s="618"/>
      <c r="AC189" s="547">
        <f>AB189/VPI!R189</f>
        <v>0</v>
      </c>
      <c r="AD189" s="548">
        <f t="shared" si="10"/>
        <v>0</v>
      </c>
      <c r="AE189" s="547">
        <f>AD189/VPI!R189</f>
        <v>0</v>
      </c>
      <c r="AF189" s="618"/>
      <c r="AG189" s="618"/>
      <c r="AH189" s="618"/>
      <c r="AI189" s="637"/>
      <c r="AJ189" s="628"/>
      <c r="AK189" s="547">
        <f>AJ189/VPI!R189</f>
        <v>0</v>
      </c>
      <c r="AL189" s="548">
        <f t="shared" si="11"/>
        <v>0</v>
      </c>
      <c r="AM189" s="547">
        <f>AL189/VPI!R189</f>
        <v>0</v>
      </c>
      <c r="AN189" s="628"/>
      <c r="AO189" s="637"/>
      <c r="AP189" s="629">
        <v>37.191282319079278</v>
      </c>
      <c r="AR189" s="630">
        <v>0</v>
      </c>
    </row>
    <row r="190" spans="1:1476" x14ac:dyDescent="0.25">
      <c r="A190" s="608">
        <v>5719</v>
      </c>
      <c r="B190" s="609" t="s">
        <v>209</v>
      </c>
      <c r="C190" s="610">
        <v>3978389.04</v>
      </c>
      <c r="D190" s="610">
        <v>2456059.21</v>
      </c>
      <c r="E190" s="610"/>
      <c r="F190" s="611"/>
      <c r="G190" s="610">
        <v>58307.9</v>
      </c>
      <c r="H190" s="610">
        <v>-1083.5</v>
      </c>
      <c r="I190" s="610">
        <v>241425.51</v>
      </c>
      <c r="J190" s="610">
        <v>61880.14</v>
      </c>
      <c r="K190" s="610">
        <v>14154.3</v>
      </c>
      <c r="L190" s="610">
        <v>263491.3</v>
      </c>
      <c r="M190" s="434">
        <f t="shared" si="8"/>
        <v>7072623.8999999994</v>
      </c>
      <c r="N190" s="612">
        <v>56832</v>
      </c>
      <c r="O190" s="612">
        <v>572041.80000000005</v>
      </c>
      <c r="P190" s="612">
        <v>244034.8</v>
      </c>
      <c r="Q190" s="612">
        <v>335.72</v>
      </c>
      <c r="R190" s="612">
        <v>330428.84999999998</v>
      </c>
      <c r="S190" s="610">
        <v>5980.24</v>
      </c>
      <c r="T190" s="543">
        <f t="shared" si="9"/>
        <v>8282277.3099999987</v>
      </c>
      <c r="U190" s="575">
        <v>-51834.44</v>
      </c>
      <c r="V190" s="612"/>
      <c r="W190" s="612">
        <v>-6168.34</v>
      </c>
      <c r="X190" s="624">
        <v>60</v>
      </c>
      <c r="Y190" s="631">
        <v>0.6</v>
      </c>
      <c r="Z190" s="628">
        <f>VLOOKUP(A190,'[2]2022 toutes communes'!$B$9:$D$317,3,FALSE)</f>
        <v>1270</v>
      </c>
      <c r="AA190" s="617"/>
      <c r="AB190" s="618"/>
      <c r="AC190" s="547">
        <f>AB190/VPI!R190</f>
        <v>0</v>
      </c>
      <c r="AD190" s="548">
        <f t="shared" si="10"/>
        <v>0</v>
      </c>
      <c r="AE190" s="547">
        <f>AD190/VPI!R190</f>
        <v>0</v>
      </c>
      <c r="AF190" s="618"/>
      <c r="AG190" s="618"/>
      <c r="AH190" s="618"/>
      <c r="AI190" s="637"/>
      <c r="AJ190" s="628"/>
      <c r="AK190" s="547">
        <f>AJ190/VPI!R190</f>
        <v>0</v>
      </c>
      <c r="AL190" s="548">
        <f t="shared" si="11"/>
        <v>0</v>
      </c>
      <c r="AM190" s="547">
        <f>AL190/VPI!R190</f>
        <v>0</v>
      </c>
      <c r="AN190" s="628"/>
      <c r="AO190" s="637"/>
      <c r="AP190" s="629">
        <v>43.150176058436685</v>
      </c>
      <c r="AR190" s="630">
        <v>0</v>
      </c>
    </row>
    <row r="191" spans="1:1476" x14ac:dyDescent="0.25">
      <c r="A191" s="608">
        <v>5720</v>
      </c>
      <c r="B191" s="609" t="s">
        <v>210</v>
      </c>
      <c r="C191" s="610">
        <v>3706544.99</v>
      </c>
      <c r="D191" s="610">
        <v>1093140.3</v>
      </c>
      <c r="E191" s="610"/>
      <c r="F191" s="611"/>
      <c r="G191" s="610">
        <v>90186.15</v>
      </c>
      <c r="H191" s="610">
        <v>6031.9</v>
      </c>
      <c r="I191" s="610">
        <v>408093.5</v>
      </c>
      <c r="J191" s="610">
        <v>60011.1</v>
      </c>
      <c r="K191" s="610"/>
      <c r="L191" s="610">
        <v>296029.65000000002</v>
      </c>
      <c r="M191" s="434">
        <f t="shared" si="8"/>
        <v>5660037.5900000008</v>
      </c>
      <c r="N191" s="612">
        <v>16911.75</v>
      </c>
      <c r="O191" s="612">
        <v>11880</v>
      </c>
      <c r="P191" s="612">
        <v>317959.65000000002</v>
      </c>
      <c r="Q191" s="612">
        <v>291.77999999999997</v>
      </c>
      <c r="R191" s="612">
        <v>100338.6</v>
      </c>
      <c r="S191" s="610">
        <v>10055.280000000001</v>
      </c>
      <c r="T191" s="543">
        <f t="shared" si="9"/>
        <v>6117474.6500000013</v>
      </c>
      <c r="U191" s="575">
        <v>-5671.59</v>
      </c>
      <c r="V191" s="612"/>
      <c r="W191" s="612">
        <v>-11420.29</v>
      </c>
      <c r="X191" s="624">
        <v>67</v>
      </c>
      <c r="Y191" s="631">
        <v>0.9</v>
      </c>
      <c r="Z191" s="628">
        <f>VLOOKUP(A191,'[2]2022 toutes communes'!$B$9:$D$317,3,FALSE)</f>
        <v>1024</v>
      </c>
      <c r="AA191" s="617"/>
      <c r="AB191" s="618">
        <v>88587</v>
      </c>
      <c r="AC191" s="547">
        <f>AB191/VPI!R191</f>
        <v>1.043815677596033</v>
      </c>
      <c r="AD191" s="548">
        <f t="shared" si="10"/>
        <v>195989</v>
      </c>
      <c r="AE191" s="547">
        <f>AD191/VPI!R191</f>
        <v>2.3093274502621028</v>
      </c>
      <c r="AF191" s="618">
        <v>284576</v>
      </c>
      <c r="AG191" s="618">
        <v>97853</v>
      </c>
      <c r="AH191" s="618">
        <v>64364</v>
      </c>
      <c r="AI191" s="637"/>
      <c r="AJ191" s="628">
        <v>0</v>
      </c>
      <c r="AK191" s="547">
        <f>AJ191/VPI!R191</f>
        <v>0</v>
      </c>
      <c r="AL191" s="548">
        <f t="shared" si="11"/>
        <v>110471</v>
      </c>
      <c r="AM191" s="547">
        <f>AL191/VPI!R191</f>
        <v>1.3016736284072308</v>
      </c>
      <c r="AN191" s="628">
        <v>110471</v>
      </c>
      <c r="AO191" s="637"/>
      <c r="AP191" s="629">
        <v>35.35867391486471</v>
      </c>
      <c r="AR191" s="630">
        <v>0</v>
      </c>
    </row>
    <row r="192" spans="1:1476" x14ac:dyDescent="0.25">
      <c r="A192" s="608">
        <v>5721</v>
      </c>
      <c r="B192" s="609" t="s">
        <v>211</v>
      </c>
      <c r="C192" s="610">
        <v>25571314.77</v>
      </c>
      <c r="D192" s="610">
        <v>5288065.7699999996</v>
      </c>
      <c r="E192" s="610"/>
      <c r="F192" s="611"/>
      <c r="G192" s="610">
        <v>5191647.1500000004</v>
      </c>
      <c r="H192" s="610">
        <v>350231.65</v>
      </c>
      <c r="I192" s="610">
        <v>704264.29</v>
      </c>
      <c r="J192" s="610">
        <v>1106072.03</v>
      </c>
      <c r="K192" s="610">
        <v>549055.4</v>
      </c>
      <c r="L192" s="610">
        <v>3092516.35</v>
      </c>
      <c r="M192" s="434">
        <f t="shared" si="8"/>
        <v>41853167.409999996</v>
      </c>
      <c r="N192" s="612">
        <v>2399698.6</v>
      </c>
      <c r="O192" s="612">
        <v>884374.8</v>
      </c>
      <c r="P192" s="612">
        <v>1715929.45</v>
      </c>
      <c r="Q192" s="612">
        <v>72861.02</v>
      </c>
      <c r="R192" s="612">
        <v>1037215.45</v>
      </c>
      <c r="S192" s="610">
        <v>579154.79</v>
      </c>
      <c r="T192" s="543">
        <f t="shared" si="9"/>
        <v>48542401.520000003</v>
      </c>
      <c r="U192" s="575">
        <v>-394646.63</v>
      </c>
      <c r="V192" s="612"/>
      <c r="W192" s="612">
        <v>-82432.990000000005</v>
      </c>
      <c r="X192" s="624">
        <v>61</v>
      </c>
      <c r="Y192" s="631">
        <v>1</v>
      </c>
      <c r="Z192" s="628">
        <f>VLOOKUP(A192,'[2]2022 toutes communes'!$B$9:$D$317,3,FALSE)</f>
        <v>13686</v>
      </c>
      <c r="AA192" s="617"/>
      <c r="AB192" s="618">
        <v>1520156</v>
      </c>
      <c r="AC192" s="547">
        <f>AB192/VPI!R192</f>
        <v>2.2063692638275496</v>
      </c>
      <c r="AD192" s="548">
        <f t="shared" si="10"/>
        <v>1815390</v>
      </c>
      <c r="AE192" s="547">
        <f>AD192/VPI!R192</f>
        <v>2.6348747746020118</v>
      </c>
      <c r="AF192" s="618">
        <v>3335546</v>
      </c>
      <c r="AG192" s="618">
        <v>1080932</v>
      </c>
      <c r="AH192" s="618">
        <v>65479</v>
      </c>
      <c r="AI192" s="637"/>
      <c r="AJ192" s="628">
        <v>0</v>
      </c>
      <c r="AK192" s="547">
        <f>AJ192/VPI!R192</f>
        <v>0</v>
      </c>
      <c r="AL192" s="548">
        <f t="shared" si="11"/>
        <v>35424</v>
      </c>
      <c r="AM192" s="547">
        <f>AL192/VPI!R192</f>
        <v>5.1414739541091256E-2</v>
      </c>
      <c r="AN192" s="628">
        <v>35424</v>
      </c>
      <c r="AO192" s="637"/>
      <c r="AP192" s="629">
        <v>21.032440887060329</v>
      </c>
      <c r="AR192" s="630">
        <v>0</v>
      </c>
    </row>
    <row r="193" spans="1:1476" x14ac:dyDescent="0.25">
      <c r="A193" s="608">
        <v>5722</v>
      </c>
      <c r="B193" s="609" t="s">
        <v>212</v>
      </c>
      <c r="C193" s="610">
        <v>989861.44</v>
      </c>
      <c r="D193" s="610">
        <v>190246.47</v>
      </c>
      <c r="E193" s="610"/>
      <c r="F193" s="611"/>
      <c r="G193" s="610">
        <v>3777.65</v>
      </c>
      <c r="H193" s="610">
        <v>4807.7</v>
      </c>
      <c r="I193" s="610"/>
      <c r="J193" s="610">
        <v>14617.75</v>
      </c>
      <c r="K193" s="610">
        <v>7610.1</v>
      </c>
      <c r="L193" s="610">
        <v>94063.05</v>
      </c>
      <c r="M193" s="434">
        <f t="shared" si="8"/>
        <v>1304984.1599999999</v>
      </c>
      <c r="N193" s="612">
        <v>19125.8</v>
      </c>
      <c r="O193" s="612">
        <v>132000</v>
      </c>
      <c r="P193" s="612">
        <v>57277.5</v>
      </c>
      <c r="Q193" s="612">
        <v>2111.5100000000002</v>
      </c>
      <c r="R193" s="612">
        <v>27075.3</v>
      </c>
      <c r="S193" s="610">
        <v>897.21</v>
      </c>
      <c r="T193" s="543">
        <f t="shared" si="9"/>
        <v>1543471.48</v>
      </c>
      <c r="U193" s="575">
        <v>-10329.219999999999</v>
      </c>
      <c r="V193" s="612"/>
      <c r="W193" s="612">
        <v>-1074.82</v>
      </c>
      <c r="X193" s="624">
        <v>62</v>
      </c>
      <c r="Y193" s="631">
        <v>1</v>
      </c>
      <c r="Z193" s="628">
        <f>VLOOKUP(A193,'[2]2022 toutes communes'!$B$9:$D$317,3,FALSE)</f>
        <v>400</v>
      </c>
      <c r="AA193" s="617"/>
      <c r="AB193" s="618"/>
      <c r="AC193" s="547">
        <f>AB193/VPI!R193</f>
        <v>0</v>
      </c>
      <c r="AD193" s="548">
        <f t="shared" si="10"/>
        <v>0</v>
      </c>
      <c r="AE193" s="547">
        <f>AD193/VPI!R193</f>
        <v>0</v>
      </c>
      <c r="AF193" s="618"/>
      <c r="AG193" s="618"/>
      <c r="AH193" s="618"/>
      <c r="AI193" s="637"/>
      <c r="AJ193" s="628"/>
      <c r="AK193" s="547">
        <f>AJ193/VPI!R193</f>
        <v>0</v>
      </c>
      <c r="AL193" s="548">
        <f t="shared" si="11"/>
        <v>0</v>
      </c>
      <c r="AM193" s="547">
        <f>AL193/VPI!R193</f>
        <v>0</v>
      </c>
      <c r="AN193" s="628"/>
      <c r="AO193" s="637"/>
      <c r="AP193" s="629">
        <v>30.22780518248096</v>
      </c>
      <c r="AR193" s="630">
        <v>0</v>
      </c>
    </row>
    <row r="194" spans="1:1476" x14ac:dyDescent="0.25">
      <c r="A194" s="608">
        <v>5723</v>
      </c>
      <c r="B194" s="609" t="s">
        <v>213</v>
      </c>
      <c r="C194" s="610">
        <v>8985345.7200000007</v>
      </c>
      <c r="D194" s="610">
        <v>2148648.9500000002</v>
      </c>
      <c r="E194" s="610"/>
      <c r="F194" s="611"/>
      <c r="G194" s="610">
        <v>151188.65</v>
      </c>
      <c r="H194" s="610">
        <v>33030.9</v>
      </c>
      <c r="I194" s="610">
        <v>811487.35</v>
      </c>
      <c r="J194" s="610">
        <v>116354.42</v>
      </c>
      <c r="K194" s="610">
        <v>48197.35</v>
      </c>
      <c r="L194" s="610">
        <v>912216.75</v>
      </c>
      <c r="M194" s="434">
        <f t="shared" si="8"/>
        <v>13206470.090000002</v>
      </c>
      <c r="N194" s="612">
        <v>212985</v>
      </c>
      <c r="O194" s="612">
        <v>60593.7</v>
      </c>
      <c r="P194" s="612">
        <v>844504.75</v>
      </c>
      <c r="Q194" s="612">
        <v>1682.14</v>
      </c>
      <c r="R194" s="612">
        <v>1077194.45</v>
      </c>
      <c r="S194" s="610">
        <v>19251.89</v>
      </c>
      <c r="T194" s="543">
        <f t="shared" si="9"/>
        <v>15422682.020000001</v>
      </c>
      <c r="U194" s="575">
        <v>-19160.009999999998</v>
      </c>
      <c r="V194" s="612"/>
      <c r="W194" s="612">
        <v>-12142.06</v>
      </c>
      <c r="X194" s="624">
        <v>52</v>
      </c>
      <c r="Y194" s="631">
        <v>1</v>
      </c>
      <c r="Z194" s="628">
        <f>VLOOKUP(A194,'[2]2022 toutes communes'!$B$9:$D$317,3,FALSE)</f>
        <v>2226</v>
      </c>
      <c r="AA194" s="617"/>
      <c r="AB194" s="618"/>
      <c r="AC194" s="547">
        <f>AB194/VPI!R194</f>
        <v>0</v>
      </c>
      <c r="AD194" s="548">
        <f t="shared" si="10"/>
        <v>0</v>
      </c>
      <c r="AE194" s="547">
        <f>AD194/VPI!R194</f>
        <v>0</v>
      </c>
      <c r="AF194" s="618"/>
      <c r="AG194" s="618"/>
      <c r="AH194" s="618"/>
      <c r="AI194" s="637"/>
      <c r="AJ194" s="628"/>
      <c r="AK194" s="547">
        <f>AJ194/VPI!R194</f>
        <v>0</v>
      </c>
      <c r="AL194" s="548">
        <f t="shared" si="11"/>
        <v>0</v>
      </c>
      <c r="AM194" s="547">
        <f>AL194/VPI!R194</f>
        <v>0</v>
      </c>
      <c r="AN194" s="628"/>
      <c r="AO194" s="637"/>
      <c r="AP194" s="629">
        <v>39.602707688370103</v>
      </c>
      <c r="AR194" s="630">
        <v>0</v>
      </c>
    </row>
    <row r="195" spans="1:1476" x14ac:dyDescent="0.25">
      <c r="A195" s="608">
        <v>5724</v>
      </c>
      <c r="B195" s="609" t="s">
        <v>63</v>
      </c>
      <c r="C195" s="610">
        <v>58442547.340000004</v>
      </c>
      <c r="D195" s="610">
        <v>10647087.76</v>
      </c>
      <c r="E195" s="610"/>
      <c r="F195" s="611"/>
      <c r="G195" s="610">
        <v>9978548.3499999996</v>
      </c>
      <c r="H195" s="610">
        <v>1198758.55</v>
      </c>
      <c r="I195" s="610">
        <v>1715206.94</v>
      </c>
      <c r="J195" s="610">
        <v>3670882.78</v>
      </c>
      <c r="K195" s="610">
        <v>988000.25</v>
      </c>
      <c r="L195" s="610">
        <v>8779052.25</v>
      </c>
      <c r="M195" s="434">
        <f t="shared" si="8"/>
        <v>95420084.219999999</v>
      </c>
      <c r="N195" s="612">
        <v>5455835.7000000002</v>
      </c>
      <c r="O195" s="612">
        <v>1594353.4</v>
      </c>
      <c r="P195" s="612">
        <v>4171563.7</v>
      </c>
      <c r="Q195" s="612">
        <v>96535.7</v>
      </c>
      <c r="R195" s="612">
        <v>2545298.35</v>
      </c>
      <c r="S195" s="610">
        <v>1168085.95</v>
      </c>
      <c r="T195" s="543">
        <f t="shared" si="9"/>
        <v>110451757.02000001</v>
      </c>
      <c r="U195" s="575">
        <v>-715916.12</v>
      </c>
      <c r="V195" s="612"/>
      <c r="W195" s="612">
        <v>-313374.37</v>
      </c>
      <c r="X195" s="624">
        <v>61</v>
      </c>
      <c r="Y195" s="631">
        <v>1.5</v>
      </c>
      <c r="Z195" s="628">
        <f>VLOOKUP(A195,'[2]2022 toutes communes'!$B$9:$D$317,3,FALSE)</f>
        <v>22461</v>
      </c>
      <c r="AA195" s="617"/>
      <c r="AB195" s="618">
        <v>3024586</v>
      </c>
      <c r="AC195" s="547">
        <f>AB195/VPI!R195</f>
        <v>1.9896646939789153</v>
      </c>
      <c r="AD195" s="548">
        <f t="shared" si="10"/>
        <v>5028598</v>
      </c>
      <c r="AE195" s="547">
        <f>AD195/VPI!R195</f>
        <v>3.3079647597433124</v>
      </c>
      <c r="AF195" s="618">
        <v>8053184</v>
      </c>
      <c r="AG195" s="618">
        <v>5937894</v>
      </c>
      <c r="AH195" s="618">
        <v>141464</v>
      </c>
      <c r="AI195" s="637"/>
      <c r="AJ195" s="628">
        <v>13252</v>
      </c>
      <c r="AK195" s="547">
        <f>AJ195/VPI!R195</f>
        <v>8.7175687927566244E-3</v>
      </c>
      <c r="AL195" s="548">
        <f t="shared" si="11"/>
        <v>338126</v>
      </c>
      <c r="AM195" s="547">
        <f>AL195/VPI!R195</f>
        <v>0.22242957030030383</v>
      </c>
      <c r="AN195" s="628">
        <v>351378</v>
      </c>
      <c r="AO195" s="637"/>
      <c r="AP195" s="629">
        <v>23.076374267772266</v>
      </c>
      <c r="AR195" s="630">
        <v>1</v>
      </c>
    </row>
    <row r="196" spans="1:1476" x14ac:dyDescent="0.25">
      <c r="A196" s="608">
        <v>5725</v>
      </c>
      <c r="B196" s="609" t="s">
        <v>64</v>
      </c>
      <c r="C196" s="610">
        <v>12366098.279999999</v>
      </c>
      <c r="D196" s="610">
        <v>3684943</v>
      </c>
      <c r="E196" s="610"/>
      <c r="F196" s="611"/>
      <c r="G196" s="610">
        <v>3233734.7</v>
      </c>
      <c r="H196" s="610">
        <v>25939.55</v>
      </c>
      <c r="I196" s="610">
        <v>233253.24</v>
      </c>
      <c r="J196" s="610">
        <v>351423.62</v>
      </c>
      <c r="K196" s="610">
        <v>3441.35</v>
      </c>
      <c r="L196" s="610">
        <v>1717542</v>
      </c>
      <c r="M196" s="434">
        <f t="shared" si="8"/>
        <v>21616375.740000002</v>
      </c>
      <c r="N196" s="612">
        <v>1061787.3999999999</v>
      </c>
      <c r="O196" s="612">
        <v>10830.7</v>
      </c>
      <c r="P196" s="612">
        <v>1205454.45</v>
      </c>
      <c r="Q196" s="612">
        <v>14979.36</v>
      </c>
      <c r="R196" s="612">
        <v>380636.95</v>
      </c>
      <c r="S196" s="610">
        <v>340652.69</v>
      </c>
      <c r="T196" s="543">
        <f t="shared" si="9"/>
        <v>24630717.289999999</v>
      </c>
      <c r="U196" s="575">
        <v>-56734.69</v>
      </c>
      <c r="V196" s="612"/>
      <c r="W196" s="612">
        <v>-31802.03</v>
      </c>
      <c r="X196" s="624">
        <v>55</v>
      </c>
      <c r="Y196" s="631">
        <v>1.4</v>
      </c>
      <c r="Z196" s="628">
        <f>VLOOKUP(A196,'[2]2022 toutes communes'!$B$9:$D$317,3,FALSE)</f>
        <v>4277</v>
      </c>
      <c r="AA196" s="617"/>
      <c r="AB196" s="618">
        <v>184326</v>
      </c>
      <c r="AC196" s="547">
        <f>AB196/VPI!R196</f>
        <v>0.4738957110097875</v>
      </c>
      <c r="AD196" s="548">
        <f t="shared" si="10"/>
        <v>590831</v>
      </c>
      <c r="AE196" s="547">
        <f>AD196/VPI!R196</f>
        <v>1.5190058745463135</v>
      </c>
      <c r="AF196" s="618">
        <v>775157</v>
      </c>
      <c r="AG196" s="618">
        <v>1377594</v>
      </c>
      <c r="AH196" s="618">
        <v>79830</v>
      </c>
      <c r="AI196" s="637"/>
      <c r="AJ196" s="628">
        <v>0</v>
      </c>
      <c r="AK196" s="547">
        <f>AJ196/VPI!R196</f>
        <v>0</v>
      </c>
      <c r="AL196" s="548">
        <f t="shared" si="11"/>
        <v>6758</v>
      </c>
      <c r="AM196" s="547">
        <f>AL196/VPI!R196</f>
        <v>1.7374582072003646E-2</v>
      </c>
      <c r="AN196" s="628">
        <v>6758</v>
      </c>
      <c r="AO196" s="637"/>
      <c r="AP196" s="629">
        <v>34.740421829830062</v>
      </c>
      <c r="AR196" s="630">
        <v>1</v>
      </c>
    </row>
    <row r="197" spans="1:1476" x14ac:dyDescent="0.25">
      <c r="A197" s="608">
        <v>5726</v>
      </c>
      <c r="B197" s="609" t="s">
        <v>268</v>
      </c>
      <c r="C197" s="610">
        <v>3412629.2</v>
      </c>
      <c r="D197" s="610">
        <v>701343.99</v>
      </c>
      <c r="E197" s="610"/>
      <c r="F197" s="611"/>
      <c r="G197" s="610">
        <v>54205.3</v>
      </c>
      <c r="H197" s="610">
        <v>1700.5</v>
      </c>
      <c r="I197" s="610"/>
      <c r="J197" s="610">
        <v>22978.07</v>
      </c>
      <c r="K197" s="610">
        <v>3844.55</v>
      </c>
      <c r="L197" s="610">
        <v>283300.25</v>
      </c>
      <c r="M197" s="434">
        <f t="shared" si="8"/>
        <v>4480001.8600000003</v>
      </c>
      <c r="N197" s="612">
        <v>20131.75</v>
      </c>
      <c r="O197" s="612"/>
      <c r="P197" s="612">
        <v>225877.4</v>
      </c>
      <c r="Q197" s="612">
        <v>2449.34</v>
      </c>
      <c r="R197" s="612">
        <v>185455.15</v>
      </c>
      <c r="S197" s="610">
        <v>5842.44</v>
      </c>
      <c r="T197" s="543">
        <f t="shared" si="9"/>
        <v>4919757.9400000013</v>
      </c>
      <c r="U197" s="575">
        <v>-13878.86</v>
      </c>
      <c r="V197" s="612"/>
      <c r="W197" s="612">
        <v>-8116.34</v>
      </c>
      <c r="X197" s="624">
        <v>64</v>
      </c>
      <c r="Y197" s="631">
        <v>1</v>
      </c>
      <c r="Z197" s="628">
        <f>VLOOKUP(A197,'[2]2022 toutes communes'!$B$9:$D$317,3,FALSE)</f>
        <v>1197</v>
      </c>
      <c r="AA197" s="617"/>
      <c r="AB197" s="618"/>
      <c r="AC197" s="547">
        <f>AB197/VPI!R197</f>
        <v>0</v>
      </c>
      <c r="AD197" s="548">
        <f t="shared" si="10"/>
        <v>0</v>
      </c>
      <c r="AE197" s="547">
        <f>AD197/VPI!R197</f>
        <v>0</v>
      </c>
      <c r="AF197" s="618"/>
      <c r="AG197" s="618"/>
      <c r="AH197" s="618"/>
      <c r="AI197" s="637"/>
      <c r="AJ197" s="628"/>
      <c r="AK197" s="547">
        <f>AJ197/VPI!R197</f>
        <v>0</v>
      </c>
      <c r="AL197" s="548">
        <f t="shared" si="11"/>
        <v>0</v>
      </c>
      <c r="AM197" s="547">
        <f>AL197/VPI!R197</f>
        <v>0</v>
      </c>
      <c r="AN197" s="628"/>
      <c r="AO197" s="637"/>
      <c r="AP197" s="629">
        <v>31.051857605946381</v>
      </c>
      <c r="AR197" s="630">
        <v>0</v>
      </c>
    </row>
    <row r="198" spans="1:1476" x14ac:dyDescent="0.25">
      <c r="A198" s="608">
        <v>5727</v>
      </c>
      <c r="B198" s="609" t="s">
        <v>269</v>
      </c>
      <c r="C198" s="610">
        <v>5349244.9800000004</v>
      </c>
      <c r="D198" s="610">
        <v>826426.28</v>
      </c>
      <c r="E198" s="610"/>
      <c r="F198" s="611"/>
      <c r="G198" s="610">
        <v>60444.4</v>
      </c>
      <c r="H198" s="610">
        <v>25859.3</v>
      </c>
      <c r="I198" s="610">
        <v>124144.95</v>
      </c>
      <c r="J198" s="610">
        <v>178037.69</v>
      </c>
      <c r="K198" s="610">
        <v>13925.4</v>
      </c>
      <c r="L198" s="610">
        <v>842917.65</v>
      </c>
      <c r="M198" s="434">
        <f t="shared" si="8"/>
        <v>7421000.6500000022</v>
      </c>
      <c r="N198" s="612">
        <v>188988.35</v>
      </c>
      <c r="O198" s="612">
        <v>138535.20000000001</v>
      </c>
      <c r="P198" s="612">
        <v>603786.55000000005</v>
      </c>
      <c r="Q198" s="612">
        <v>22195.84</v>
      </c>
      <c r="R198" s="612">
        <v>666964.44999999995</v>
      </c>
      <c r="S198" s="610">
        <v>9019.18</v>
      </c>
      <c r="T198" s="543">
        <f t="shared" si="9"/>
        <v>9050490.2200000007</v>
      </c>
      <c r="U198" s="575">
        <v>-103567.36</v>
      </c>
      <c r="V198" s="612"/>
      <c r="W198" s="612">
        <v>-2496.9699999999998</v>
      </c>
      <c r="X198" s="624">
        <v>66</v>
      </c>
      <c r="Y198" s="631">
        <v>1.5</v>
      </c>
      <c r="Z198" s="628">
        <f>VLOOKUP(A198,'[2]2022 toutes communes'!$B$9:$D$317,3,FALSE)</f>
        <v>2786</v>
      </c>
      <c r="AA198" s="617"/>
      <c r="AB198" s="618">
        <v>119453</v>
      </c>
      <c r="AC198" s="547">
        <f>AB198/VPI!R198</f>
        <v>1.1158808905386524</v>
      </c>
      <c r="AD198" s="548">
        <f t="shared" si="10"/>
        <v>741033</v>
      </c>
      <c r="AE198" s="547">
        <f>AD198/VPI!R198</f>
        <v>6.9224260919234277</v>
      </c>
      <c r="AF198" s="618">
        <v>860486</v>
      </c>
      <c r="AG198" s="618">
        <v>236163</v>
      </c>
      <c r="AH198" s="618">
        <v>151119</v>
      </c>
      <c r="AI198" s="637"/>
      <c r="AJ198" s="628">
        <v>0</v>
      </c>
      <c r="AK198" s="547">
        <f>AJ198/VPI!R198</f>
        <v>0</v>
      </c>
      <c r="AL198" s="548">
        <f t="shared" si="11"/>
        <v>183736</v>
      </c>
      <c r="AM198" s="547">
        <f>AL198/VPI!R198</f>
        <v>1.7163862883645438</v>
      </c>
      <c r="AN198" s="628">
        <v>183736</v>
      </c>
      <c r="AO198" s="637"/>
      <c r="AP198" s="629">
        <v>19.455512067654794</v>
      </c>
      <c r="AR198" s="630">
        <v>0</v>
      </c>
    </row>
    <row r="199" spans="1:1476" x14ac:dyDescent="0.25">
      <c r="A199" s="608">
        <v>5728</v>
      </c>
      <c r="B199" s="609" t="s">
        <v>270</v>
      </c>
      <c r="C199" s="610">
        <v>1283472.83</v>
      </c>
      <c r="D199" s="610">
        <v>219456.74</v>
      </c>
      <c r="E199" s="610"/>
      <c r="F199" s="611"/>
      <c r="G199" s="610">
        <v>1639438.76</v>
      </c>
      <c r="H199" s="610">
        <v>66038.45</v>
      </c>
      <c r="I199" s="610">
        <v>31747.15</v>
      </c>
      <c r="J199" s="610">
        <v>101609.01</v>
      </c>
      <c r="K199" s="610">
        <v>61900.95</v>
      </c>
      <c r="L199" s="610">
        <v>251197</v>
      </c>
      <c r="M199" s="434">
        <f t="shared" ref="M199:M262" si="12">SUM(C199:L199)</f>
        <v>3654860.89</v>
      </c>
      <c r="N199" s="612">
        <v>185182.65</v>
      </c>
      <c r="O199" s="612"/>
      <c r="P199" s="612">
        <v>173638.15</v>
      </c>
      <c r="Q199" s="612"/>
      <c r="R199" s="612">
        <v>46346.400000000001</v>
      </c>
      <c r="S199" s="610">
        <v>178231.12</v>
      </c>
      <c r="T199" s="543">
        <f t="shared" ref="T199:T262" si="13">SUM(M199:S199)</f>
        <v>4238259.21</v>
      </c>
      <c r="U199" s="575">
        <v>-4453.88</v>
      </c>
      <c r="V199" s="612"/>
      <c r="W199" s="612">
        <v>-594.04</v>
      </c>
      <c r="X199" s="624">
        <v>58</v>
      </c>
      <c r="Y199" s="631">
        <v>1</v>
      </c>
      <c r="Z199" s="628">
        <f>VLOOKUP(A199,'[2]2022 toutes communes'!$B$9:$D$317,3,FALSE)</f>
        <v>583</v>
      </c>
      <c r="AA199" s="617"/>
      <c r="AB199" s="618"/>
      <c r="AC199" s="547">
        <f>AB199/VPI!R199</f>
        <v>0</v>
      </c>
      <c r="AD199" s="548">
        <f t="shared" ref="AD199:AD262" si="14">AF199-AB199</f>
        <v>0</v>
      </c>
      <c r="AE199" s="547">
        <f>AD199/VPI!R199</f>
        <v>0</v>
      </c>
      <c r="AF199" s="618"/>
      <c r="AG199" s="618"/>
      <c r="AH199" s="618"/>
      <c r="AI199" s="637"/>
      <c r="AJ199" s="628"/>
      <c r="AK199" s="547">
        <f>AJ199/VPI!R199</f>
        <v>0</v>
      </c>
      <c r="AL199" s="548">
        <f t="shared" ref="AL199:AL261" si="15">AN199-AJ199</f>
        <v>0</v>
      </c>
      <c r="AM199" s="547">
        <f>AL199/VPI!R199</f>
        <v>0</v>
      </c>
      <c r="AN199" s="628"/>
      <c r="AO199" s="637"/>
      <c r="AP199" s="629">
        <v>39.121042377372483</v>
      </c>
      <c r="AR199" s="630">
        <v>0</v>
      </c>
    </row>
    <row r="200" spans="1:1476" x14ac:dyDescent="0.25">
      <c r="A200" s="608">
        <v>5729</v>
      </c>
      <c r="B200" s="609" t="s">
        <v>271</v>
      </c>
      <c r="C200" s="610">
        <v>8419079</v>
      </c>
      <c r="D200" s="610">
        <v>1870365.71</v>
      </c>
      <c r="E200" s="610"/>
      <c r="F200" s="611"/>
      <c r="G200" s="610">
        <v>123699.7</v>
      </c>
      <c r="H200" s="610">
        <v>13905.7</v>
      </c>
      <c r="I200" s="610">
        <v>276331.74</v>
      </c>
      <c r="J200" s="610">
        <v>116052.55</v>
      </c>
      <c r="K200" s="610">
        <v>4704.75</v>
      </c>
      <c r="L200" s="610">
        <v>931347.7</v>
      </c>
      <c r="M200" s="434">
        <f t="shared" si="12"/>
        <v>11755486.85</v>
      </c>
      <c r="N200" s="612">
        <v>15753.15</v>
      </c>
      <c r="O200" s="612">
        <v>463555.2</v>
      </c>
      <c r="P200" s="612">
        <v>732120.15</v>
      </c>
      <c r="Q200" s="612">
        <v>1976.72</v>
      </c>
      <c r="R200" s="612">
        <v>614238.15</v>
      </c>
      <c r="S200" s="610">
        <v>14380.47</v>
      </c>
      <c r="T200" s="543">
        <f t="shared" si="13"/>
        <v>13597510.690000001</v>
      </c>
      <c r="U200" s="575">
        <v>-11869.97</v>
      </c>
      <c r="V200" s="612"/>
      <c r="W200" s="612">
        <v>-9829.84</v>
      </c>
      <c r="X200" s="624">
        <v>60.5</v>
      </c>
      <c r="Y200" s="631">
        <v>1.5</v>
      </c>
      <c r="Z200" s="628">
        <f>VLOOKUP(A200,'[2]2022 toutes communes'!$B$9:$D$317,3,FALSE)</f>
        <v>1720</v>
      </c>
      <c r="AA200" s="617"/>
      <c r="AB200" s="618"/>
      <c r="AC200" s="547">
        <f>AB200/VPI!R200</f>
        <v>0</v>
      </c>
      <c r="AD200" s="548">
        <f t="shared" si="14"/>
        <v>0</v>
      </c>
      <c r="AE200" s="547">
        <f>AD200/VPI!R200</f>
        <v>0</v>
      </c>
      <c r="AF200" s="618"/>
      <c r="AG200" s="618"/>
      <c r="AH200" s="618"/>
      <c r="AI200" s="637"/>
      <c r="AJ200" s="628"/>
      <c r="AK200" s="547">
        <f>AJ200/VPI!R200</f>
        <v>0</v>
      </c>
      <c r="AL200" s="548">
        <f t="shared" si="15"/>
        <v>0</v>
      </c>
      <c r="AM200" s="547">
        <f>AL200/VPI!R200</f>
        <v>0</v>
      </c>
      <c r="AN200" s="628"/>
      <c r="AO200" s="637"/>
      <c r="AP200" s="629">
        <v>38.994866513266651</v>
      </c>
      <c r="AR200" s="630">
        <v>0</v>
      </c>
    </row>
    <row r="201" spans="1:1476" x14ac:dyDescent="0.25">
      <c r="A201" s="608">
        <v>5730</v>
      </c>
      <c r="B201" s="609" t="s">
        <v>272</v>
      </c>
      <c r="C201" s="610">
        <v>4782924.18</v>
      </c>
      <c r="D201" s="610">
        <v>1414067.94</v>
      </c>
      <c r="E201" s="610"/>
      <c r="F201" s="611"/>
      <c r="G201" s="610">
        <v>45237.5</v>
      </c>
      <c r="H201" s="610">
        <v>2567.85</v>
      </c>
      <c r="I201" s="610">
        <v>26419.7</v>
      </c>
      <c r="J201" s="610">
        <v>45125.73</v>
      </c>
      <c r="K201" s="610">
        <v>-348.5</v>
      </c>
      <c r="L201" s="610">
        <v>421830.25</v>
      </c>
      <c r="M201" s="434">
        <f t="shared" si="12"/>
        <v>6737824.6499999994</v>
      </c>
      <c r="N201" s="612">
        <v>17011.650000000001</v>
      </c>
      <c r="O201" s="612">
        <v>206939</v>
      </c>
      <c r="P201" s="612">
        <v>556970.44999999995</v>
      </c>
      <c r="Q201" s="612">
        <v>1309.83</v>
      </c>
      <c r="R201" s="612">
        <v>331346.15000000002</v>
      </c>
      <c r="S201" s="610">
        <v>4995.8999999999996</v>
      </c>
      <c r="T201" s="543">
        <f t="shared" si="13"/>
        <v>7856397.6300000008</v>
      </c>
      <c r="U201" s="575">
        <v>-831.72</v>
      </c>
      <c r="V201" s="612"/>
      <c r="W201" s="612">
        <v>-51672.72</v>
      </c>
      <c r="X201" s="624">
        <v>55.5</v>
      </c>
      <c r="Y201" s="631">
        <v>0.9</v>
      </c>
      <c r="Z201" s="628">
        <f>VLOOKUP(A201,'[2]2022 toutes communes'!$B$9:$D$317,3,FALSE)</f>
        <v>1427</v>
      </c>
      <c r="AA201" s="617"/>
      <c r="AB201" s="618"/>
      <c r="AC201" s="547">
        <f>AB201/VPI!R201</f>
        <v>0</v>
      </c>
      <c r="AD201" s="548">
        <f t="shared" si="14"/>
        <v>0</v>
      </c>
      <c r="AE201" s="547">
        <f>AD201/VPI!R201</f>
        <v>0</v>
      </c>
      <c r="AF201" s="618"/>
      <c r="AG201" s="618"/>
      <c r="AH201" s="618"/>
      <c r="AI201" s="637"/>
      <c r="AJ201" s="628"/>
      <c r="AK201" s="547">
        <f>AJ201/VPI!R201</f>
        <v>0</v>
      </c>
      <c r="AL201" s="548">
        <f t="shared" si="15"/>
        <v>0</v>
      </c>
      <c r="AM201" s="547">
        <f>AL201/VPI!R201</f>
        <v>0</v>
      </c>
      <c r="AN201" s="628"/>
      <c r="AO201" s="637"/>
      <c r="AP201" s="629">
        <v>36.306995366624541</v>
      </c>
      <c r="AR201" s="630">
        <v>0</v>
      </c>
    </row>
    <row r="202" spans="1:1476" x14ac:dyDescent="0.25">
      <c r="A202" s="608">
        <v>5731</v>
      </c>
      <c r="B202" s="609" t="s">
        <v>273</v>
      </c>
      <c r="C202" s="610">
        <v>4174798.83</v>
      </c>
      <c r="D202" s="610">
        <v>655365.43000000005</v>
      </c>
      <c r="E202" s="610"/>
      <c r="F202" s="611"/>
      <c r="G202" s="610">
        <v>21807.4</v>
      </c>
      <c r="H202" s="610">
        <v>1411.5</v>
      </c>
      <c r="I202" s="610"/>
      <c r="J202" s="610">
        <v>25446.400000000001</v>
      </c>
      <c r="K202" s="610">
        <v>4266.5</v>
      </c>
      <c r="L202" s="610">
        <v>431736.3</v>
      </c>
      <c r="M202" s="434">
        <f t="shared" si="12"/>
        <v>5314832.3600000003</v>
      </c>
      <c r="N202" s="612">
        <v>40435</v>
      </c>
      <c r="O202" s="612">
        <v>-8250</v>
      </c>
      <c r="P202" s="612">
        <v>122870</v>
      </c>
      <c r="Q202" s="612"/>
      <c r="R202" s="612">
        <v>110347.45</v>
      </c>
      <c r="S202" s="610">
        <v>2426.4899999999998</v>
      </c>
      <c r="T202" s="543">
        <f t="shared" si="13"/>
        <v>5582661.3000000007</v>
      </c>
      <c r="U202" s="575">
        <v>-7219.37</v>
      </c>
      <c r="V202" s="612"/>
      <c r="W202" s="612">
        <v>-14946.04</v>
      </c>
      <c r="X202" s="624">
        <v>74</v>
      </c>
      <c r="Y202" s="631">
        <v>1.5</v>
      </c>
      <c r="Z202" s="628">
        <f>VLOOKUP(A202,'[2]2022 toutes communes'!$B$9:$D$317,3,FALSE)</f>
        <v>1411</v>
      </c>
      <c r="AA202" s="617"/>
      <c r="AB202" s="618">
        <v>71252</v>
      </c>
      <c r="AC202" s="547">
        <f>AB202/VPI!R202</f>
        <v>1.0235803502114722</v>
      </c>
      <c r="AD202" s="548">
        <f t="shared" si="14"/>
        <v>310143</v>
      </c>
      <c r="AE202" s="547">
        <f>AD202/VPI!R202</f>
        <v>4.4554016807336865</v>
      </c>
      <c r="AF202" s="618">
        <v>381395</v>
      </c>
      <c r="AG202" s="618">
        <v>70975</v>
      </c>
      <c r="AH202" s="618">
        <v>138039</v>
      </c>
      <c r="AI202" s="637"/>
      <c r="AJ202" s="628">
        <v>0</v>
      </c>
      <c r="AK202" s="547">
        <f>AJ202/VPI!R202</f>
        <v>0</v>
      </c>
      <c r="AL202" s="548">
        <f t="shared" si="15"/>
        <v>-7944</v>
      </c>
      <c r="AM202" s="547">
        <f>AL202/VPI!R202</f>
        <v>-0.11412061839779844</v>
      </c>
      <c r="AN202" s="628">
        <v>-7944</v>
      </c>
      <c r="AO202" s="637"/>
      <c r="AP202" s="629">
        <v>27.643849329530372</v>
      </c>
      <c r="AR202" s="630">
        <v>0</v>
      </c>
    </row>
    <row r="203" spans="1:1476" x14ac:dyDescent="0.25">
      <c r="A203" s="608">
        <v>5732</v>
      </c>
      <c r="B203" s="609" t="s">
        <v>274</v>
      </c>
      <c r="C203" s="610">
        <v>3473445.76</v>
      </c>
      <c r="D203" s="610">
        <v>776207.06</v>
      </c>
      <c r="E203" s="610"/>
      <c r="F203" s="611"/>
      <c r="G203" s="610">
        <v>129891.7</v>
      </c>
      <c r="H203" s="610">
        <v>14527.4</v>
      </c>
      <c r="I203" s="610">
        <v>192797.15</v>
      </c>
      <c r="J203" s="610">
        <v>60315.69</v>
      </c>
      <c r="K203" s="610">
        <v>21944.799999999999</v>
      </c>
      <c r="L203" s="610">
        <v>376050.75</v>
      </c>
      <c r="M203" s="434">
        <f t="shared" si="12"/>
        <v>5045180.3100000015</v>
      </c>
      <c r="N203" s="612">
        <v>112018.45</v>
      </c>
      <c r="O203" s="612"/>
      <c r="P203" s="612">
        <v>264276</v>
      </c>
      <c r="Q203" s="612">
        <v>1233.95</v>
      </c>
      <c r="R203" s="612">
        <v>36337.800000000003</v>
      </c>
      <c r="S203" s="610">
        <v>15092.54</v>
      </c>
      <c r="T203" s="543">
        <f t="shared" si="13"/>
        <v>5474139.0500000017</v>
      </c>
      <c r="U203" s="575">
        <v>-29175.56</v>
      </c>
      <c r="V203" s="612"/>
      <c r="W203" s="612">
        <v>-1041.67</v>
      </c>
      <c r="X203" s="624">
        <v>63</v>
      </c>
      <c r="Y203" s="631">
        <v>1</v>
      </c>
      <c r="Z203" s="628">
        <f>VLOOKUP(A203,'[2]2022 toutes communes'!$B$9:$D$317,3,FALSE)</f>
        <v>1160</v>
      </c>
      <c r="AA203" s="617"/>
      <c r="AB203" s="618"/>
      <c r="AC203" s="547">
        <f>AB203/VPI!R203</f>
        <v>0</v>
      </c>
      <c r="AD203" s="548">
        <f t="shared" si="14"/>
        <v>0</v>
      </c>
      <c r="AE203" s="547">
        <f>AD203/VPI!R203</f>
        <v>0</v>
      </c>
      <c r="AF203" s="618"/>
      <c r="AG203" s="618"/>
      <c r="AH203" s="618"/>
      <c r="AI203" s="637"/>
      <c r="AJ203" s="628"/>
      <c r="AK203" s="547">
        <f>AJ203/VPI!R203</f>
        <v>0</v>
      </c>
      <c r="AL203" s="548">
        <f t="shared" si="15"/>
        <v>0</v>
      </c>
      <c r="AM203" s="547">
        <f>AL203/VPI!R203</f>
        <v>0</v>
      </c>
      <c r="AN203" s="628"/>
      <c r="AO203" s="637"/>
      <c r="AP203" s="629">
        <v>34.819557375944861</v>
      </c>
      <c r="AR203" s="630">
        <v>0</v>
      </c>
    </row>
    <row r="204" spans="1:1476" s="632" customFormat="1" x14ac:dyDescent="0.25">
      <c r="A204" s="608">
        <v>5741</v>
      </c>
      <c r="B204" s="609" t="s">
        <v>275</v>
      </c>
      <c r="C204" s="610">
        <v>604788.99</v>
      </c>
      <c r="D204" s="610">
        <v>201521.98</v>
      </c>
      <c r="E204" s="610"/>
      <c r="F204" s="611">
        <v>1460</v>
      </c>
      <c r="G204" s="610">
        <v>10784.65</v>
      </c>
      <c r="H204" s="610">
        <v>1623.65</v>
      </c>
      <c r="I204" s="610"/>
      <c r="J204" s="610">
        <v>4048.32</v>
      </c>
      <c r="K204" s="610">
        <v>0</v>
      </c>
      <c r="L204" s="610">
        <v>50668.55</v>
      </c>
      <c r="M204" s="434">
        <f t="shared" si="12"/>
        <v>874896.14</v>
      </c>
      <c r="N204" s="612">
        <v>5545.6</v>
      </c>
      <c r="O204" s="612">
        <v>787.5</v>
      </c>
      <c r="P204" s="612">
        <v>18256.05</v>
      </c>
      <c r="Q204" s="612"/>
      <c r="R204" s="612">
        <v>11688.2</v>
      </c>
      <c r="S204" s="610">
        <v>1296.73</v>
      </c>
      <c r="T204" s="543">
        <f t="shared" si="13"/>
        <v>912470.22</v>
      </c>
      <c r="U204" s="575">
        <v>-1035.76</v>
      </c>
      <c r="V204" s="612"/>
      <c r="W204" s="612">
        <v>0</v>
      </c>
      <c r="X204" s="624">
        <v>80</v>
      </c>
      <c r="Y204" s="631">
        <v>1.2</v>
      </c>
      <c r="Z204" s="628">
        <f>VLOOKUP(A204,'[2]2022 toutes communes'!$B$9:$D$317,3,FALSE)</f>
        <v>260</v>
      </c>
      <c r="AA204" s="617"/>
      <c r="AB204" s="618">
        <v>46730</v>
      </c>
      <c r="AC204" s="547">
        <f>AB204/VPI!R204</f>
        <v>4.3133110919801121</v>
      </c>
      <c r="AD204" s="548">
        <f t="shared" si="14"/>
        <v>133950</v>
      </c>
      <c r="AE204" s="547">
        <f>AD204/VPI!R204</f>
        <v>12.363963637293729</v>
      </c>
      <c r="AF204" s="618">
        <v>180680</v>
      </c>
      <c r="AG204" s="618">
        <v>12234</v>
      </c>
      <c r="AH204" s="618">
        <v>25756</v>
      </c>
      <c r="AI204" s="637"/>
      <c r="AJ204" s="628">
        <v>0</v>
      </c>
      <c r="AK204" s="547">
        <f>AJ204/VPI!R204</f>
        <v>0</v>
      </c>
      <c r="AL204" s="548">
        <f t="shared" si="15"/>
        <v>30512</v>
      </c>
      <c r="AM204" s="547">
        <f>AL204/VPI!R204</f>
        <v>2.8163438484591734</v>
      </c>
      <c r="AN204" s="628">
        <v>30512</v>
      </c>
      <c r="AO204" s="637"/>
      <c r="AP204" s="629">
        <v>17.693972680900419</v>
      </c>
      <c r="AQ204" s="575"/>
      <c r="AR204" s="630">
        <v>0</v>
      </c>
      <c r="AS204" s="575"/>
      <c r="AT204" s="575"/>
      <c r="AU204" s="575"/>
      <c r="AV204" s="575"/>
      <c r="AW204" s="575"/>
      <c r="AX204" s="575"/>
      <c r="AY204" s="575"/>
      <c r="AZ204" s="575"/>
      <c r="BA204" s="575"/>
      <c r="BB204" s="575"/>
      <c r="BC204" s="575"/>
      <c r="BD204" s="575"/>
      <c r="BE204" s="575"/>
      <c r="BF204" s="575"/>
      <c r="BG204" s="575"/>
      <c r="BH204" s="575"/>
      <c r="BI204" s="575"/>
      <c r="BJ204" s="575"/>
      <c r="BK204" s="575"/>
      <c r="BL204" s="575"/>
      <c r="BM204" s="575"/>
      <c r="BN204" s="575"/>
      <c r="BO204" s="575"/>
      <c r="BP204" s="575"/>
      <c r="BQ204" s="575"/>
      <c r="BR204" s="575"/>
      <c r="BS204" s="575"/>
      <c r="BT204" s="575"/>
      <c r="BU204" s="575"/>
      <c r="BV204" s="575"/>
      <c r="BW204" s="575"/>
      <c r="BX204" s="575"/>
      <c r="BY204" s="575"/>
      <c r="BZ204" s="575"/>
      <c r="CA204" s="575"/>
      <c r="CB204" s="575"/>
      <c r="CC204" s="575"/>
      <c r="CD204" s="575"/>
      <c r="CE204" s="575"/>
      <c r="CF204" s="575"/>
      <c r="CG204" s="575"/>
      <c r="CH204" s="575"/>
      <c r="CI204" s="575"/>
      <c r="CJ204" s="575"/>
      <c r="CK204" s="575"/>
      <c r="CL204" s="575"/>
      <c r="CM204" s="575"/>
      <c r="CN204" s="575"/>
      <c r="CO204" s="575"/>
      <c r="CP204" s="575"/>
      <c r="CQ204" s="575"/>
      <c r="CR204" s="575"/>
      <c r="CS204" s="575"/>
      <c r="CT204" s="575"/>
      <c r="CU204" s="575"/>
      <c r="CV204" s="575"/>
      <c r="CW204" s="575"/>
      <c r="CX204" s="575"/>
      <c r="CY204" s="575"/>
      <c r="CZ204" s="575"/>
      <c r="DA204" s="575"/>
      <c r="DB204" s="575"/>
      <c r="DC204" s="575"/>
      <c r="DD204" s="575"/>
      <c r="DE204" s="575"/>
      <c r="DF204" s="575"/>
      <c r="DG204" s="575"/>
      <c r="DH204" s="575"/>
      <c r="DI204" s="575"/>
      <c r="DJ204" s="575"/>
      <c r="DK204" s="575"/>
      <c r="DL204" s="575"/>
      <c r="DM204" s="575"/>
      <c r="DN204" s="575"/>
      <c r="DO204" s="575"/>
      <c r="DP204" s="575"/>
      <c r="DQ204" s="575"/>
      <c r="DR204" s="575"/>
      <c r="DS204" s="575"/>
      <c r="DT204" s="575"/>
      <c r="DU204" s="575"/>
      <c r="DV204" s="575"/>
      <c r="DW204" s="575"/>
      <c r="DX204" s="575"/>
      <c r="DY204" s="575"/>
      <c r="DZ204" s="575"/>
      <c r="EA204" s="575"/>
      <c r="EB204" s="575"/>
      <c r="EC204" s="575"/>
      <c r="ED204" s="575"/>
      <c r="EE204" s="575"/>
      <c r="EF204" s="575"/>
      <c r="EG204" s="575"/>
      <c r="EH204" s="575"/>
      <c r="EI204" s="575"/>
      <c r="EJ204" s="575"/>
      <c r="EK204" s="575"/>
      <c r="EL204" s="575"/>
      <c r="EM204" s="575"/>
      <c r="EN204" s="575"/>
      <c r="EO204" s="575"/>
      <c r="EP204" s="575"/>
      <c r="EQ204" s="575"/>
      <c r="ER204" s="575"/>
      <c r="ES204" s="575"/>
      <c r="ET204" s="575"/>
      <c r="EU204" s="575"/>
      <c r="EV204" s="575"/>
      <c r="EW204" s="575"/>
      <c r="EX204" s="575"/>
      <c r="EY204" s="575"/>
      <c r="EZ204" s="575"/>
      <c r="FA204" s="575"/>
      <c r="FB204" s="575"/>
      <c r="FC204" s="575"/>
      <c r="FD204" s="575"/>
      <c r="FE204" s="575"/>
      <c r="FF204" s="575"/>
      <c r="FG204" s="575"/>
      <c r="FH204" s="575"/>
      <c r="FI204" s="575"/>
      <c r="FJ204" s="575"/>
      <c r="FK204" s="575"/>
      <c r="FL204" s="575"/>
      <c r="FM204" s="575"/>
      <c r="FN204" s="575"/>
      <c r="FO204" s="575"/>
      <c r="FP204" s="575"/>
      <c r="FQ204" s="575"/>
      <c r="FR204" s="575"/>
      <c r="FS204" s="575"/>
      <c r="FT204" s="575"/>
      <c r="FU204" s="575"/>
      <c r="FV204" s="575"/>
      <c r="FW204" s="575"/>
      <c r="FX204" s="575"/>
      <c r="FY204" s="575"/>
      <c r="FZ204" s="575"/>
      <c r="GA204" s="575"/>
      <c r="GB204" s="575"/>
      <c r="GC204" s="575"/>
      <c r="GD204" s="575"/>
      <c r="GE204" s="575"/>
      <c r="GF204" s="575"/>
      <c r="GG204" s="575"/>
      <c r="GH204" s="575"/>
      <c r="GI204" s="575"/>
      <c r="GJ204" s="575"/>
      <c r="GK204" s="575"/>
      <c r="GL204" s="575"/>
      <c r="GM204" s="575"/>
      <c r="GN204" s="575"/>
      <c r="GO204" s="575"/>
      <c r="GP204" s="575"/>
      <c r="GQ204" s="575"/>
      <c r="GR204" s="575"/>
      <c r="GS204" s="575"/>
      <c r="GT204" s="575"/>
      <c r="GU204" s="575"/>
      <c r="GV204" s="575"/>
      <c r="GW204" s="575"/>
      <c r="GX204" s="575"/>
      <c r="GY204" s="575"/>
      <c r="GZ204" s="575"/>
      <c r="HA204" s="575"/>
      <c r="HB204" s="575"/>
      <c r="HC204" s="575"/>
      <c r="HD204" s="575"/>
      <c r="HE204" s="575"/>
      <c r="HF204" s="575"/>
      <c r="HG204" s="575"/>
      <c r="HH204" s="575"/>
      <c r="HI204" s="575"/>
      <c r="HJ204" s="575"/>
      <c r="HK204" s="575"/>
      <c r="HL204" s="575"/>
      <c r="HM204" s="575"/>
      <c r="HN204" s="575"/>
      <c r="HO204" s="575"/>
      <c r="HP204" s="575"/>
      <c r="HQ204" s="575"/>
      <c r="HR204" s="575"/>
      <c r="HS204" s="575"/>
      <c r="HT204" s="575"/>
      <c r="HU204" s="575"/>
      <c r="HV204" s="575"/>
      <c r="HW204" s="575"/>
      <c r="HX204" s="575"/>
      <c r="HY204" s="575"/>
      <c r="HZ204" s="575"/>
      <c r="IA204" s="575"/>
      <c r="IB204" s="575"/>
      <c r="IC204" s="575"/>
      <c r="ID204" s="575"/>
      <c r="IE204" s="575"/>
      <c r="IF204" s="575"/>
      <c r="IG204" s="575"/>
      <c r="IH204" s="575"/>
      <c r="II204" s="575"/>
      <c r="IJ204" s="575"/>
      <c r="IK204" s="575"/>
      <c r="IL204" s="575"/>
      <c r="IM204" s="575"/>
      <c r="IN204" s="575"/>
      <c r="IO204" s="575"/>
      <c r="IP204" s="575"/>
      <c r="IQ204" s="575"/>
      <c r="IR204" s="575"/>
      <c r="IS204" s="575"/>
      <c r="IT204" s="575"/>
      <c r="IU204" s="575"/>
      <c r="IV204" s="575"/>
      <c r="IW204" s="575"/>
      <c r="IX204" s="575"/>
      <c r="IY204" s="575"/>
      <c r="IZ204" s="575"/>
      <c r="JA204" s="575"/>
      <c r="JB204" s="575"/>
      <c r="JC204" s="575"/>
      <c r="JD204" s="575"/>
      <c r="JE204" s="575"/>
      <c r="JF204" s="575"/>
      <c r="JG204" s="575"/>
      <c r="JH204" s="575"/>
      <c r="JI204" s="575"/>
      <c r="JJ204" s="575"/>
      <c r="JK204" s="575"/>
      <c r="JL204" s="575"/>
      <c r="JM204" s="575"/>
      <c r="JN204" s="575"/>
      <c r="JO204" s="575"/>
      <c r="JP204" s="575"/>
      <c r="JQ204" s="575"/>
      <c r="JR204" s="575"/>
      <c r="JS204" s="575"/>
      <c r="JT204" s="575"/>
      <c r="JU204" s="575"/>
      <c r="JV204" s="575"/>
      <c r="JW204" s="575"/>
      <c r="JX204" s="575"/>
      <c r="JY204" s="575"/>
      <c r="JZ204" s="575"/>
      <c r="KA204" s="575"/>
      <c r="KB204" s="575"/>
      <c r="KC204" s="575"/>
      <c r="KD204" s="575"/>
      <c r="KE204" s="575"/>
      <c r="KF204" s="575"/>
      <c r="KG204" s="575"/>
      <c r="KH204" s="575"/>
      <c r="KI204" s="575"/>
      <c r="KJ204" s="575"/>
      <c r="KK204" s="575"/>
      <c r="KL204" s="575"/>
      <c r="KM204" s="575"/>
      <c r="KN204" s="575"/>
      <c r="KO204" s="575"/>
      <c r="KP204" s="575"/>
      <c r="KQ204" s="575"/>
      <c r="KR204" s="575"/>
      <c r="KS204" s="575"/>
      <c r="KT204" s="575"/>
      <c r="KU204" s="575"/>
      <c r="KV204" s="575"/>
      <c r="KW204" s="575"/>
      <c r="KX204" s="575"/>
      <c r="KY204" s="575"/>
      <c r="KZ204" s="575"/>
      <c r="LA204" s="575"/>
      <c r="LB204" s="575"/>
      <c r="LC204" s="575"/>
      <c r="LD204" s="575"/>
      <c r="LE204" s="575"/>
      <c r="LF204" s="575"/>
      <c r="LG204" s="575"/>
      <c r="LH204" s="575"/>
      <c r="LI204" s="575"/>
      <c r="LJ204" s="575"/>
      <c r="LK204" s="575"/>
      <c r="LL204" s="575"/>
      <c r="LM204" s="575"/>
      <c r="LN204" s="575"/>
      <c r="LO204" s="575"/>
      <c r="LP204" s="575"/>
      <c r="LQ204" s="575"/>
      <c r="LR204" s="575"/>
      <c r="LS204" s="575"/>
      <c r="LT204" s="575"/>
      <c r="LU204" s="575"/>
      <c r="LV204" s="575"/>
      <c r="LW204" s="575"/>
      <c r="LX204" s="575"/>
      <c r="LY204" s="575"/>
      <c r="LZ204" s="575"/>
      <c r="MA204" s="575"/>
      <c r="MB204" s="575"/>
      <c r="MC204" s="575"/>
      <c r="MD204" s="575"/>
      <c r="ME204" s="575"/>
      <c r="MF204" s="575"/>
      <c r="MG204" s="575"/>
      <c r="MH204" s="575"/>
      <c r="MI204" s="575"/>
      <c r="MJ204" s="575"/>
      <c r="MK204" s="575"/>
      <c r="ML204" s="575"/>
      <c r="MM204" s="575"/>
      <c r="MN204" s="575"/>
      <c r="MO204" s="575"/>
      <c r="MP204" s="575"/>
      <c r="MQ204" s="575"/>
      <c r="MR204" s="575"/>
      <c r="MS204" s="575"/>
      <c r="MT204" s="575"/>
      <c r="MU204" s="575"/>
      <c r="MV204" s="575"/>
      <c r="MW204" s="575"/>
      <c r="MX204" s="575"/>
      <c r="MY204" s="575"/>
      <c r="MZ204" s="575"/>
      <c r="NA204" s="575"/>
      <c r="NB204" s="575"/>
      <c r="NC204" s="575"/>
      <c r="ND204" s="575"/>
      <c r="NE204" s="575"/>
      <c r="NF204" s="575"/>
      <c r="NG204" s="575"/>
      <c r="NH204" s="575"/>
      <c r="NI204" s="575"/>
      <c r="NJ204" s="575"/>
      <c r="NK204" s="575"/>
      <c r="NL204" s="575"/>
      <c r="NM204" s="575"/>
      <c r="NN204" s="575"/>
      <c r="NO204" s="575"/>
      <c r="NP204" s="575"/>
      <c r="NQ204" s="575"/>
      <c r="NR204" s="575"/>
      <c r="NS204" s="575"/>
      <c r="NT204" s="575"/>
      <c r="NU204" s="575"/>
      <c r="NV204" s="575"/>
      <c r="NW204" s="575"/>
      <c r="NX204" s="575"/>
      <c r="NY204" s="575"/>
      <c r="NZ204" s="575"/>
      <c r="OA204" s="575"/>
      <c r="OB204" s="575"/>
      <c r="OC204" s="575"/>
      <c r="OD204" s="575"/>
      <c r="OE204" s="575"/>
      <c r="OF204" s="575"/>
      <c r="OG204" s="575"/>
      <c r="OH204" s="575"/>
      <c r="OI204" s="575"/>
      <c r="OJ204" s="575"/>
      <c r="OK204" s="575"/>
      <c r="OL204" s="575"/>
      <c r="OM204" s="575"/>
      <c r="ON204" s="575"/>
      <c r="OO204" s="575"/>
      <c r="OP204" s="575"/>
      <c r="OQ204" s="575"/>
      <c r="OR204" s="575"/>
      <c r="OS204" s="575"/>
      <c r="OT204" s="575"/>
      <c r="OU204" s="575"/>
      <c r="OV204" s="575"/>
      <c r="OW204" s="575"/>
      <c r="OX204" s="575"/>
      <c r="OY204" s="575"/>
      <c r="OZ204" s="575"/>
      <c r="PA204" s="575"/>
      <c r="PB204" s="575"/>
      <c r="PC204" s="575"/>
      <c r="PD204" s="575"/>
      <c r="PE204" s="575"/>
      <c r="PF204" s="575"/>
      <c r="PG204" s="575"/>
      <c r="PH204" s="575"/>
      <c r="PI204" s="575"/>
      <c r="PJ204" s="575"/>
      <c r="PK204" s="575"/>
      <c r="PL204" s="575"/>
      <c r="PM204" s="575"/>
      <c r="PN204" s="575"/>
      <c r="PO204" s="575"/>
      <c r="PP204" s="575"/>
      <c r="PQ204" s="575"/>
      <c r="PR204" s="575"/>
      <c r="PS204" s="575"/>
      <c r="PT204" s="575"/>
      <c r="PU204" s="575"/>
      <c r="PV204" s="575"/>
      <c r="PW204" s="575"/>
      <c r="PX204" s="575"/>
      <c r="PY204" s="575"/>
      <c r="PZ204" s="575"/>
      <c r="QA204" s="575"/>
      <c r="QB204" s="575"/>
      <c r="QC204" s="575"/>
      <c r="QD204" s="575"/>
      <c r="QE204" s="575"/>
      <c r="QF204" s="575"/>
      <c r="QG204" s="575"/>
      <c r="QH204" s="575"/>
      <c r="QI204" s="575"/>
      <c r="QJ204" s="575"/>
      <c r="QK204" s="575"/>
      <c r="QL204" s="575"/>
      <c r="QM204" s="575"/>
      <c r="QN204" s="575"/>
      <c r="QO204" s="575"/>
      <c r="QP204" s="575"/>
      <c r="QQ204" s="575"/>
      <c r="QR204" s="575"/>
      <c r="QS204" s="575"/>
      <c r="QT204" s="575"/>
      <c r="QU204" s="575"/>
      <c r="QV204" s="575"/>
      <c r="QW204" s="575"/>
      <c r="QX204" s="575"/>
      <c r="QY204" s="575"/>
      <c r="QZ204" s="575"/>
      <c r="RA204" s="575"/>
      <c r="RB204" s="575"/>
      <c r="RC204" s="575"/>
      <c r="RD204" s="575"/>
      <c r="RE204" s="575"/>
      <c r="RF204" s="575"/>
      <c r="RG204" s="575"/>
      <c r="RH204" s="575"/>
      <c r="RI204" s="575"/>
      <c r="RJ204" s="575"/>
      <c r="RK204" s="575"/>
      <c r="RL204" s="575"/>
      <c r="RM204" s="575"/>
      <c r="RN204" s="575"/>
      <c r="RO204" s="575"/>
      <c r="RP204" s="575"/>
      <c r="RQ204" s="575"/>
      <c r="RR204" s="575"/>
      <c r="RS204" s="575"/>
      <c r="RT204" s="575"/>
      <c r="RU204" s="575"/>
      <c r="RV204" s="575"/>
      <c r="RW204" s="575"/>
      <c r="RX204" s="575"/>
      <c r="RY204" s="575"/>
      <c r="RZ204" s="575"/>
      <c r="SA204" s="575"/>
      <c r="SB204" s="575"/>
      <c r="SC204" s="575"/>
      <c r="SD204" s="575"/>
      <c r="SE204" s="575"/>
      <c r="SF204" s="575"/>
      <c r="SG204" s="575"/>
      <c r="SH204" s="575"/>
      <c r="SI204" s="575"/>
      <c r="SJ204" s="575"/>
      <c r="SK204" s="575"/>
      <c r="SL204" s="575"/>
      <c r="SM204" s="575"/>
      <c r="SN204" s="575"/>
      <c r="SO204" s="575"/>
      <c r="SP204" s="575"/>
      <c r="SQ204" s="575"/>
      <c r="SR204" s="575"/>
      <c r="SS204" s="575"/>
      <c r="ST204" s="575"/>
      <c r="SU204" s="575"/>
      <c r="SV204" s="575"/>
      <c r="SW204" s="575"/>
      <c r="SX204" s="575"/>
      <c r="SY204" s="575"/>
      <c r="SZ204" s="575"/>
      <c r="TA204" s="575"/>
      <c r="TB204" s="575"/>
      <c r="TC204" s="575"/>
      <c r="TD204" s="575"/>
      <c r="TE204" s="575"/>
      <c r="TF204" s="575"/>
      <c r="TG204" s="575"/>
      <c r="TH204" s="575"/>
      <c r="TI204" s="575"/>
      <c r="TJ204" s="575"/>
      <c r="TK204" s="575"/>
      <c r="TL204" s="575"/>
      <c r="TM204" s="575"/>
      <c r="TN204" s="575"/>
      <c r="TO204" s="575"/>
      <c r="TP204" s="575"/>
      <c r="TQ204" s="575"/>
      <c r="TR204" s="575"/>
      <c r="TS204" s="575"/>
      <c r="TT204" s="575"/>
      <c r="TU204" s="575"/>
      <c r="TV204" s="575"/>
      <c r="TW204" s="575"/>
      <c r="TX204" s="575"/>
      <c r="TY204" s="575"/>
      <c r="TZ204" s="575"/>
      <c r="UA204" s="575"/>
      <c r="UB204" s="575"/>
      <c r="UC204" s="575"/>
      <c r="UD204" s="575"/>
      <c r="UE204" s="575"/>
      <c r="UF204" s="575"/>
      <c r="UG204" s="575"/>
      <c r="UH204" s="575"/>
      <c r="UI204" s="575"/>
      <c r="UJ204" s="575"/>
      <c r="UK204" s="575"/>
      <c r="UL204" s="575"/>
      <c r="UM204" s="575"/>
      <c r="UN204" s="575"/>
      <c r="UO204" s="575"/>
      <c r="UP204" s="575"/>
      <c r="UQ204" s="575"/>
      <c r="UR204" s="575"/>
      <c r="US204" s="575"/>
      <c r="UT204" s="575"/>
      <c r="UU204" s="575"/>
      <c r="UV204" s="575"/>
      <c r="UW204" s="575"/>
      <c r="UX204" s="575"/>
      <c r="UY204" s="575"/>
      <c r="UZ204" s="575"/>
      <c r="VA204" s="575"/>
      <c r="VB204" s="575"/>
      <c r="VC204" s="575"/>
      <c r="VD204" s="575"/>
      <c r="VE204" s="575"/>
      <c r="VF204" s="575"/>
      <c r="VG204" s="575"/>
      <c r="VH204" s="575"/>
      <c r="VI204" s="575"/>
      <c r="VJ204" s="575"/>
      <c r="VK204" s="575"/>
      <c r="VL204" s="575"/>
      <c r="VM204" s="575"/>
      <c r="VN204" s="575"/>
      <c r="VO204" s="575"/>
      <c r="VP204" s="575"/>
      <c r="VQ204" s="575"/>
      <c r="VR204" s="575"/>
      <c r="VS204" s="575"/>
      <c r="VT204" s="575"/>
      <c r="VU204" s="575"/>
      <c r="VV204" s="575"/>
      <c r="VW204" s="575"/>
      <c r="VX204" s="575"/>
      <c r="VY204" s="575"/>
      <c r="VZ204" s="575"/>
      <c r="WA204" s="575"/>
      <c r="WB204" s="575"/>
      <c r="WC204" s="575"/>
      <c r="WD204" s="575"/>
      <c r="WE204" s="575"/>
      <c r="WF204" s="575"/>
      <c r="WG204" s="575"/>
      <c r="WH204" s="575"/>
      <c r="WI204" s="575"/>
      <c r="WJ204" s="575"/>
      <c r="WK204" s="575"/>
      <c r="WL204" s="575"/>
      <c r="WM204" s="575"/>
      <c r="WN204" s="575"/>
      <c r="WO204" s="575"/>
      <c r="WP204" s="575"/>
      <c r="WQ204" s="575"/>
      <c r="WR204" s="575"/>
      <c r="WS204" s="575"/>
      <c r="WT204" s="575"/>
      <c r="WU204" s="575"/>
      <c r="WV204" s="575"/>
      <c r="WW204" s="575"/>
      <c r="WX204" s="575"/>
      <c r="WY204" s="575"/>
      <c r="WZ204" s="575"/>
      <c r="XA204" s="575"/>
      <c r="XB204" s="575"/>
      <c r="XC204" s="575"/>
      <c r="XD204" s="575"/>
      <c r="XE204" s="575"/>
      <c r="XF204" s="575"/>
      <c r="XG204" s="575"/>
      <c r="XH204" s="575"/>
      <c r="XI204" s="575"/>
      <c r="XJ204" s="575"/>
      <c r="XK204" s="575"/>
      <c r="XL204" s="575"/>
      <c r="XM204" s="575"/>
      <c r="XN204" s="575"/>
      <c r="XO204" s="575"/>
      <c r="XP204" s="575"/>
      <c r="XQ204" s="575"/>
      <c r="XR204" s="575"/>
      <c r="XS204" s="575"/>
      <c r="XT204" s="575"/>
      <c r="XU204" s="575"/>
      <c r="XV204" s="575"/>
      <c r="XW204" s="575"/>
      <c r="XX204" s="575"/>
      <c r="XY204" s="575"/>
      <c r="XZ204" s="575"/>
      <c r="YA204" s="575"/>
      <c r="YB204" s="575"/>
      <c r="YC204" s="575"/>
      <c r="YD204" s="575"/>
      <c r="YE204" s="575"/>
      <c r="YF204" s="575"/>
      <c r="YG204" s="575"/>
      <c r="YH204" s="575"/>
      <c r="YI204" s="575"/>
      <c r="YJ204" s="575"/>
      <c r="YK204" s="575"/>
      <c r="YL204" s="575"/>
      <c r="YM204" s="575"/>
      <c r="YN204" s="575"/>
      <c r="YO204" s="575"/>
      <c r="YP204" s="575"/>
      <c r="YQ204" s="575"/>
      <c r="YR204" s="575"/>
      <c r="YS204" s="575"/>
      <c r="YT204" s="575"/>
      <c r="YU204" s="575"/>
      <c r="YV204" s="575"/>
      <c r="YW204" s="575"/>
      <c r="YX204" s="575"/>
      <c r="YY204" s="575"/>
      <c r="YZ204" s="575"/>
      <c r="ZA204" s="575"/>
      <c r="ZB204" s="575"/>
      <c r="ZC204" s="575"/>
      <c r="ZD204" s="575"/>
      <c r="ZE204" s="575"/>
      <c r="ZF204" s="575"/>
      <c r="ZG204" s="575"/>
      <c r="ZH204" s="575"/>
      <c r="ZI204" s="575"/>
      <c r="ZJ204" s="575"/>
      <c r="ZK204" s="575"/>
      <c r="ZL204" s="575"/>
      <c r="ZM204" s="575"/>
      <c r="ZN204" s="575"/>
      <c r="ZO204" s="575"/>
      <c r="ZP204" s="575"/>
      <c r="ZQ204" s="575"/>
      <c r="ZR204" s="575"/>
      <c r="ZS204" s="575"/>
      <c r="ZT204" s="575"/>
      <c r="ZU204" s="575"/>
      <c r="ZV204" s="575"/>
      <c r="ZW204" s="575"/>
      <c r="ZX204" s="575"/>
      <c r="ZY204" s="575"/>
      <c r="ZZ204" s="575"/>
      <c r="AAA204" s="575"/>
      <c r="AAB204" s="575"/>
      <c r="AAC204" s="575"/>
      <c r="AAD204" s="575"/>
      <c r="AAE204" s="575"/>
      <c r="AAF204" s="575"/>
      <c r="AAG204" s="575"/>
      <c r="AAH204" s="575"/>
      <c r="AAI204" s="575"/>
      <c r="AAJ204" s="575"/>
      <c r="AAK204" s="575"/>
      <c r="AAL204" s="575"/>
      <c r="AAM204" s="575"/>
      <c r="AAN204" s="575"/>
      <c r="AAO204" s="575"/>
      <c r="AAP204" s="575"/>
      <c r="AAQ204" s="575"/>
      <c r="AAR204" s="575"/>
      <c r="AAS204" s="575"/>
      <c r="AAT204" s="575"/>
      <c r="AAU204" s="575"/>
      <c r="AAV204" s="575"/>
      <c r="AAW204" s="575"/>
      <c r="AAX204" s="575"/>
      <c r="AAY204" s="575"/>
      <c r="AAZ204" s="575"/>
      <c r="ABA204" s="575"/>
      <c r="ABB204" s="575"/>
      <c r="ABC204" s="575"/>
      <c r="ABD204" s="575"/>
      <c r="ABE204" s="575"/>
      <c r="ABF204" s="575"/>
      <c r="ABG204" s="575"/>
      <c r="ABH204" s="575"/>
      <c r="ABI204" s="575"/>
      <c r="ABJ204" s="575"/>
      <c r="ABK204" s="575"/>
      <c r="ABL204" s="575"/>
      <c r="ABM204" s="575"/>
      <c r="ABN204" s="575"/>
      <c r="ABO204" s="575"/>
      <c r="ABP204" s="575"/>
      <c r="ABQ204" s="575"/>
      <c r="ABR204" s="575"/>
      <c r="ABS204" s="575"/>
      <c r="ABT204" s="575"/>
      <c r="ABU204" s="575"/>
      <c r="ABV204" s="575"/>
      <c r="ABW204" s="575"/>
      <c r="ABX204" s="575"/>
      <c r="ABY204" s="575"/>
      <c r="ABZ204" s="575"/>
      <c r="ACA204" s="575"/>
      <c r="ACB204" s="575"/>
      <c r="ACC204" s="575"/>
      <c r="ACD204" s="575"/>
      <c r="ACE204" s="575"/>
      <c r="ACF204" s="575"/>
      <c r="ACG204" s="575"/>
      <c r="ACH204" s="575"/>
      <c r="ACI204" s="575"/>
      <c r="ACJ204" s="575"/>
      <c r="ACK204" s="575"/>
      <c r="ACL204" s="575"/>
      <c r="ACM204" s="575"/>
      <c r="ACN204" s="575"/>
      <c r="ACO204" s="575"/>
      <c r="ACP204" s="575"/>
      <c r="ACQ204" s="575"/>
      <c r="ACR204" s="575"/>
      <c r="ACS204" s="575"/>
      <c r="ACT204" s="575"/>
      <c r="ACU204" s="575"/>
      <c r="ACV204" s="575"/>
      <c r="ACW204" s="575"/>
      <c r="ACX204" s="575"/>
      <c r="ACY204" s="575"/>
      <c r="ACZ204" s="575"/>
      <c r="ADA204" s="575"/>
      <c r="ADB204" s="575"/>
      <c r="ADC204" s="575"/>
      <c r="ADD204" s="575"/>
      <c r="ADE204" s="575"/>
      <c r="ADF204" s="575"/>
      <c r="ADG204" s="575"/>
      <c r="ADH204" s="575"/>
      <c r="ADI204" s="575"/>
      <c r="ADJ204" s="575"/>
      <c r="ADK204" s="575"/>
      <c r="ADL204" s="575"/>
      <c r="ADM204" s="575"/>
      <c r="ADN204" s="575"/>
      <c r="ADO204" s="575"/>
      <c r="ADP204" s="575"/>
      <c r="ADQ204" s="575"/>
      <c r="ADR204" s="575"/>
      <c r="ADS204" s="575"/>
      <c r="ADT204" s="575"/>
      <c r="ADU204" s="575"/>
      <c r="ADV204" s="575"/>
      <c r="ADW204" s="575"/>
      <c r="ADX204" s="575"/>
      <c r="ADY204" s="575"/>
      <c r="ADZ204" s="575"/>
      <c r="AEA204" s="575"/>
      <c r="AEB204" s="575"/>
      <c r="AEC204" s="575"/>
      <c r="AED204" s="575"/>
      <c r="AEE204" s="575"/>
      <c r="AEF204" s="575"/>
      <c r="AEG204" s="575"/>
      <c r="AEH204" s="575"/>
      <c r="AEI204" s="575"/>
      <c r="AEJ204" s="575"/>
      <c r="AEK204" s="575"/>
      <c r="AEL204" s="575"/>
      <c r="AEM204" s="575"/>
      <c r="AEN204" s="575"/>
      <c r="AEO204" s="575"/>
      <c r="AEP204" s="575"/>
      <c r="AEQ204" s="575"/>
      <c r="AER204" s="575"/>
      <c r="AES204" s="575"/>
      <c r="AET204" s="575"/>
      <c r="AEU204" s="575"/>
      <c r="AEV204" s="575"/>
      <c r="AEW204" s="575"/>
      <c r="AEX204" s="575"/>
      <c r="AEY204" s="575"/>
      <c r="AEZ204" s="575"/>
      <c r="AFA204" s="575"/>
      <c r="AFB204" s="575"/>
      <c r="AFC204" s="575"/>
      <c r="AFD204" s="575"/>
      <c r="AFE204" s="575"/>
      <c r="AFF204" s="575"/>
      <c r="AFG204" s="575"/>
      <c r="AFH204" s="575"/>
      <c r="AFI204" s="575"/>
      <c r="AFJ204" s="575"/>
      <c r="AFK204" s="575"/>
      <c r="AFL204" s="575"/>
      <c r="AFM204" s="575"/>
      <c r="AFN204" s="575"/>
      <c r="AFO204" s="575"/>
      <c r="AFP204" s="575"/>
      <c r="AFQ204" s="575"/>
      <c r="AFR204" s="575"/>
      <c r="AFS204" s="575"/>
      <c r="AFT204" s="575"/>
      <c r="AFU204" s="575"/>
      <c r="AFV204" s="575"/>
      <c r="AFW204" s="575"/>
      <c r="AFX204" s="575"/>
      <c r="AFY204" s="575"/>
      <c r="AFZ204" s="575"/>
      <c r="AGA204" s="575"/>
      <c r="AGB204" s="575"/>
      <c r="AGC204" s="575"/>
      <c r="AGD204" s="575"/>
      <c r="AGE204" s="575"/>
      <c r="AGF204" s="575"/>
      <c r="AGG204" s="575"/>
      <c r="AGH204" s="575"/>
      <c r="AGI204" s="575"/>
      <c r="AGJ204" s="575"/>
      <c r="AGK204" s="575"/>
      <c r="AGL204" s="575"/>
      <c r="AGM204" s="575"/>
      <c r="AGN204" s="575"/>
      <c r="AGO204" s="575"/>
      <c r="AGP204" s="575"/>
      <c r="AGQ204" s="575"/>
      <c r="AGR204" s="575"/>
      <c r="AGS204" s="575"/>
      <c r="AGT204" s="575"/>
      <c r="AGU204" s="575"/>
      <c r="AGV204" s="575"/>
      <c r="AGW204" s="575"/>
      <c r="AGX204" s="575"/>
      <c r="AGY204" s="575"/>
      <c r="AGZ204" s="575"/>
      <c r="AHA204" s="575"/>
      <c r="AHB204" s="575"/>
      <c r="AHC204" s="575"/>
      <c r="AHD204" s="575"/>
      <c r="AHE204" s="575"/>
      <c r="AHF204" s="575"/>
      <c r="AHG204" s="575"/>
      <c r="AHH204" s="575"/>
      <c r="AHI204" s="575"/>
      <c r="AHJ204" s="575"/>
      <c r="AHK204" s="575"/>
      <c r="AHL204" s="575"/>
      <c r="AHM204" s="575"/>
      <c r="AHN204" s="575"/>
      <c r="AHO204" s="575"/>
      <c r="AHP204" s="575"/>
      <c r="AHQ204" s="575"/>
      <c r="AHR204" s="575"/>
      <c r="AHS204" s="575"/>
      <c r="AHT204" s="575"/>
      <c r="AHU204" s="575"/>
      <c r="AHV204" s="575"/>
      <c r="AHW204" s="575"/>
      <c r="AHX204" s="575"/>
      <c r="AHY204" s="575"/>
      <c r="AHZ204" s="575"/>
      <c r="AIA204" s="575"/>
      <c r="AIB204" s="575"/>
      <c r="AIC204" s="575"/>
      <c r="AID204" s="575"/>
      <c r="AIE204" s="575"/>
      <c r="AIF204" s="575"/>
      <c r="AIG204" s="575"/>
      <c r="AIH204" s="575"/>
      <c r="AII204" s="575"/>
      <c r="AIJ204" s="575"/>
      <c r="AIK204" s="575"/>
      <c r="AIL204" s="575"/>
      <c r="AIM204" s="575"/>
      <c r="AIN204" s="575"/>
      <c r="AIO204" s="575"/>
      <c r="AIP204" s="575"/>
      <c r="AIQ204" s="575"/>
      <c r="AIR204" s="575"/>
      <c r="AIS204" s="575"/>
      <c r="AIT204" s="575"/>
      <c r="AIU204" s="575"/>
      <c r="AIV204" s="575"/>
      <c r="AIW204" s="575"/>
      <c r="AIX204" s="575"/>
      <c r="AIY204" s="575"/>
      <c r="AIZ204" s="575"/>
      <c r="AJA204" s="575"/>
      <c r="AJB204" s="575"/>
      <c r="AJC204" s="575"/>
      <c r="AJD204" s="575"/>
      <c r="AJE204" s="575"/>
      <c r="AJF204" s="575"/>
      <c r="AJG204" s="575"/>
      <c r="AJH204" s="575"/>
      <c r="AJI204" s="575"/>
      <c r="AJJ204" s="575"/>
      <c r="AJK204" s="575"/>
      <c r="AJL204" s="575"/>
      <c r="AJM204" s="575"/>
      <c r="AJN204" s="575"/>
      <c r="AJO204" s="575"/>
      <c r="AJP204" s="575"/>
      <c r="AJQ204" s="575"/>
      <c r="AJR204" s="575"/>
      <c r="AJS204" s="575"/>
      <c r="AJT204" s="575"/>
      <c r="AJU204" s="575"/>
      <c r="AJV204" s="575"/>
      <c r="AJW204" s="575"/>
      <c r="AJX204" s="575"/>
      <c r="AJY204" s="575"/>
      <c r="AJZ204" s="575"/>
      <c r="AKA204" s="575"/>
      <c r="AKB204" s="575"/>
      <c r="AKC204" s="575"/>
      <c r="AKD204" s="575"/>
      <c r="AKE204" s="575"/>
      <c r="AKF204" s="575"/>
      <c r="AKG204" s="575"/>
      <c r="AKH204" s="575"/>
      <c r="AKI204" s="575"/>
      <c r="AKJ204" s="575"/>
      <c r="AKK204" s="575"/>
      <c r="AKL204" s="575"/>
      <c r="AKM204" s="575"/>
      <c r="AKN204" s="575"/>
      <c r="AKO204" s="575"/>
      <c r="AKP204" s="575"/>
      <c r="AKQ204" s="575"/>
      <c r="AKR204" s="575"/>
      <c r="AKS204" s="575"/>
      <c r="AKT204" s="575"/>
      <c r="AKU204" s="575"/>
      <c r="AKV204" s="575"/>
      <c r="AKW204" s="575"/>
      <c r="AKX204" s="575"/>
      <c r="AKY204" s="575"/>
      <c r="AKZ204" s="575"/>
      <c r="ALA204" s="575"/>
      <c r="ALB204" s="575"/>
      <c r="ALC204" s="575"/>
      <c r="ALD204" s="575"/>
      <c r="ALE204" s="575"/>
      <c r="ALF204" s="575"/>
      <c r="ALG204" s="575"/>
      <c r="ALH204" s="575"/>
      <c r="ALI204" s="575"/>
      <c r="ALJ204" s="575"/>
      <c r="ALK204" s="575"/>
      <c r="ALL204" s="575"/>
      <c r="ALM204" s="575"/>
      <c r="ALN204" s="575"/>
      <c r="ALO204" s="575"/>
      <c r="ALP204" s="575"/>
      <c r="ALQ204" s="575"/>
      <c r="ALR204" s="575"/>
      <c r="ALS204" s="575"/>
      <c r="ALT204" s="575"/>
      <c r="ALU204" s="575"/>
      <c r="ALV204" s="575"/>
      <c r="ALW204" s="575"/>
      <c r="ALX204" s="575"/>
      <c r="ALY204" s="575"/>
      <c r="ALZ204" s="575"/>
      <c r="AMA204" s="575"/>
      <c r="AMB204" s="575"/>
      <c r="AMC204" s="575"/>
      <c r="AMD204" s="575"/>
      <c r="AME204" s="575"/>
      <c r="AMF204" s="575"/>
      <c r="AMG204" s="575"/>
      <c r="AMH204" s="575"/>
      <c r="AMI204" s="575"/>
      <c r="AMJ204" s="575"/>
      <c r="AMK204" s="575"/>
      <c r="AML204" s="575"/>
      <c r="AMM204" s="575"/>
      <c r="AMN204" s="575"/>
      <c r="AMO204" s="575"/>
      <c r="AMP204" s="575"/>
      <c r="AMQ204" s="575"/>
      <c r="AMR204" s="575"/>
      <c r="AMS204" s="575"/>
      <c r="AMT204" s="575"/>
      <c r="AMU204" s="575"/>
      <c r="AMV204" s="575"/>
      <c r="AMW204" s="575"/>
      <c r="AMX204" s="575"/>
      <c r="AMY204" s="575"/>
      <c r="AMZ204" s="575"/>
      <c r="ANA204" s="575"/>
      <c r="ANB204" s="575"/>
      <c r="ANC204" s="575"/>
      <c r="AND204" s="575"/>
      <c r="ANE204" s="575"/>
      <c r="ANF204" s="575"/>
      <c r="ANG204" s="575"/>
      <c r="ANH204" s="575"/>
      <c r="ANI204" s="575"/>
      <c r="ANJ204" s="575"/>
      <c r="ANK204" s="575"/>
      <c r="ANL204" s="575"/>
      <c r="ANM204" s="575"/>
      <c r="ANN204" s="575"/>
      <c r="ANO204" s="575"/>
      <c r="ANP204" s="575"/>
      <c r="ANQ204" s="575"/>
      <c r="ANR204" s="575"/>
      <c r="ANS204" s="575"/>
      <c r="ANT204" s="575"/>
      <c r="ANU204" s="575"/>
      <c r="ANV204" s="575"/>
      <c r="ANW204" s="575"/>
      <c r="ANX204" s="575"/>
      <c r="ANY204" s="575"/>
      <c r="ANZ204" s="575"/>
      <c r="AOA204" s="575"/>
      <c r="AOB204" s="575"/>
      <c r="AOC204" s="575"/>
      <c r="AOD204" s="575"/>
      <c r="AOE204" s="575"/>
      <c r="AOF204" s="575"/>
      <c r="AOG204" s="575"/>
      <c r="AOH204" s="575"/>
      <c r="AOI204" s="575"/>
      <c r="AOJ204" s="575"/>
      <c r="AOK204" s="575"/>
      <c r="AOL204" s="575"/>
      <c r="AOM204" s="575"/>
      <c r="AON204" s="575"/>
      <c r="AOO204" s="575"/>
      <c r="AOP204" s="575"/>
      <c r="AOQ204" s="575"/>
      <c r="AOR204" s="575"/>
      <c r="AOS204" s="575"/>
      <c r="AOT204" s="575"/>
      <c r="AOU204" s="575"/>
      <c r="AOV204" s="575"/>
      <c r="AOW204" s="575"/>
      <c r="AOX204" s="575"/>
      <c r="AOY204" s="575"/>
      <c r="AOZ204" s="575"/>
      <c r="APA204" s="575"/>
      <c r="APB204" s="575"/>
      <c r="APC204" s="575"/>
      <c r="APD204" s="575"/>
      <c r="APE204" s="575"/>
      <c r="APF204" s="575"/>
      <c r="APG204" s="575"/>
      <c r="APH204" s="575"/>
      <c r="API204" s="575"/>
      <c r="APJ204" s="575"/>
      <c r="APK204" s="575"/>
      <c r="APL204" s="575"/>
      <c r="APM204" s="575"/>
      <c r="APN204" s="575"/>
      <c r="APO204" s="575"/>
      <c r="APP204" s="575"/>
      <c r="APQ204" s="575"/>
      <c r="APR204" s="575"/>
      <c r="APS204" s="575"/>
      <c r="APT204" s="575"/>
      <c r="APU204" s="575"/>
      <c r="APV204" s="575"/>
      <c r="APW204" s="575"/>
      <c r="APX204" s="575"/>
      <c r="APY204" s="575"/>
      <c r="APZ204" s="575"/>
      <c r="AQA204" s="575"/>
      <c r="AQB204" s="575"/>
      <c r="AQC204" s="575"/>
      <c r="AQD204" s="575"/>
      <c r="AQE204" s="575"/>
      <c r="AQF204" s="575"/>
      <c r="AQG204" s="575"/>
      <c r="AQH204" s="575"/>
      <c r="AQI204" s="575"/>
      <c r="AQJ204" s="575"/>
      <c r="AQK204" s="575"/>
      <c r="AQL204" s="575"/>
      <c r="AQM204" s="575"/>
      <c r="AQN204" s="575"/>
      <c r="AQO204" s="575"/>
      <c r="AQP204" s="575"/>
      <c r="AQQ204" s="575"/>
      <c r="AQR204" s="575"/>
      <c r="AQS204" s="575"/>
      <c r="AQT204" s="575"/>
      <c r="AQU204" s="575"/>
      <c r="AQV204" s="575"/>
      <c r="AQW204" s="575"/>
      <c r="AQX204" s="575"/>
      <c r="AQY204" s="575"/>
      <c r="AQZ204" s="575"/>
      <c r="ARA204" s="575"/>
      <c r="ARB204" s="575"/>
      <c r="ARC204" s="575"/>
      <c r="ARD204" s="575"/>
      <c r="ARE204" s="575"/>
      <c r="ARF204" s="575"/>
      <c r="ARG204" s="575"/>
      <c r="ARH204" s="575"/>
      <c r="ARI204" s="575"/>
      <c r="ARJ204" s="575"/>
      <c r="ARK204" s="575"/>
      <c r="ARL204" s="575"/>
      <c r="ARM204" s="575"/>
      <c r="ARN204" s="575"/>
      <c r="ARO204" s="575"/>
      <c r="ARP204" s="575"/>
      <c r="ARQ204" s="575"/>
      <c r="ARR204" s="575"/>
      <c r="ARS204" s="575"/>
      <c r="ART204" s="575"/>
      <c r="ARU204" s="575"/>
      <c r="ARV204" s="575"/>
      <c r="ARW204" s="575"/>
      <c r="ARX204" s="575"/>
      <c r="ARY204" s="575"/>
      <c r="ARZ204" s="575"/>
      <c r="ASA204" s="575"/>
      <c r="ASB204" s="575"/>
      <c r="ASC204" s="575"/>
      <c r="ASD204" s="575"/>
      <c r="ASE204" s="575"/>
      <c r="ASF204" s="575"/>
      <c r="ASG204" s="575"/>
      <c r="ASH204" s="575"/>
      <c r="ASI204" s="575"/>
      <c r="ASJ204" s="575"/>
      <c r="ASK204" s="575"/>
      <c r="ASL204" s="575"/>
      <c r="ASM204" s="575"/>
      <c r="ASN204" s="575"/>
      <c r="ASO204" s="575"/>
      <c r="ASP204" s="575"/>
      <c r="ASQ204" s="575"/>
      <c r="ASR204" s="575"/>
      <c r="ASS204" s="575"/>
      <c r="AST204" s="575"/>
      <c r="ASU204" s="575"/>
      <c r="ASV204" s="575"/>
      <c r="ASW204" s="575"/>
      <c r="ASX204" s="575"/>
      <c r="ASY204" s="575"/>
      <c r="ASZ204" s="575"/>
      <c r="ATA204" s="575"/>
      <c r="ATB204" s="575"/>
      <c r="ATC204" s="575"/>
      <c r="ATD204" s="575"/>
      <c r="ATE204" s="575"/>
      <c r="ATF204" s="575"/>
      <c r="ATG204" s="575"/>
      <c r="ATH204" s="575"/>
      <c r="ATI204" s="575"/>
      <c r="ATJ204" s="575"/>
      <c r="ATK204" s="575"/>
      <c r="ATL204" s="575"/>
      <c r="ATM204" s="575"/>
      <c r="ATN204" s="575"/>
      <c r="ATO204" s="575"/>
      <c r="ATP204" s="575"/>
      <c r="ATQ204" s="575"/>
      <c r="ATR204" s="575"/>
      <c r="ATS204" s="575"/>
      <c r="ATT204" s="575"/>
      <c r="ATU204" s="575"/>
      <c r="ATV204" s="575"/>
      <c r="ATW204" s="575"/>
      <c r="ATX204" s="575"/>
      <c r="ATY204" s="575"/>
      <c r="ATZ204" s="575"/>
      <c r="AUA204" s="575"/>
      <c r="AUB204" s="575"/>
      <c r="AUC204" s="575"/>
      <c r="AUD204" s="575"/>
      <c r="AUE204" s="575"/>
      <c r="AUF204" s="575"/>
      <c r="AUG204" s="575"/>
      <c r="AUH204" s="575"/>
      <c r="AUI204" s="575"/>
      <c r="AUJ204" s="575"/>
      <c r="AUK204" s="575"/>
      <c r="AUL204" s="575"/>
      <c r="AUM204" s="575"/>
      <c r="AUN204" s="575"/>
      <c r="AUO204" s="575"/>
      <c r="AUP204" s="575"/>
      <c r="AUQ204" s="575"/>
      <c r="AUR204" s="575"/>
      <c r="AUS204" s="575"/>
      <c r="AUT204" s="575"/>
      <c r="AUU204" s="575"/>
      <c r="AUV204" s="575"/>
      <c r="AUW204" s="575"/>
      <c r="AUX204" s="575"/>
      <c r="AUY204" s="575"/>
      <c r="AUZ204" s="575"/>
      <c r="AVA204" s="575"/>
      <c r="AVB204" s="575"/>
      <c r="AVC204" s="575"/>
      <c r="AVD204" s="575"/>
      <c r="AVE204" s="575"/>
      <c r="AVF204" s="575"/>
      <c r="AVG204" s="575"/>
      <c r="AVH204" s="575"/>
      <c r="AVI204" s="575"/>
      <c r="AVJ204" s="575"/>
      <c r="AVK204" s="575"/>
      <c r="AVL204" s="575"/>
      <c r="AVM204" s="575"/>
      <c r="AVN204" s="575"/>
      <c r="AVO204" s="575"/>
      <c r="AVP204" s="575"/>
      <c r="AVQ204" s="575"/>
      <c r="AVR204" s="575"/>
      <c r="AVS204" s="575"/>
      <c r="AVT204" s="575"/>
      <c r="AVU204" s="575"/>
      <c r="AVV204" s="575"/>
      <c r="AVW204" s="575"/>
      <c r="AVX204" s="575"/>
      <c r="AVY204" s="575"/>
      <c r="AVZ204" s="575"/>
      <c r="AWA204" s="575"/>
      <c r="AWB204" s="575"/>
      <c r="AWC204" s="575"/>
      <c r="AWD204" s="575"/>
      <c r="AWE204" s="575"/>
      <c r="AWF204" s="575"/>
      <c r="AWG204" s="575"/>
      <c r="AWH204" s="575"/>
      <c r="AWI204" s="575"/>
      <c r="AWJ204" s="575"/>
      <c r="AWK204" s="575"/>
      <c r="AWL204" s="575"/>
      <c r="AWM204" s="575"/>
      <c r="AWN204" s="575"/>
      <c r="AWO204" s="575"/>
      <c r="AWP204" s="575"/>
      <c r="AWQ204" s="575"/>
      <c r="AWR204" s="575"/>
      <c r="AWS204" s="575"/>
      <c r="AWT204" s="575"/>
      <c r="AWU204" s="575"/>
      <c r="AWV204" s="575"/>
      <c r="AWW204" s="575"/>
      <c r="AWX204" s="575"/>
      <c r="AWY204" s="575"/>
      <c r="AWZ204" s="575"/>
      <c r="AXA204" s="575"/>
      <c r="AXB204" s="575"/>
      <c r="AXC204" s="575"/>
      <c r="AXD204" s="575"/>
      <c r="AXE204" s="575"/>
      <c r="AXF204" s="575"/>
      <c r="AXG204" s="575"/>
      <c r="AXH204" s="575"/>
      <c r="AXI204" s="575"/>
      <c r="AXJ204" s="575"/>
      <c r="AXK204" s="575"/>
      <c r="AXL204" s="575"/>
      <c r="AXM204" s="575"/>
      <c r="AXN204" s="575"/>
      <c r="AXO204" s="575"/>
      <c r="AXP204" s="575"/>
      <c r="AXQ204" s="575"/>
      <c r="AXR204" s="575"/>
      <c r="AXS204" s="575"/>
      <c r="AXT204" s="575"/>
      <c r="AXU204" s="575"/>
      <c r="AXV204" s="575"/>
      <c r="AXW204" s="575"/>
      <c r="AXX204" s="575"/>
      <c r="AXY204" s="575"/>
      <c r="AXZ204" s="575"/>
      <c r="AYA204" s="575"/>
      <c r="AYB204" s="575"/>
      <c r="AYC204" s="575"/>
      <c r="AYD204" s="575"/>
      <c r="AYE204" s="575"/>
      <c r="AYF204" s="575"/>
      <c r="AYG204" s="575"/>
      <c r="AYH204" s="575"/>
      <c r="AYI204" s="575"/>
      <c r="AYJ204" s="575"/>
      <c r="AYK204" s="575"/>
      <c r="AYL204" s="575"/>
      <c r="AYM204" s="575"/>
      <c r="AYN204" s="575"/>
      <c r="AYO204" s="575"/>
      <c r="AYP204" s="575"/>
      <c r="AYQ204" s="575"/>
      <c r="AYR204" s="575"/>
      <c r="AYS204" s="575"/>
      <c r="AYT204" s="575"/>
      <c r="AYU204" s="575"/>
      <c r="AYV204" s="575"/>
      <c r="AYW204" s="575"/>
      <c r="AYX204" s="575"/>
      <c r="AYY204" s="575"/>
      <c r="AYZ204" s="575"/>
      <c r="AZA204" s="575"/>
      <c r="AZB204" s="575"/>
      <c r="AZC204" s="575"/>
      <c r="AZD204" s="575"/>
      <c r="AZE204" s="575"/>
      <c r="AZF204" s="575"/>
      <c r="AZG204" s="575"/>
      <c r="AZH204" s="575"/>
      <c r="AZI204" s="575"/>
      <c r="AZJ204" s="575"/>
      <c r="AZK204" s="575"/>
      <c r="AZL204" s="575"/>
      <c r="AZM204" s="575"/>
      <c r="AZN204" s="575"/>
      <c r="AZO204" s="575"/>
      <c r="AZP204" s="575"/>
      <c r="AZQ204" s="575"/>
      <c r="AZR204" s="575"/>
      <c r="AZS204" s="575"/>
      <c r="AZT204" s="575"/>
      <c r="AZU204" s="575"/>
      <c r="AZV204" s="575"/>
      <c r="AZW204" s="575"/>
      <c r="AZX204" s="575"/>
      <c r="AZY204" s="575"/>
      <c r="AZZ204" s="575"/>
      <c r="BAA204" s="575"/>
      <c r="BAB204" s="575"/>
      <c r="BAC204" s="575"/>
      <c r="BAD204" s="575"/>
      <c r="BAE204" s="575"/>
      <c r="BAF204" s="575"/>
      <c r="BAG204" s="575"/>
      <c r="BAH204" s="575"/>
      <c r="BAI204" s="575"/>
      <c r="BAJ204" s="575"/>
      <c r="BAK204" s="575"/>
      <c r="BAL204" s="575"/>
      <c r="BAM204" s="575"/>
      <c r="BAN204" s="575"/>
      <c r="BAO204" s="575"/>
      <c r="BAP204" s="575"/>
      <c r="BAQ204" s="575"/>
      <c r="BAR204" s="575"/>
      <c r="BAS204" s="575"/>
      <c r="BAT204" s="575"/>
      <c r="BAU204" s="575"/>
      <c r="BAV204" s="575"/>
      <c r="BAW204" s="575"/>
      <c r="BAX204" s="575"/>
      <c r="BAY204" s="575"/>
      <c r="BAZ204" s="575"/>
      <c r="BBA204" s="575"/>
      <c r="BBB204" s="575"/>
      <c r="BBC204" s="575"/>
      <c r="BBD204" s="575"/>
      <c r="BBE204" s="575"/>
      <c r="BBF204" s="575"/>
      <c r="BBG204" s="575"/>
      <c r="BBH204" s="575"/>
      <c r="BBI204" s="575"/>
      <c r="BBJ204" s="575"/>
      <c r="BBK204" s="575"/>
      <c r="BBL204" s="575"/>
      <c r="BBM204" s="575"/>
      <c r="BBN204" s="575"/>
      <c r="BBO204" s="575"/>
      <c r="BBP204" s="575"/>
      <c r="BBQ204" s="575"/>
      <c r="BBR204" s="575"/>
      <c r="BBS204" s="575"/>
      <c r="BBT204" s="575"/>
      <c r="BBU204" s="575"/>
      <c r="BBV204" s="575"/>
      <c r="BBW204" s="575"/>
      <c r="BBX204" s="575"/>
      <c r="BBY204" s="575"/>
      <c r="BBZ204" s="575"/>
      <c r="BCA204" s="575"/>
      <c r="BCB204" s="575"/>
      <c r="BCC204" s="575"/>
      <c r="BCD204" s="575"/>
      <c r="BCE204" s="575"/>
      <c r="BCF204" s="575"/>
      <c r="BCG204" s="575"/>
      <c r="BCH204" s="575"/>
      <c r="BCI204" s="575"/>
      <c r="BCJ204" s="575"/>
      <c r="BCK204" s="575"/>
      <c r="BCL204" s="575"/>
      <c r="BCM204" s="575"/>
      <c r="BCN204" s="575"/>
      <c r="BCO204" s="575"/>
      <c r="BCP204" s="575"/>
      <c r="BCQ204" s="575"/>
      <c r="BCR204" s="575"/>
      <c r="BCS204" s="575"/>
      <c r="BCT204" s="575"/>
      <c r="BCU204" s="575"/>
      <c r="BCV204" s="575"/>
      <c r="BCW204" s="575"/>
      <c r="BCX204" s="575"/>
      <c r="BCY204" s="575"/>
      <c r="BCZ204" s="575"/>
      <c r="BDA204" s="575"/>
      <c r="BDB204" s="575"/>
      <c r="BDC204" s="575"/>
      <c r="BDD204" s="575"/>
      <c r="BDE204" s="575"/>
      <c r="BDF204" s="575"/>
      <c r="BDG204" s="575"/>
      <c r="BDH204" s="575"/>
      <c r="BDI204" s="575"/>
      <c r="BDJ204" s="575"/>
      <c r="BDK204" s="575"/>
      <c r="BDL204" s="575"/>
      <c r="BDM204" s="575"/>
      <c r="BDN204" s="575"/>
      <c r="BDO204" s="575"/>
      <c r="BDP204" s="575"/>
      <c r="BDQ204" s="575"/>
      <c r="BDR204" s="575"/>
      <c r="BDS204" s="575"/>
      <c r="BDT204" s="575"/>
    </row>
    <row r="205" spans="1:1476" x14ac:dyDescent="0.25">
      <c r="A205" s="608">
        <v>5742</v>
      </c>
      <c r="B205" s="609" t="s">
        <v>276</v>
      </c>
      <c r="C205" s="610">
        <v>547652.32999999996</v>
      </c>
      <c r="D205" s="610">
        <v>72847.67</v>
      </c>
      <c r="E205" s="610"/>
      <c r="F205" s="611"/>
      <c r="G205" s="610">
        <v>755.45</v>
      </c>
      <c r="H205" s="610">
        <v>662.2</v>
      </c>
      <c r="I205" s="610"/>
      <c r="J205" s="610">
        <v>10294.01</v>
      </c>
      <c r="K205" s="610">
        <v>2503.8000000000002</v>
      </c>
      <c r="L205" s="610">
        <v>30097</v>
      </c>
      <c r="M205" s="434">
        <f t="shared" si="12"/>
        <v>664812.46</v>
      </c>
      <c r="N205" s="612">
        <v>3021.6</v>
      </c>
      <c r="O205" s="612">
        <v>0</v>
      </c>
      <c r="P205" s="612">
        <v>0</v>
      </c>
      <c r="Q205" s="612">
        <v>-102.83</v>
      </c>
      <c r="R205" s="612">
        <v>0</v>
      </c>
      <c r="S205" s="610">
        <v>148.15</v>
      </c>
      <c r="T205" s="543">
        <f t="shared" si="13"/>
        <v>667879.38</v>
      </c>
      <c r="U205" s="575">
        <v>-7228.01</v>
      </c>
      <c r="V205" s="612"/>
      <c r="W205" s="612">
        <v>0</v>
      </c>
      <c r="X205" s="624">
        <v>76</v>
      </c>
      <c r="Y205" s="631">
        <v>0.5</v>
      </c>
      <c r="Z205" s="628">
        <f>VLOOKUP(A205,'[2]2022 toutes communes'!$B$9:$D$317,3,FALSE)</f>
        <v>381</v>
      </c>
      <c r="AA205" s="617"/>
      <c r="AB205" s="618">
        <v>0</v>
      </c>
      <c r="AC205" s="547">
        <f>AB205/VPI!R205</f>
        <v>0</v>
      </c>
      <c r="AD205" s="548">
        <f t="shared" si="14"/>
        <v>45296</v>
      </c>
      <c r="AE205" s="547">
        <f>AD205/VPI!R205</f>
        <v>5.0056158203642411</v>
      </c>
      <c r="AF205" s="618">
        <v>45296</v>
      </c>
      <c r="AG205" s="618">
        <v>17921</v>
      </c>
      <c r="AH205" s="618">
        <v>43378</v>
      </c>
      <c r="AI205" s="637"/>
      <c r="AJ205" s="628">
        <v>0</v>
      </c>
      <c r="AK205" s="547">
        <f>AJ205/VPI!R205</f>
        <v>0</v>
      </c>
      <c r="AL205" s="548">
        <f t="shared" si="15"/>
        <v>30218</v>
      </c>
      <c r="AM205" s="547">
        <f>AL205/VPI!R205</f>
        <v>3.3393610663141695</v>
      </c>
      <c r="AN205" s="628">
        <v>30218</v>
      </c>
      <c r="AO205" s="637"/>
      <c r="AP205" s="629">
        <v>8.1147105995731152</v>
      </c>
      <c r="AR205" s="630">
        <v>0</v>
      </c>
    </row>
    <row r="206" spans="1:1476" x14ac:dyDescent="0.25">
      <c r="A206" s="608">
        <v>5743</v>
      </c>
      <c r="B206" s="609" t="s">
        <v>226</v>
      </c>
      <c r="C206" s="610">
        <v>1126211.6000000001</v>
      </c>
      <c r="D206" s="610">
        <v>157023.88</v>
      </c>
      <c r="E206" s="610"/>
      <c r="F206" s="611"/>
      <c r="G206" s="610">
        <v>8107.8</v>
      </c>
      <c r="H206" s="610">
        <v>746.7</v>
      </c>
      <c r="I206" s="610"/>
      <c r="J206" s="610">
        <v>10409.280000000001</v>
      </c>
      <c r="K206" s="610"/>
      <c r="L206" s="610">
        <v>73400</v>
      </c>
      <c r="M206" s="434">
        <f t="shared" si="12"/>
        <v>1375899.26</v>
      </c>
      <c r="N206" s="612">
        <v>27200.2</v>
      </c>
      <c r="O206" s="612"/>
      <c r="P206" s="612">
        <v>84993.25</v>
      </c>
      <c r="Q206" s="612"/>
      <c r="R206" s="612">
        <v>76668.75</v>
      </c>
      <c r="S206" s="610">
        <v>925.34</v>
      </c>
      <c r="T206" s="543">
        <f t="shared" si="13"/>
        <v>1565686.8</v>
      </c>
      <c r="U206" s="575">
        <v>-15848.19</v>
      </c>
      <c r="V206" s="612"/>
      <c r="W206" s="612">
        <v>-254.75</v>
      </c>
      <c r="X206" s="624">
        <v>71</v>
      </c>
      <c r="Y206" s="631">
        <v>0.8</v>
      </c>
      <c r="Z206" s="628">
        <f>VLOOKUP(A206,'[2]2022 toutes communes'!$B$9:$D$317,3,FALSE)</f>
        <v>692</v>
      </c>
      <c r="AA206" s="617"/>
      <c r="AB206" s="618">
        <v>69995</v>
      </c>
      <c r="AC206" s="547">
        <f>AB206/VPI!R206</f>
        <v>3.6036162181738982</v>
      </c>
      <c r="AD206" s="548">
        <f t="shared" si="14"/>
        <v>56073</v>
      </c>
      <c r="AE206" s="547">
        <f>AD206/VPI!R206</f>
        <v>2.8868572355406101</v>
      </c>
      <c r="AF206" s="618">
        <v>126068</v>
      </c>
      <c r="AG206" s="618">
        <v>79449</v>
      </c>
      <c r="AH206" s="618">
        <v>72183</v>
      </c>
      <c r="AI206" s="637"/>
      <c r="AJ206" s="628">
        <v>0</v>
      </c>
      <c r="AK206" s="547">
        <f>AJ206/VPI!R206</f>
        <v>0</v>
      </c>
      <c r="AL206" s="548">
        <f t="shared" si="15"/>
        <v>5162</v>
      </c>
      <c r="AM206" s="547">
        <f>AL206/VPI!R206</f>
        <v>0.26575993882725429</v>
      </c>
      <c r="AN206" s="628">
        <v>5162</v>
      </c>
      <c r="AO206" s="637"/>
      <c r="AP206" s="629">
        <v>11.551154018614382</v>
      </c>
      <c r="AR206" s="630">
        <v>0</v>
      </c>
    </row>
    <row r="207" spans="1:1476" x14ac:dyDescent="0.25">
      <c r="A207" s="608">
        <v>5744</v>
      </c>
      <c r="B207" s="609" t="s">
        <v>227</v>
      </c>
      <c r="C207" s="610">
        <v>1373134.73</v>
      </c>
      <c r="D207" s="610">
        <v>189932.46</v>
      </c>
      <c r="E207" s="610"/>
      <c r="F207" s="611"/>
      <c r="G207" s="610">
        <v>1571532.2</v>
      </c>
      <c r="H207" s="610">
        <v>4841.6000000000004</v>
      </c>
      <c r="I207" s="610"/>
      <c r="J207" s="610">
        <v>113583.97</v>
      </c>
      <c r="K207" s="610">
        <v>-48.5</v>
      </c>
      <c r="L207" s="610">
        <v>194048.5</v>
      </c>
      <c r="M207" s="434">
        <f t="shared" si="12"/>
        <v>3447024.96</v>
      </c>
      <c r="N207" s="612">
        <v>1643117.75</v>
      </c>
      <c r="O207" s="612">
        <v>6789.1</v>
      </c>
      <c r="P207" s="612">
        <v>100606.2</v>
      </c>
      <c r="Q207" s="612">
        <v>65903.78</v>
      </c>
      <c r="R207" s="612">
        <v>61169.7</v>
      </c>
      <c r="S207" s="610">
        <v>164739.15</v>
      </c>
      <c r="T207" s="543">
        <f t="shared" si="13"/>
        <v>5489350.6400000006</v>
      </c>
      <c r="U207" s="575">
        <v>-160539.53</v>
      </c>
      <c r="V207" s="612"/>
      <c r="W207" s="612">
        <v>-296.76</v>
      </c>
      <c r="X207" s="624">
        <v>65</v>
      </c>
      <c r="Y207" s="631">
        <v>1</v>
      </c>
      <c r="Z207" s="628">
        <f>VLOOKUP(A207,'[2]2022 toutes communes'!$B$9:$D$317,3,FALSE)</f>
        <v>1152</v>
      </c>
      <c r="AA207" s="617"/>
      <c r="AB207" s="618">
        <v>186614</v>
      </c>
      <c r="AC207" s="547">
        <f>AB207/VPI!R207</f>
        <v>3.4491017426026311</v>
      </c>
      <c r="AD207" s="548">
        <f t="shared" si="14"/>
        <v>489291</v>
      </c>
      <c r="AE207" s="547">
        <f>AD207/VPI!R207</f>
        <v>9.0433431614979796</v>
      </c>
      <c r="AF207" s="618">
        <v>675905</v>
      </c>
      <c r="AG207" s="618">
        <v>56056</v>
      </c>
      <c r="AH207" s="618">
        <v>122994</v>
      </c>
      <c r="AI207" s="637"/>
      <c r="AJ207" s="628">
        <v>0</v>
      </c>
      <c r="AK207" s="547">
        <f>AJ207/VPI!R207</f>
        <v>0</v>
      </c>
      <c r="AL207" s="548">
        <f t="shared" si="15"/>
        <v>56329</v>
      </c>
      <c r="AM207" s="547">
        <f>AL207/VPI!R207</f>
        <v>1.0411033044630287</v>
      </c>
      <c r="AN207" s="628">
        <v>56329</v>
      </c>
      <c r="AO207" s="637"/>
      <c r="AP207" s="629">
        <v>24.515662321226372</v>
      </c>
      <c r="AR207" s="630">
        <v>0</v>
      </c>
    </row>
    <row r="208" spans="1:1476" x14ac:dyDescent="0.25">
      <c r="A208" s="608">
        <v>5745</v>
      </c>
      <c r="B208" s="609" t="s">
        <v>228</v>
      </c>
      <c r="C208" s="610">
        <v>1655119.18</v>
      </c>
      <c r="D208" s="610">
        <v>221619.52</v>
      </c>
      <c r="E208" s="610"/>
      <c r="F208" s="611"/>
      <c r="G208" s="610">
        <v>41558.949999999997</v>
      </c>
      <c r="H208" s="610">
        <v>476.7</v>
      </c>
      <c r="I208" s="610"/>
      <c r="J208" s="610">
        <v>55170.58</v>
      </c>
      <c r="K208" s="610"/>
      <c r="L208" s="610">
        <v>157516.54999999999</v>
      </c>
      <c r="M208" s="434">
        <f t="shared" si="12"/>
        <v>2131461.48</v>
      </c>
      <c r="N208" s="612">
        <v>212726.7</v>
      </c>
      <c r="O208" s="612"/>
      <c r="P208" s="612">
        <v>76885.399999999994</v>
      </c>
      <c r="Q208" s="612">
        <v>14956.61</v>
      </c>
      <c r="R208" s="612">
        <v>68857.3</v>
      </c>
      <c r="S208" s="610">
        <v>4392.9399999999996</v>
      </c>
      <c r="T208" s="543">
        <f t="shared" si="13"/>
        <v>2509280.4299999997</v>
      </c>
      <c r="U208" s="575">
        <v>-31362.83</v>
      </c>
      <c r="V208" s="612"/>
      <c r="W208" s="612">
        <v>-7.67</v>
      </c>
      <c r="X208" s="624">
        <v>76.5</v>
      </c>
      <c r="Y208" s="631">
        <v>1</v>
      </c>
      <c r="Z208" s="628">
        <f>VLOOKUP(A208,'[2]2022 toutes communes'!$B$9:$D$317,3,FALSE)</f>
        <v>1132</v>
      </c>
      <c r="AA208" s="617"/>
      <c r="AB208" s="618">
        <v>37715</v>
      </c>
      <c r="AC208" s="547">
        <f>AB208/VPI!R208</f>
        <v>1.3613014657221827</v>
      </c>
      <c r="AD208" s="548">
        <f t="shared" si="14"/>
        <v>224929</v>
      </c>
      <c r="AE208" s="547">
        <f>AD208/VPI!R208</f>
        <v>8.1186842737219891</v>
      </c>
      <c r="AF208" s="618">
        <v>262644</v>
      </c>
      <c r="AG208" s="618">
        <v>134526</v>
      </c>
      <c r="AH208" s="618">
        <v>102363</v>
      </c>
      <c r="AI208" s="637"/>
      <c r="AJ208" s="628">
        <v>0</v>
      </c>
      <c r="AK208" s="547">
        <f>AJ208/VPI!R208</f>
        <v>0</v>
      </c>
      <c r="AL208" s="548">
        <f t="shared" si="15"/>
        <v>244048</v>
      </c>
      <c r="AM208" s="547">
        <f>AL208/VPI!R208</f>
        <v>8.8087737002934432</v>
      </c>
      <c r="AN208" s="628">
        <v>244048</v>
      </c>
      <c r="AO208" s="637"/>
      <c r="AP208" s="629">
        <v>3.5676346023429093</v>
      </c>
      <c r="AR208" s="630">
        <v>0</v>
      </c>
    </row>
    <row r="209" spans="1:1476" x14ac:dyDescent="0.25">
      <c r="A209" s="608">
        <v>5746</v>
      </c>
      <c r="B209" s="609" t="s">
        <v>229</v>
      </c>
      <c r="C209" s="610">
        <v>1693269.27</v>
      </c>
      <c r="D209" s="610">
        <v>160997.67000000001</v>
      </c>
      <c r="E209" s="610"/>
      <c r="F209" s="611"/>
      <c r="G209" s="610">
        <v>40536.699999999997</v>
      </c>
      <c r="H209" s="610">
        <v>2194.0500000000002</v>
      </c>
      <c r="I209" s="610"/>
      <c r="J209" s="610">
        <v>23610.65</v>
      </c>
      <c r="K209" s="610">
        <v>18702.25</v>
      </c>
      <c r="L209" s="610">
        <v>233716.15</v>
      </c>
      <c r="M209" s="434">
        <f t="shared" si="12"/>
        <v>2173026.7399999998</v>
      </c>
      <c r="N209" s="612">
        <v>4091.65</v>
      </c>
      <c r="O209" s="612">
        <v>55380.2</v>
      </c>
      <c r="P209" s="612">
        <v>134983.65</v>
      </c>
      <c r="Q209" s="612">
        <v>12580.98</v>
      </c>
      <c r="R209" s="612">
        <v>61486.75</v>
      </c>
      <c r="S209" s="610">
        <v>4465.58</v>
      </c>
      <c r="T209" s="543">
        <f t="shared" si="13"/>
        <v>2446015.5499999998</v>
      </c>
      <c r="U209" s="575">
        <v>-26059.63</v>
      </c>
      <c r="V209" s="612"/>
      <c r="W209" s="612">
        <v>-82.3</v>
      </c>
      <c r="X209" s="624">
        <v>72</v>
      </c>
      <c r="Y209" s="631">
        <v>1.2</v>
      </c>
      <c r="Z209" s="628">
        <f>VLOOKUP(A209,'[2]2022 toutes communes'!$B$9:$D$317,3,FALSE)</f>
        <v>1009</v>
      </c>
      <c r="AA209" s="617"/>
      <c r="AB209" s="618">
        <v>85978</v>
      </c>
      <c r="AC209" s="547">
        <f>AB209/VPI!R209</f>
        <v>2.9131661710861385</v>
      </c>
      <c r="AD209" s="548">
        <f t="shared" si="14"/>
        <v>235712</v>
      </c>
      <c r="AE209" s="547">
        <f>AD209/VPI!R209</f>
        <v>7.9865573113942627</v>
      </c>
      <c r="AF209" s="618">
        <v>321690</v>
      </c>
      <c r="AG209" s="618">
        <v>116844</v>
      </c>
      <c r="AH209" s="618">
        <v>124269</v>
      </c>
      <c r="AI209" s="637"/>
      <c r="AJ209" s="628">
        <v>0</v>
      </c>
      <c r="AK209" s="547">
        <f>AJ209/VPI!R209</f>
        <v>0</v>
      </c>
      <c r="AL209" s="548">
        <f t="shared" si="15"/>
        <v>53549</v>
      </c>
      <c r="AM209" s="547">
        <f>AL209/VPI!R209</f>
        <v>1.8143843226812864</v>
      </c>
      <c r="AN209" s="628">
        <v>53549</v>
      </c>
      <c r="AO209" s="637"/>
      <c r="AP209" s="629">
        <v>10.933888880133827</v>
      </c>
      <c r="AR209" s="630">
        <v>0</v>
      </c>
    </row>
    <row r="210" spans="1:1476" x14ac:dyDescent="0.25">
      <c r="A210" s="608">
        <v>5747</v>
      </c>
      <c r="B210" s="609" t="s">
        <v>230</v>
      </c>
      <c r="C210" s="610">
        <v>311227.8</v>
      </c>
      <c r="D210" s="610">
        <v>47091.16</v>
      </c>
      <c r="E210" s="610"/>
      <c r="F210" s="611"/>
      <c r="G210" s="610">
        <v>5472.95</v>
      </c>
      <c r="H210" s="610">
        <v>470.9</v>
      </c>
      <c r="I210" s="610"/>
      <c r="J210" s="610">
        <v>1547.98</v>
      </c>
      <c r="K210" s="610"/>
      <c r="L210" s="610">
        <v>34299.1</v>
      </c>
      <c r="M210" s="434">
        <f t="shared" si="12"/>
        <v>400109.88999999996</v>
      </c>
      <c r="N210" s="612">
        <v>0</v>
      </c>
      <c r="O210" s="612"/>
      <c r="P210" s="612">
        <v>14951.45</v>
      </c>
      <c r="Q210" s="612">
        <v>1379.35</v>
      </c>
      <c r="R210" s="612">
        <v>64346.05</v>
      </c>
      <c r="S210" s="610">
        <v>621.16</v>
      </c>
      <c r="T210" s="543">
        <f t="shared" si="13"/>
        <v>481407.89999999991</v>
      </c>
      <c r="U210" s="575">
        <v>-3404.14</v>
      </c>
      <c r="V210" s="612"/>
      <c r="W210" s="612">
        <v>-21.65</v>
      </c>
      <c r="X210" s="624">
        <v>69</v>
      </c>
      <c r="Y210" s="631">
        <v>1</v>
      </c>
      <c r="Z210" s="628">
        <f>VLOOKUP(A210,'[2]2022 toutes communes'!$B$9:$D$317,3,FALSE)</f>
        <v>204</v>
      </c>
      <c r="AA210" s="617"/>
      <c r="AB210" s="618">
        <v>20996</v>
      </c>
      <c r="AC210" s="547">
        <f>AB210/VPI!R210</f>
        <v>3.6337595273617422</v>
      </c>
      <c r="AD210" s="548">
        <f t="shared" si="14"/>
        <v>19570</v>
      </c>
      <c r="AE210" s="547">
        <f>AD210/VPI!R210</f>
        <v>3.3869629429638644</v>
      </c>
      <c r="AF210" s="618">
        <v>40566</v>
      </c>
      <c r="AG210" s="618">
        <v>9845</v>
      </c>
      <c r="AH210" s="618">
        <v>23322</v>
      </c>
      <c r="AI210" s="637"/>
      <c r="AJ210" s="628">
        <v>0</v>
      </c>
      <c r="AK210" s="547">
        <f>AJ210/VPI!R210</f>
        <v>0</v>
      </c>
      <c r="AL210" s="548">
        <f t="shared" si="15"/>
        <v>-952</v>
      </c>
      <c r="AM210" s="547">
        <f>AL210/VPI!R210</f>
        <v>-0.16476181510994373</v>
      </c>
      <c r="AN210" s="628">
        <v>-952</v>
      </c>
      <c r="AO210" s="637"/>
      <c r="AP210" s="629">
        <v>12.807572334153326</v>
      </c>
      <c r="AR210" s="630">
        <v>0</v>
      </c>
    </row>
    <row r="211" spans="1:1476" s="632" customFormat="1" x14ac:dyDescent="0.25">
      <c r="A211" s="608">
        <v>5748</v>
      </c>
      <c r="B211" s="609" t="s">
        <v>231</v>
      </c>
      <c r="C211" s="610">
        <v>389146.48</v>
      </c>
      <c r="D211" s="610">
        <v>43886.46</v>
      </c>
      <c r="E211" s="610"/>
      <c r="F211" s="611">
        <v>2100</v>
      </c>
      <c r="G211" s="610">
        <v>2707.15</v>
      </c>
      <c r="H211" s="610">
        <v>50.95</v>
      </c>
      <c r="I211" s="610"/>
      <c r="J211" s="610">
        <v>407.17</v>
      </c>
      <c r="K211" s="610"/>
      <c r="L211" s="610">
        <v>23084</v>
      </c>
      <c r="M211" s="434">
        <f t="shared" si="12"/>
        <v>461382.21</v>
      </c>
      <c r="N211" s="612">
        <v>1720.55</v>
      </c>
      <c r="O211" s="612">
        <v>1404.5</v>
      </c>
      <c r="P211" s="612">
        <v>16786</v>
      </c>
      <c r="Q211" s="612">
        <v>706.77</v>
      </c>
      <c r="R211" s="612">
        <v>20777.45</v>
      </c>
      <c r="S211" s="610">
        <v>288.24</v>
      </c>
      <c r="T211" s="543">
        <f t="shared" si="13"/>
        <v>503065.72000000003</v>
      </c>
      <c r="U211" s="575">
        <v>-1012</v>
      </c>
      <c r="V211" s="612"/>
      <c r="W211" s="612">
        <v>0</v>
      </c>
      <c r="X211" s="624">
        <v>70.5</v>
      </c>
      <c r="Y211" s="631">
        <v>0.6</v>
      </c>
      <c r="Z211" s="628">
        <f>VLOOKUP(A211,'[2]2022 toutes communes'!$B$9:$D$317,3,FALSE)</f>
        <v>264</v>
      </c>
      <c r="AA211" s="617"/>
      <c r="AB211" s="618">
        <v>47381</v>
      </c>
      <c r="AC211" s="547">
        <f>AB211/VPI!R211</f>
        <v>7.0064574667302946</v>
      </c>
      <c r="AD211" s="548">
        <f t="shared" si="14"/>
        <v>37696</v>
      </c>
      <c r="AE211" s="547">
        <f>AD211/VPI!R211</f>
        <v>5.5742897082346339</v>
      </c>
      <c r="AF211" s="618">
        <v>85077</v>
      </c>
      <c r="AG211" s="618">
        <v>31780</v>
      </c>
      <c r="AH211" s="618">
        <v>33581</v>
      </c>
      <c r="AI211" s="637"/>
      <c r="AJ211" s="628">
        <v>0</v>
      </c>
      <c r="AK211" s="547">
        <f>AJ211/VPI!R211</f>
        <v>0</v>
      </c>
      <c r="AL211" s="548">
        <f t="shared" si="15"/>
        <v>20063</v>
      </c>
      <c r="AM211" s="547">
        <f>AL211/VPI!R211</f>
        <v>2.9668127763240522</v>
      </c>
      <c r="AN211" s="628">
        <v>20063</v>
      </c>
      <c r="AO211" s="637"/>
      <c r="AP211" s="629">
        <v>7.247871459037559</v>
      </c>
      <c r="AQ211" s="575"/>
      <c r="AR211" s="630">
        <v>0</v>
      </c>
      <c r="AS211" s="575"/>
      <c r="AT211" s="575"/>
      <c r="AU211" s="575"/>
      <c r="AV211" s="575"/>
      <c r="AW211" s="575"/>
      <c r="AX211" s="575"/>
      <c r="AY211" s="575"/>
      <c r="AZ211" s="575"/>
      <c r="BA211" s="575"/>
      <c r="BB211" s="575"/>
      <c r="BC211" s="575"/>
      <c r="BD211" s="575"/>
      <c r="BE211" s="575"/>
      <c r="BF211" s="575"/>
      <c r="BG211" s="575"/>
      <c r="BH211" s="575"/>
      <c r="BI211" s="575"/>
      <c r="BJ211" s="575"/>
      <c r="BK211" s="575"/>
      <c r="BL211" s="575"/>
      <c r="BM211" s="575"/>
      <c r="BN211" s="575"/>
      <c r="BO211" s="575"/>
      <c r="BP211" s="575"/>
      <c r="BQ211" s="575"/>
      <c r="BR211" s="575"/>
      <c r="BS211" s="575"/>
      <c r="BT211" s="575"/>
      <c r="BU211" s="575"/>
      <c r="BV211" s="575"/>
      <c r="BW211" s="575"/>
      <c r="BX211" s="575"/>
      <c r="BY211" s="575"/>
      <c r="BZ211" s="575"/>
      <c r="CA211" s="575"/>
      <c r="CB211" s="575"/>
      <c r="CC211" s="575"/>
      <c r="CD211" s="575"/>
      <c r="CE211" s="575"/>
      <c r="CF211" s="575"/>
      <c r="CG211" s="575"/>
      <c r="CH211" s="575"/>
      <c r="CI211" s="575"/>
      <c r="CJ211" s="575"/>
      <c r="CK211" s="575"/>
      <c r="CL211" s="575"/>
      <c r="CM211" s="575"/>
      <c r="CN211" s="575"/>
      <c r="CO211" s="575"/>
      <c r="CP211" s="575"/>
      <c r="CQ211" s="575"/>
      <c r="CR211" s="575"/>
      <c r="CS211" s="575"/>
      <c r="CT211" s="575"/>
      <c r="CU211" s="575"/>
      <c r="CV211" s="575"/>
      <c r="CW211" s="575"/>
      <c r="CX211" s="575"/>
      <c r="CY211" s="575"/>
      <c r="CZ211" s="575"/>
      <c r="DA211" s="575"/>
      <c r="DB211" s="575"/>
      <c r="DC211" s="575"/>
      <c r="DD211" s="575"/>
      <c r="DE211" s="575"/>
      <c r="DF211" s="575"/>
      <c r="DG211" s="575"/>
      <c r="DH211" s="575"/>
      <c r="DI211" s="575"/>
      <c r="DJ211" s="575"/>
      <c r="DK211" s="575"/>
      <c r="DL211" s="575"/>
      <c r="DM211" s="575"/>
      <c r="DN211" s="575"/>
      <c r="DO211" s="575"/>
      <c r="DP211" s="575"/>
      <c r="DQ211" s="575"/>
      <c r="DR211" s="575"/>
      <c r="DS211" s="575"/>
      <c r="DT211" s="575"/>
      <c r="DU211" s="575"/>
      <c r="DV211" s="575"/>
      <c r="DW211" s="575"/>
      <c r="DX211" s="575"/>
      <c r="DY211" s="575"/>
      <c r="DZ211" s="575"/>
      <c r="EA211" s="575"/>
      <c r="EB211" s="575"/>
      <c r="EC211" s="575"/>
      <c r="ED211" s="575"/>
      <c r="EE211" s="575"/>
      <c r="EF211" s="575"/>
      <c r="EG211" s="575"/>
      <c r="EH211" s="575"/>
      <c r="EI211" s="575"/>
      <c r="EJ211" s="575"/>
      <c r="EK211" s="575"/>
      <c r="EL211" s="575"/>
      <c r="EM211" s="575"/>
      <c r="EN211" s="575"/>
      <c r="EO211" s="575"/>
      <c r="EP211" s="575"/>
      <c r="EQ211" s="575"/>
      <c r="ER211" s="575"/>
      <c r="ES211" s="575"/>
      <c r="ET211" s="575"/>
      <c r="EU211" s="575"/>
      <c r="EV211" s="575"/>
      <c r="EW211" s="575"/>
      <c r="EX211" s="575"/>
      <c r="EY211" s="575"/>
      <c r="EZ211" s="575"/>
      <c r="FA211" s="575"/>
      <c r="FB211" s="575"/>
      <c r="FC211" s="575"/>
      <c r="FD211" s="575"/>
      <c r="FE211" s="575"/>
      <c r="FF211" s="575"/>
      <c r="FG211" s="575"/>
      <c r="FH211" s="575"/>
      <c r="FI211" s="575"/>
      <c r="FJ211" s="575"/>
      <c r="FK211" s="575"/>
      <c r="FL211" s="575"/>
      <c r="FM211" s="575"/>
      <c r="FN211" s="575"/>
      <c r="FO211" s="575"/>
      <c r="FP211" s="575"/>
      <c r="FQ211" s="575"/>
      <c r="FR211" s="575"/>
      <c r="FS211" s="575"/>
      <c r="FT211" s="575"/>
      <c r="FU211" s="575"/>
      <c r="FV211" s="575"/>
      <c r="FW211" s="575"/>
      <c r="FX211" s="575"/>
      <c r="FY211" s="575"/>
      <c r="FZ211" s="575"/>
      <c r="GA211" s="575"/>
      <c r="GB211" s="575"/>
      <c r="GC211" s="575"/>
      <c r="GD211" s="575"/>
      <c r="GE211" s="575"/>
      <c r="GF211" s="575"/>
      <c r="GG211" s="575"/>
      <c r="GH211" s="575"/>
      <c r="GI211" s="575"/>
      <c r="GJ211" s="575"/>
      <c r="GK211" s="575"/>
      <c r="GL211" s="575"/>
      <c r="GM211" s="575"/>
      <c r="GN211" s="575"/>
      <c r="GO211" s="575"/>
      <c r="GP211" s="575"/>
      <c r="GQ211" s="575"/>
      <c r="GR211" s="575"/>
      <c r="GS211" s="575"/>
      <c r="GT211" s="575"/>
      <c r="GU211" s="575"/>
      <c r="GV211" s="575"/>
      <c r="GW211" s="575"/>
      <c r="GX211" s="575"/>
      <c r="GY211" s="575"/>
      <c r="GZ211" s="575"/>
      <c r="HA211" s="575"/>
      <c r="HB211" s="575"/>
      <c r="HC211" s="575"/>
      <c r="HD211" s="575"/>
      <c r="HE211" s="575"/>
      <c r="HF211" s="575"/>
      <c r="HG211" s="575"/>
      <c r="HH211" s="575"/>
      <c r="HI211" s="575"/>
      <c r="HJ211" s="575"/>
      <c r="HK211" s="575"/>
      <c r="HL211" s="575"/>
      <c r="HM211" s="575"/>
      <c r="HN211" s="575"/>
      <c r="HO211" s="575"/>
      <c r="HP211" s="575"/>
      <c r="HQ211" s="575"/>
      <c r="HR211" s="575"/>
      <c r="HS211" s="575"/>
      <c r="HT211" s="575"/>
      <c r="HU211" s="575"/>
      <c r="HV211" s="575"/>
      <c r="HW211" s="575"/>
      <c r="HX211" s="575"/>
      <c r="HY211" s="575"/>
      <c r="HZ211" s="575"/>
      <c r="IA211" s="575"/>
      <c r="IB211" s="575"/>
      <c r="IC211" s="575"/>
      <c r="ID211" s="575"/>
      <c r="IE211" s="575"/>
      <c r="IF211" s="575"/>
      <c r="IG211" s="575"/>
      <c r="IH211" s="575"/>
      <c r="II211" s="575"/>
      <c r="IJ211" s="575"/>
      <c r="IK211" s="575"/>
      <c r="IL211" s="575"/>
      <c r="IM211" s="575"/>
      <c r="IN211" s="575"/>
      <c r="IO211" s="575"/>
      <c r="IP211" s="575"/>
      <c r="IQ211" s="575"/>
      <c r="IR211" s="575"/>
      <c r="IS211" s="575"/>
      <c r="IT211" s="575"/>
      <c r="IU211" s="575"/>
      <c r="IV211" s="575"/>
      <c r="IW211" s="575"/>
      <c r="IX211" s="575"/>
      <c r="IY211" s="575"/>
      <c r="IZ211" s="575"/>
      <c r="JA211" s="575"/>
      <c r="JB211" s="575"/>
      <c r="JC211" s="575"/>
      <c r="JD211" s="575"/>
      <c r="JE211" s="575"/>
      <c r="JF211" s="575"/>
      <c r="JG211" s="575"/>
      <c r="JH211" s="575"/>
      <c r="JI211" s="575"/>
      <c r="JJ211" s="575"/>
      <c r="JK211" s="575"/>
      <c r="JL211" s="575"/>
      <c r="JM211" s="575"/>
      <c r="JN211" s="575"/>
      <c r="JO211" s="575"/>
      <c r="JP211" s="575"/>
      <c r="JQ211" s="575"/>
      <c r="JR211" s="575"/>
      <c r="JS211" s="575"/>
      <c r="JT211" s="575"/>
      <c r="JU211" s="575"/>
      <c r="JV211" s="575"/>
      <c r="JW211" s="575"/>
      <c r="JX211" s="575"/>
      <c r="JY211" s="575"/>
      <c r="JZ211" s="575"/>
      <c r="KA211" s="575"/>
      <c r="KB211" s="575"/>
      <c r="KC211" s="575"/>
      <c r="KD211" s="575"/>
      <c r="KE211" s="575"/>
      <c r="KF211" s="575"/>
      <c r="KG211" s="575"/>
      <c r="KH211" s="575"/>
      <c r="KI211" s="575"/>
      <c r="KJ211" s="575"/>
      <c r="KK211" s="575"/>
      <c r="KL211" s="575"/>
      <c r="KM211" s="575"/>
      <c r="KN211" s="575"/>
      <c r="KO211" s="575"/>
      <c r="KP211" s="575"/>
      <c r="KQ211" s="575"/>
      <c r="KR211" s="575"/>
      <c r="KS211" s="575"/>
      <c r="KT211" s="575"/>
      <c r="KU211" s="575"/>
      <c r="KV211" s="575"/>
      <c r="KW211" s="575"/>
      <c r="KX211" s="575"/>
      <c r="KY211" s="575"/>
      <c r="KZ211" s="575"/>
      <c r="LA211" s="575"/>
      <c r="LB211" s="575"/>
      <c r="LC211" s="575"/>
      <c r="LD211" s="575"/>
      <c r="LE211" s="575"/>
      <c r="LF211" s="575"/>
      <c r="LG211" s="575"/>
      <c r="LH211" s="575"/>
      <c r="LI211" s="575"/>
      <c r="LJ211" s="575"/>
      <c r="LK211" s="575"/>
      <c r="LL211" s="575"/>
      <c r="LM211" s="575"/>
      <c r="LN211" s="575"/>
      <c r="LO211" s="575"/>
      <c r="LP211" s="575"/>
      <c r="LQ211" s="575"/>
      <c r="LR211" s="575"/>
      <c r="LS211" s="575"/>
      <c r="LT211" s="575"/>
      <c r="LU211" s="575"/>
      <c r="LV211" s="575"/>
      <c r="LW211" s="575"/>
      <c r="LX211" s="575"/>
      <c r="LY211" s="575"/>
      <c r="LZ211" s="575"/>
      <c r="MA211" s="575"/>
      <c r="MB211" s="575"/>
      <c r="MC211" s="575"/>
      <c r="MD211" s="575"/>
      <c r="ME211" s="575"/>
      <c r="MF211" s="575"/>
      <c r="MG211" s="575"/>
      <c r="MH211" s="575"/>
      <c r="MI211" s="575"/>
      <c r="MJ211" s="575"/>
      <c r="MK211" s="575"/>
      <c r="ML211" s="575"/>
      <c r="MM211" s="575"/>
      <c r="MN211" s="575"/>
      <c r="MO211" s="575"/>
      <c r="MP211" s="575"/>
      <c r="MQ211" s="575"/>
      <c r="MR211" s="575"/>
      <c r="MS211" s="575"/>
      <c r="MT211" s="575"/>
      <c r="MU211" s="575"/>
      <c r="MV211" s="575"/>
      <c r="MW211" s="575"/>
      <c r="MX211" s="575"/>
      <c r="MY211" s="575"/>
      <c r="MZ211" s="575"/>
      <c r="NA211" s="575"/>
      <c r="NB211" s="575"/>
      <c r="NC211" s="575"/>
      <c r="ND211" s="575"/>
      <c r="NE211" s="575"/>
      <c r="NF211" s="575"/>
      <c r="NG211" s="575"/>
      <c r="NH211" s="575"/>
      <c r="NI211" s="575"/>
      <c r="NJ211" s="575"/>
      <c r="NK211" s="575"/>
      <c r="NL211" s="575"/>
      <c r="NM211" s="575"/>
      <c r="NN211" s="575"/>
      <c r="NO211" s="575"/>
      <c r="NP211" s="575"/>
      <c r="NQ211" s="575"/>
      <c r="NR211" s="575"/>
      <c r="NS211" s="575"/>
      <c r="NT211" s="575"/>
      <c r="NU211" s="575"/>
      <c r="NV211" s="575"/>
      <c r="NW211" s="575"/>
      <c r="NX211" s="575"/>
      <c r="NY211" s="575"/>
      <c r="NZ211" s="575"/>
      <c r="OA211" s="575"/>
      <c r="OB211" s="575"/>
      <c r="OC211" s="575"/>
      <c r="OD211" s="575"/>
      <c r="OE211" s="575"/>
      <c r="OF211" s="575"/>
      <c r="OG211" s="575"/>
      <c r="OH211" s="575"/>
      <c r="OI211" s="575"/>
      <c r="OJ211" s="575"/>
      <c r="OK211" s="575"/>
      <c r="OL211" s="575"/>
      <c r="OM211" s="575"/>
      <c r="ON211" s="575"/>
      <c r="OO211" s="575"/>
      <c r="OP211" s="575"/>
      <c r="OQ211" s="575"/>
      <c r="OR211" s="575"/>
      <c r="OS211" s="575"/>
      <c r="OT211" s="575"/>
      <c r="OU211" s="575"/>
      <c r="OV211" s="575"/>
      <c r="OW211" s="575"/>
      <c r="OX211" s="575"/>
      <c r="OY211" s="575"/>
      <c r="OZ211" s="575"/>
      <c r="PA211" s="575"/>
      <c r="PB211" s="575"/>
      <c r="PC211" s="575"/>
      <c r="PD211" s="575"/>
      <c r="PE211" s="575"/>
      <c r="PF211" s="575"/>
      <c r="PG211" s="575"/>
      <c r="PH211" s="575"/>
      <c r="PI211" s="575"/>
      <c r="PJ211" s="575"/>
      <c r="PK211" s="575"/>
      <c r="PL211" s="575"/>
      <c r="PM211" s="575"/>
      <c r="PN211" s="575"/>
      <c r="PO211" s="575"/>
      <c r="PP211" s="575"/>
      <c r="PQ211" s="575"/>
      <c r="PR211" s="575"/>
      <c r="PS211" s="575"/>
      <c r="PT211" s="575"/>
      <c r="PU211" s="575"/>
      <c r="PV211" s="575"/>
      <c r="PW211" s="575"/>
      <c r="PX211" s="575"/>
      <c r="PY211" s="575"/>
      <c r="PZ211" s="575"/>
      <c r="QA211" s="575"/>
      <c r="QB211" s="575"/>
      <c r="QC211" s="575"/>
      <c r="QD211" s="575"/>
      <c r="QE211" s="575"/>
      <c r="QF211" s="575"/>
      <c r="QG211" s="575"/>
      <c r="QH211" s="575"/>
      <c r="QI211" s="575"/>
      <c r="QJ211" s="575"/>
      <c r="QK211" s="575"/>
      <c r="QL211" s="575"/>
      <c r="QM211" s="575"/>
      <c r="QN211" s="575"/>
      <c r="QO211" s="575"/>
      <c r="QP211" s="575"/>
      <c r="QQ211" s="575"/>
      <c r="QR211" s="575"/>
      <c r="QS211" s="575"/>
      <c r="QT211" s="575"/>
      <c r="QU211" s="575"/>
      <c r="QV211" s="575"/>
      <c r="QW211" s="575"/>
      <c r="QX211" s="575"/>
      <c r="QY211" s="575"/>
      <c r="QZ211" s="575"/>
      <c r="RA211" s="575"/>
      <c r="RB211" s="575"/>
      <c r="RC211" s="575"/>
      <c r="RD211" s="575"/>
      <c r="RE211" s="575"/>
      <c r="RF211" s="575"/>
      <c r="RG211" s="575"/>
      <c r="RH211" s="575"/>
      <c r="RI211" s="575"/>
      <c r="RJ211" s="575"/>
      <c r="RK211" s="575"/>
      <c r="RL211" s="575"/>
      <c r="RM211" s="575"/>
      <c r="RN211" s="575"/>
      <c r="RO211" s="575"/>
      <c r="RP211" s="575"/>
      <c r="RQ211" s="575"/>
      <c r="RR211" s="575"/>
      <c r="RS211" s="575"/>
      <c r="RT211" s="575"/>
      <c r="RU211" s="575"/>
      <c r="RV211" s="575"/>
      <c r="RW211" s="575"/>
      <c r="RX211" s="575"/>
      <c r="RY211" s="575"/>
      <c r="RZ211" s="575"/>
      <c r="SA211" s="575"/>
      <c r="SB211" s="575"/>
      <c r="SC211" s="575"/>
      <c r="SD211" s="575"/>
      <c r="SE211" s="575"/>
      <c r="SF211" s="575"/>
      <c r="SG211" s="575"/>
      <c r="SH211" s="575"/>
      <c r="SI211" s="575"/>
      <c r="SJ211" s="575"/>
      <c r="SK211" s="575"/>
      <c r="SL211" s="575"/>
      <c r="SM211" s="575"/>
      <c r="SN211" s="575"/>
      <c r="SO211" s="575"/>
      <c r="SP211" s="575"/>
      <c r="SQ211" s="575"/>
      <c r="SR211" s="575"/>
      <c r="SS211" s="575"/>
      <c r="ST211" s="575"/>
      <c r="SU211" s="575"/>
      <c r="SV211" s="575"/>
      <c r="SW211" s="575"/>
      <c r="SX211" s="575"/>
      <c r="SY211" s="575"/>
      <c r="SZ211" s="575"/>
      <c r="TA211" s="575"/>
      <c r="TB211" s="575"/>
      <c r="TC211" s="575"/>
      <c r="TD211" s="575"/>
      <c r="TE211" s="575"/>
      <c r="TF211" s="575"/>
      <c r="TG211" s="575"/>
      <c r="TH211" s="575"/>
      <c r="TI211" s="575"/>
      <c r="TJ211" s="575"/>
      <c r="TK211" s="575"/>
      <c r="TL211" s="575"/>
      <c r="TM211" s="575"/>
      <c r="TN211" s="575"/>
      <c r="TO211" s="575"/>
      <c r="TP211" s="575"/>
      <c r="TQ211" s="575"/>
      <c r="TR211" s="575"/>
      <c r="TS211" s="575"/>
      <c r="TT211" s="575"/>
      <c r="TU211" s="575"/>
      <c r="TV211" s="575"/>
      <c r="TW211" s="575"/>
      <c r="TX211" s="575"/>
      <c r="TY211" s="575"/>
      <c r="TZ211" s="575"/>
      <c r="UA211" s="575"/>
      <c r="UB211" s="575"/>
      <c r="UC211" s="575"/>
      <c r="UD211" s="575"/>
      <c r="UE211" s="575"/>
      <c r="UF211" s="575"/>
      <c r="UG211" s="575"/>
      <c r="UH211" s="575"/>
      <c r="UI211" s="575"/>
      <c r="UJ211" s="575"/>
      <c r="UK211" s="575"/>
      <c r="UL211" s="575"/>
      <c r="UM211" s="575"/>
      <c r="UN211" s="575"/>
      <c r="UO211" s="575"/>
      <c r="UP211" s="575"/>
      <c r="UQ211" s="575"/>
      <c r="UR211" s="575"/>
      <c r="US211" s="575"/>
      <c r="UT211" s="575"/>
      <c r="UU211" s="575"/>
      <c r="UV211" s="575"/>
      <c r="UW211" s="575"/>
      <c r="UX211" s="575"/>
      <c r="UY211" s="575"/>
      <c r="UZ211" s="575"/>
      <c r="VA211" s="575"/>
      <c r="VB211" s="575"/>
      <c r="VC211" s="575"/>
      <c r="VD211" s="575"/>
      <c r="VE211" s="575"/>
      <c r="VF211" s="575"/>
      <c r="VG211" s="575"/>
      <c r="VH211" s="575"/>
      <c r="VI211" s="575"/>
      <c r="VJ211" s="575"/>
      <c r="VK211" s="575"/>
      <c r="VL211" s="575"/>
      <c r="VM211" s="575"/>
      <c r="VN211" s="575"/>
      <c r="VO211" s="575"/>
      <c r="VP211" s="575"/>
      <c r="VQ211" s="575"/>
      <c r="VR211" s="575"/>
      <c r="VS211" s="575"/>
      <c r="VT211" s="575"/>
      <c r="VU211" s="575"/>
      <c r="VV211" s="575"/>
      <c r="VW211" s="575"/>
      <c r="VX211" s="575"/>
      <c r="VY211" s="575"/>
      <c r="VZ211" s="575"/>
      <c r="WA211" s="575"/>
      <c r="WB211" s="575"/>
      <c r="WC211" s="575"/>
      <c r="WD211" s="575"/>
      <c r="WE211" s="575"/>
      <c r="WF211" s="575"/>
      <c r="WG211" s="575"/>
      <c r="WH211" s="575"/>
      <c r="WI211" s="575"/>
      <c r="WJ211" s="575"/>
      <c r="WK211" s="575"/>
      <c r="WL211" s="575"/>
      <c r="WM211" s="575"/>
      <c r="WN211" s="575"/>
      <c r="WO211" s="575"/>
      <c r="WP211" s="575"/>
      <c r="WQ211" s="575"/>
      <c r="WR211" s="575"/>
      <c r="WS211" s="575"/>
      <c r="WT211" s="575"/>
      <c r="WU211" s="575"/>
      <c r="WV211" s="575"/>
      <c r="WW211" s="575"/>
      <c r="WX211" s="575"/>
      <c r="WY211" s="575"/>
      <c r="WZ211" s="575"/>
      <c r="XA211" s="575"/>
      <c r="XB211" s="575"/>
      <c r="XC211" s="575"/>
      <c r="XD211" s="575"/>
      <c r="XE211" s="575"/>
      <c r="XF211" s="575"/>
      <c r="XG211" s="575"/>
      <c r="XH211" s="575"/>
      <c r="XI211" s="575"/>
      <c r="XJ211" s="575"/>
      <c r="XK211" s="575"/>
      <c r="XL211" s="575"/>
      <c r="XM211" s="575"/>
      <c r="XN211" s="575"/>
      <c r="XO211" s="575"/>
      <c r="XP211" s="575"/>
      <c r="XQ211" s="575"/>
      <c r="XR211" s="575"/>
      <c r="XS211" s="575"/>
      <c r="XT211" s="575"/>
      <c r="XU211" s="575"/>
      <c r="XV211" s="575"/>
      <c r="XW211" s="575"/>
      <c r="XX211" s="575"/>
      <c r="XY211" s="575"/>
      <c r="XZ211" s="575"/>
      <c r="YA211" s="575"/>
      <c r="YB211" s="575"/>
      <c r="YC211" s="575"/>
      <c r="YD211" s="575"/>
      <c r="YE211" s="575"/>
      <c r="YF211" s="575"/>
      <c r="YG211" s="575"/>
      <c r="YH211" s="575"/>
      <c r="YI211" s="575"/>
      <c r="YJ211" s="575"/>
      <c r="YK211" s="575"/>
      <c r="YL211" s="575"/>
      <c r="YM211" s="575"/>
      <c r="YN211" s="575"/>
      <c r="YO211" s="575"/>
      <c r="YP211" s="575"/>
      <c r="YQ211" s="575"/>
      <c r="YR211" s="575"/>
      <c r="YS211" s="575"/>
      <c r="YT211" s="575"/>
      <c r="YU211" s="575"/>
      <c r="YV211" s="575"/>
      <c r="YW211" s="575"/>
      <c r="YX211" s="575"/>
      <c r="YY211" s="575"/>
      <c r="YZ211" s="575"/>
      <c r="ZA211" s="575"/>
      <c r="ZB211" s="575"/>
      <c r="ZC211" s="575"/>
      <c r="ZD211" s="575"/>
      <c r="ZE211" s="575"/>
      <c r="ZF211" s="575"/>
      <c r="ZG211" s="575"/>
      <c r="ZH211" s="575"/>
      <c r="ZI211" s="575"/>
      <c r="ZJ211" s="575"/>
      <c r="ZK211" s="575"/>
      <c r="ZL211" s="575"/>
      <c r="ZM211" s="575"/>
      <c r="ZN211" s="575"/>
      <c r="ZO211" s="575"/>
      <c r="ZP211" s="575"/>
      <c r="ZQ211" s="575"/>
      <c r="ZR211" s="575"/>
      <c r="ZS211" s="575"/>
      <c r="ZT211" s="575"/>
      <c r="ZU211" s="575"/>
      <c r="ZV211" s="575"/>
      <c r="ZW211" s="575"/>
      <c r="ZX211" s="575"/>
      <c r="ZY211" s="575"/>
      <c r="ZZ211" s="575"/>
      <c r="AAA211" s="575"/>
      <c r="AAB211" s="575"/>
      <c r="AAC211" s="575"/>
      <c r="AAD211" s="575"/>
      <c r="AAE211" s="575"/>
      <c r="AAF211" s="575"/>
      <c r="AAG211" s="575"/>
      <c r="AAH211" s="575"/>
      <c r="AAI211" s="575"/>
      <c r="AAJ211" s="575"/>
      <c r="AAK211" s="575"/>
      <c r="AAL211" s="575"/>
      <c r="AAM211" s="575"/>
      <c r="AAN211" s="575"/>
      <c r="AAO211" s="575"/>
      <c r="AAP211" s="575"/>
      <c r="AAQ211" s="575"/>
      <c r="AAR211" s="575"/>
      <c r="AAS211" s="575"/>
      <c r="AAT211" s="575"/>
      <c r="AAU211" s="575"/>
      <c r="AAV211" s="575"/>
      <c r="AAW211" s="575"/>
      <c r="AAX211" s="575"/>
      <c r="AAY211" s="575"/>
      <c r="AAZ211" s="575"/>
      <c r="ABA211" s="575"/>
      <c r="ABB211" s="575"/>
      <c r="ABC211" s="575"/>
      <c r="ABD211" s="575"/>
      <c r="ABE211" s="575"/>
      <c r="ABF211" s="575"/>
      <c r="ABG211" s="575"/>
      <c r="ABH211" s="575"/>
      <c r="ABI211" s="575"/>
      <c r="ABJ211" s="575"/>
      <c r="ABK211" s="575"/>
      <c r="ABL211" s="575"/>
      <c r="ABM211" s="575"/>
      <c r="ABN211" s="575"/>
      <c r="ABO211" s="575"/>
      <c r="ABP211" s="575"/>
      <c r="ABQ211" s="575"/>
      <c r="ABR211" s="575"/>
      <c r="ABS211" s="575"/>
      <c r="ABT211" s="575"/>
      <c r="ABU211" s="575"/>
      <c r="ABV211" s="575"/>
      <c r="ABW211" s="575"/>
      <c r="ABX211" s="575"/>
      <c r="ABY211" s="575"/>
      <c r="ABZ211" s="575"/>
      <c r="ACA211" s="575"/>
      <c r="ACB211" s="575"/>
      <c r="ACC211" s="575"/>
      <c r="ACD211" s="575"/>
      <c r="ACE211" s="575"/>
      <c r="ACF211" s="575"/>
      <c r="ACG211" s="575"/>
      <c r="ACH211" s="575"/>
      <c r="ACI211" s="575"/>
      <c r="ACJ211" s="575"/>
      <c r="ACK211" s="575"/>
      <c r="ACL211" s="575"/>
      <c r="ACM211" s="575"/>
      <c r="ACN211" s="575"/>
      <c r="ACO211" s="575"/>
      <c r="ACP211" s="575"/>
      <c r="ACQ211" s="575"/>
      <c r="ACR211" s="575"/>
      <c r="ACS211" s="575"/>
      <c r="ACT211" s="575"/>
      <c r="ACU211" s="575"/>
      <c r="ACV211" s="575"/>
      <c r="ACW211" s="575"/>
      <c r="ACX211" s="575"/>
      <c r="ACY211" s="575"/>
      <c r="ACZ211" s="575"/>
      <c r="ADA211" s="575"/>
      <c r="ADB211" s="575"/>
      <c r="ADC211" s="575"/>
      <c r="ADD211" s="575"/>
      <c r="ADE211" s="575"/>
      <c r="ADF211" s="575"/>
      <c r="ADG211" s="575"/>
      <c r="ADH211" s="575"/>
      <c r="ADI211" s="575"/>
      <c r="ADJ211" s="575"/>
      <c r="ADK211" s="575"/>
      <c r="ADL211" s="575"/>
      <c r="ADM211" s="575"/>
      <c r="ADN211" s="575"/>
      <c r="ADO211" s="575"/>
      <c r="ADP211" s="575"/>
      <c r="ADQ211" s="575"/>
      <c r="ADR211" s="575"/>
      <c r="ADS211" s="575"/>
      <c r="ADT211" s="575"/>
      <c r="ADU211" s="575"/>
      <c r="ADV211" s="575"/>
      <c r="ADW211" s="575"/>
      <c r="ADX211" s="575"/>
      <c r="ADY211" s="575"/>
      <c r="ADZ211" s="575"/>
      <c r="AEA211" s="575"/>
      <c r="AEB211" s="575"/>
      <c r="AEC211" s="575"/>
      <c r="AED211" s="575"/>
      <c r="AEE211" s="575"/>
      <c r="AEF211" s="575"/>
      <c r="AEG211" s="575"/>
      <c r="AEH211" s="575"/>
      <c r="AEI211" s="575"/>
      <c r="AEJ211" s="575"/>
      <c r="AEK211" s="575"/>
      <c r="AEL211" s="575"/>
      <c r="AEM211" s="575"/>
      <c r="AEN211" s="575"/>
      <c r="AEO211" s="575"/>
      <c r="AEP211" s="575"/>
      <c r="AEQ211" s="575"/>
      <c r="AER211" s="575"/>
      <c r="AES211" s="575"/>
      <c r="AET211" s="575"/>
      <c r="AEU211" s="575"/>
      <c r="AEV211" s="575"/>
      <c r="AEW211" s="575"/>
      <c r="AEX211" s="575"/>
      <c r="AEY211" s="575"/>
      <c r="AEZ211" s="575"/>
      <c r="AFA211" s="575"/>
      <c r="AFB211" s="575"/>
      <c r="AFC211" s="575"/>
      <c r="AFD211" s="575"/>
      <c r="AFE211" s="575"/>
      <c r="AFF211" s="575"/>
      <c r="AFG211" s="575"/>
      <c r="AFH211" s="575"/>
      <c r="AFI211" s="575"/>
      <c r="AFJ211" s="575"/>
      <c r="AFK211" s="575"/>
      <c r="AFL211" s="575"/>
      <c r="AFM211" s="575"/>
      <c r="AFN211" s="575"/>
      <c r="AFO211" s="575"/>
      <c r="AFP211" s="575"/>
      <c r="AFQ211" s="575"/>
      <c r="AFR211" s="575"/>
      <c r="AFS211" s="575"/>
      <c r="AFT211" s="575"/>
      <c r="AFU211" s="575"/>
      <c r="AFV211" s="575"/>
      <c r="AFW211" s="575"/>
      <c r="AFX211" s="575"/>
      <c r="AFY211" s="575"/>
      <c r="AFZ211" s="575"/>
      <c r="AGA211" s="575"/>
      <c r="AGB211" s="575"/>
      <c r="AGC211" s="575"/>
      <c r="AGD211" s="575"/>
      <c r="AGE211" s="575"/>
      <c r="AGF211" s="575"/>
      <c r="AGG211" s="575"/>
      <c r="AGH211" s="575"/>
      <c r="AGI211" s="575"/>
      <c r="AGJ211" s="575"/>
      <c r="AGK211" s="575"/>
      <c r="AGL211" s="575"/>
      <c r="AGM211" s="575"/>
      <c r="AGN211" s="575"/>
      <c r="AGO211" s="575"/>
      <c r="AGP211" s="575"/>
      <c r="AGQ211" s="575"/>
      <c r="AGR211" s="575"/>
      <c r="AGS211" s="575"/>
      <c r="AGT211" s="575"/>
      <c r="AGU211" s="575"/>
      <c r="AGV211" s="575"/>
      <c r="AGW211" s="575"/>
      <c r="AGX211" s="575"/>
      <c r="AGY211" s="575"/>
      <c r="AGZ211" s="575"/>
      <c r="AHA211" s="575"/>
      <c r="AHB211" s="575"/>
      <c r="AHC211" s="575"/>
      <c r="AHD211" s="575"/>
      <c r="AHE211" s="575"/>
      <c r="AHF211" s="575"/>
      <c r="AHG211" s="575"/>
      <c r="AHH211" s="575"/>
      <c r="AHI211" s="575"/>
      <c r="AHJ211" s="575"/>
      <c r="AHK211" s="575"/>
      <c r="AHL211" s="575"/>
      <c r="AHM211" s="575"/>
      <c r="AHN211" s="575"/>
      <c r="AHO211" s="575"/>
      <c r="AHP211" s="575"/>
      <c r="AHQ211" s="575"/>
      <c r="AHR211" s="575"/>
      <c r="AHS211" s="575"/>
      <c r="AHT211" s="575"/>
      <c r="AHU211" s="575"/>
      <c r="AHV211" s="575"/>
      <c r="AHW211" s="575"/>
      <c r="AHX211" s="575"/>
      <c r="AHY211" s="575"/>
      <c r="AHZ211" s="575"/>
      <c r="AIA211" s="575"/>
      <c r="AIB211" s="575"/>
      <c r="AIC211" s="575"/>
      <c r="AID211" s="575"/>
      <c r="AIE211" s="575"/>
      <c r="AIF211" s="575"/>
      <c r="AIG211" s="575"/>
      <c r="AIH211" s="575"/>
      <c r="AII211" s="575"/>
      <c r="AIJ211" s="575"/>
      <c r="AIK211" s="575"/>
      <c r="AIL211" s="575"/>
      <c r="AIM211" s="575"/>
      <c r="AIN211" s="575"/>
      <c r="AIO211" s="575"/>
      <c r="AIP211" s="575"/>
      <c r="AIQ211" s="575"/>
      <c r="AIR211" s="575"/>
      <c r="AIS211" s="575"/>
      <c r="AIT211" s="575"/>
      <c r="AIU211" s="575"/>
      <c r="AIV211" s="575"/>
      <c r="AIW211" s="575"/>
      <c r="AIX211" s="575"/>
      <c r="AIY211" s="575"/>
      <c r="AIZ211" s="575"/>
      <c r="AJA211" s="575"/>
      <c r="AJB211" s="575"/>
      <c r="AJC211" s="575"/>
      <c r="AJD211" s="575"/>
      <c r="AJE211" s="575"/>
      <c r="AJF211" s="575"/>
      <c r="AJG211" s="575"/>
      <c r="AJH211" s="575"/>
      <c r="AJI211" s="575"/>
      <c r="AJJ211" s="575"/>
      <c r="AJK211" s="575"/>
      <c r="AJL211" s="575"/>
      <c r="AJM211" s="575"/>
      <c r="AJN211" s="575"/>
      <c r="AJO211" s="575"/>
      <c r="AJP211" s="575"/>
      <c r="AJQ211" s="575"/>
      <c r="AJR211" s="575"/>
      <c r="AJS211" s="575"/>
      <c r="AJT211" s="575"/>
      <c r="AJU211" s="575"/>
      <c r="AJV211" s="575"/>
      <c r="AJW211" s="575"/>
      <c r="AJX211" s="575"/>
      <c r="AJY211" s="575"/>
      <c r="AJZ211" s="575"/>
      <c r="AKA211" s="575"/>
      <c r="AKB211" s="575"/>
      <c r="AKC211" s="575"/>
      <c r="AKD211" s="575"/>
      <c r="AKE211" s="575"/>
      <c r="AKF211" s="575"/>
      <c r="AKG211" s="575"/>
      <c r="AKH211" s="575"/>
      <c r="AKI211" s="575"/>
      <c r="AKJ211" s="575"/>
      <c r="AKK211" s="575"/>
      <c r="AKL211" s="575"/>
      <c r="AKM211" s="575"/>
      <c r="AKN211" s="575"/>
      <c r="AKO211" s="575"/>
      <c r="AKP211" s="575"/>
      <c r="AKQ211" s="575"/>
      <c r="AKR211" s="575"/>
      <c r="AKS211" s="575"/>
      <c r="AKT211" s="575"/>
      <c r="AKU211" s="575"/>
      <c r="AKV211" s="575"/>
      <c r="AKW211" s="575"/>
      <c r="AKX211" s="575"/>
      <c r="AKY211" s="575"/>
      <c r="AKZ211" s="575"/>
      <c r="ALA211" s="575"/>
      <c r="ALB211" s="575"/>
      <c r="ALC211" s="575"/>
      <c r="ALD211" s="575"/>
      <c r="ALE211" s="575"/>
      <c r="ALF211" s="575"/>
      <c r="ALG211" s="575"/>
      <c r="ALH211" s="575"/>
      <c r="ALI211" s="575"/>
      <c r="ALJ211" s="575"/>
      <c r="ALK211" s="575"/>
      <c r="ALL211" s="575"/>
      <c r="ALM211" s="575"/>
      <c r="ALN211" s="575"/>
      <c r="ALO211" s="575"/>
      <c r="ALP211" s="575"/>
      <c r="ALQ211" s="575"/>
      <c r="ALR211" s="575"/>
      <c r="ALS211" s="575"/>
      <c r="ALT211" s="575"/>
      <c r="ALU211" s="575"/>
      <c r="ALV211" s="575"/>
      <c r="ALW211" s="575"/>
      <c r="ALX211" s="575"/>
      <c r="ALY211" s="575"/>
      <c r="ALZ211" s="575"/>
      <c r="AMA211" s="575"/>
      <c r="AMB211" s="575"/>
      <c r="AMC211" s="575"/>
      <c r="AMD211" s="575"/>
      <c r="AME211" s="575"/>
      <c r="AMF211" s="575"/>
      <c r="AMG211" s="575"/>
      <c r="AMH211" s="575"/>
      <c r="AMI211" s="575"/>
      <c r="AMJ211" s="575"/>
      <c r="AMK211" s="575"/>
      <c r="AML211" s="575"/>
      <c r="AMM211" s="575"/>
      <c r="AMN211" s="575"/>
      <c r="AMO211" s="575"/>
      <c r="AMP211" s="575"/>
      <c r="AMQ211" s="575"/>
      <c r="AMR211" s="575"/>
      <c r="AMS211" s="575"/>
      <c r="AMT211" s="575"/>
      <c r="AMU211" s="575"/>
      <c r="AMV211" s="575"/>
      <c r="AMW211" s="575"/>
      <c r="AMX211" s="575"/>
      <c r="AMY211" s="575"/>
      <c r="AMZ211" s="575"/>
      <c r="ANA211" s="575"/>
      <c r="ANB211" s="575"/>
      <c r="ANC211" s="575"/>
      <c r="AND211" s="575"/>
      <c r="ANE211" s="575"/>
      <c r="ANF211" s="575"/>
      <c r="ANG211" s="575"/>
      <c r="ANH211" s="575"/>
      <c r="ANI211" s="575"/>
      <c r="ANJ211" s="575"/>
      <c r="ANK211" s="575"/>
      <c r="ANL211" s="575"/>
      <c r="ANM211" s="575"/>
      <c r="ANN211" s="575"/>
      <c r="ANO211" s="575"/>
      <c r="ANP211" s="575"/>
      <c r="ANQ211" s="575"/>
      <c r="ANR211" s="575"/>
      <c r="ANS211" s="575"/>
      <c r="ANT211" s="575"/>
      <c r="ANU211" s="575"/>
      <c r="ANV211" s="575"/>
      <c r="ANW211" s="575"/>
      <c r="ANX211" s="575"/>
      <c r="ANY211" s="575"/>
      <c r="ANZ211" s="575"/>
      <c r="AOA211" s="575"/>
      <c r="AOB211" s="575"/>
      <c r="AOC211" s="575"/>
      <c r="AOD211" s="575"/>
      <c r="AOE211" s="575"/>
      <c r="AOF211" s="575"/>
      <c r="AOG211" s="575"/>
      <c r="AOH211" s="575"/>
      <c r="AOI211" s="575"/>
      <c r="AOJ211" s="575"/>
      <c r="AOK211" s="575"/>
      <c r="AOL211" s="575"/>
      <c r="AOM211" s="575"/>
      <c r="AON211" s="575"/>
      <c r="AOO211" s="575"/>
      <c r="AOP211" s="575"/>
      <c r="AOQ211" s="575"/>
      <c r="AOR211" s="575"/>
      <c r="AOS211" s="575"/>
      <c r="AOT211" s="575"/>
      <c r="AOU211" s="575"/>
      <c r="AOV211" s="575"/>
      <c r="AOW211" s="575"/>
      <c r="AOX211" s="575"/>
      <c r="AOY211" s="575"/>
      <c r="AOZ211" s="575"/>
      <c r="APA211" s="575"/>
      <c r="APB211" s="575"/>
      <c r="APC211" s="575"/>
      <c r="APD211" s="575"/>
      <c r="APE211" s="575"/>
      <c r="APF211" s="575"/>
      <c r="APG211" s="575"/>
      <c r="APH211" s="575"/>
      <c r="API211" s="575"/>
      <c r="APJ211" s="575"/>
      <c r="APK211" s="575"/>
      <c r="APL211" s="575"/>
      <c r="APM211" s="575"/>
      <c r="APN211" s="575"/>
      <c r="APO211" s="575"/>
      <c r="APP211" s="575"/>
      <c r="APQ211" s="575"/>
      <c r="APR211" s="575"/>
      <c r="APS211" s="575"/>
      <c r="APT211" s="575"/>
      <c r="APU211" s="575"/>
      <c r="APV211" s="575"/>
      <c r="APW211" s="575"/>
      <c r="APX211" s="575"/>
      <c r="APY211" s="575"/>
      <c r="APZ211" s="575"/>
      <c r="AQA211" s="575"/>
      <c r="AQB211" s="575"/>
      <c r="AQC211" s="575"/>
      <c r="AQD211" s="575"/>
      <c r="AQE211" s="575"/>
      <c r="AQF211" s="575"/>
      <c r="AQG211" s="575"/>
      <c r="AQH211" s="575"/>
      <c r="AQI211" s="575"/>
      <c r="AQJ211" s="575"/>
      <c r="AQK211" s="575"/>
      <c r="AQL211" s="575"/>
      <c r="AQM211" s="575"/>
      <c r="AQN211" s="575"/>
      <c r="AQO211" s="575"/>
      <c r="AQP211" s="575"/>
      <c r="AQQ211" s="575"/>
      <c r="AQR211" s="575"/>
      <c r="AQS211" s="575"/>
      <c r="AQT211" s="575"/>
      <c r="AQU211" s="575"/>
      <c r="AQV211" s="575"/>
      <c r="AQW211" s="575"/>
      <c r="AQX211" s="575"/>
      <c r="AQY211" s="575"/>
      <c r="AQZ211" s="575"/>
      <c r="ARA211" s="575"/>
      <c r="ARB211" s="575"/>
      <c r="ARC211" s="575"/>
      <c r="ARD211" s="575"/>
      <c r="ARE211" s="575"/>
      <c r="ARF211" s="575"/>
      <c r="ARG211" s="575"/>
      <c r="ARH211" s="575"/>
      <c r="ARI211" s="575"/>
      <c r="ARJ211" s="575"/>
      <c r="ARK211" s="575"/>
      <c r="ARL211" s="575"/>
      <c r="ARM211" s="575"/>
      <c r="ARN211" s="575"/>
      <c r="ARO211" s="575"/>
      <c r="ARP211" s="575"/>
      <c r="ARQ211" s="575"/>
      <c r="ARR211" s="575"/>
      <c r="ARS211" s="575"/>
      <c r="ART211" s="575"/>
      <c r="ARU211" s="575"/>
      <c r="ARV211" s="575"/>
      <c r="ARW211" s="575"/>
      <c r="ARX211" s="575"/>
      <c r="ARY211" s="575"/>
      <c r="ARZ211" s="575"/>
      <c r="ASA211" s="575"/>
      <c r="ASB211" s="575"/>
      <c r="ASC211" s="575"/>
      <c r="ASD211" s="575"/>
      <c r="ASE211" s="575"/>
      <c r="ASF211" s="575"/>
      <c r="ASG211" s="575"/>
      <c r="ASH211" s="575"/>
      <c r="ASI211" s="575"/>
      <c r="ASJ211" s="575"/>
      <c r="ASK211" s="575"/>
      <c r="ASL211" s="575"/>
      <c r="ASM211" s="575"/>
      <c r="ASN211" s="575"/>
      <c r="ASO211" s="575"/>
      <c r="ASP211" s="575"/>
      <c r="ASQ211" s="575"/>
      <c r="ASR211" s="575"/>
      <c r="ASS211" s="575"/>
      <c r="AST211" s="575"/>
      <c r="ASU211" s="575"/>
      <c r="ASV211" s="575"/>
      <c r="ASW211" s="575"/>
      <c r="ASX211" s="575"/>
      <c r="ASY211" s="575"/>
      <c r="ASZ211" s="575"/>
      <c r="ATA211" s="575"/>
      <c r="ATB211" s="575"/>
      <c r="ATC211" s="575"/>
      <c r="ATD211" s="575"/>
      <c r="ATE211" s="575"/>
      <c r="ATF211" s="575"/>
      <c r="ATG211" s="575"/>
      <c r="ATH211" s="575"/>
      <c r="ATI211" s="575"/>
      <c r="ATJ211" s="575"/>
      <c r="ATK211" s="575"/>
      <c r="ATL211" s="575"/>
      <c r="ATM211" s="575"/>
      <c r="ATN211" s="575"/>
      <c r="ATO211" s="575"/>
      <c r="ATP211" s="575"/>
      <c r="ATQ211" s="575"/>
      <c r="ATR211" s="575"/>
      <c r="ATS211" s="575"/>
      <c r="ATT211" s="575"/>
      <c r="ATU211" s="575"/>
      <c r="ATV211" s="575"/>
      <c r="ATW211" s="575"/>
      <c r="ATX211" s="575"/>
      <c r="ATY211" s="575"/>
      <c r="ATZ211" s="575"/>
      <c r="AUA211" s="575"/>
      <c r="AUB211" s="575"/>
      <c r="AUC211" s="575"/>
      <c r="AUD211" s="575"/>
      <c r="AUE211" s="575"/>
      <c r="AUF211" s="575"/>
      <c r="AUG211" s="575"/>
      <c r="AUH211" s="575"/>
      <c r="AUI211" s="575"/>
      <c r="AUJ211" s="575"/>
      <c r="AUK211" s="575"/>
      <c r="AUL211" s="575"/>
      <c r="AUM211" s="575"/>
      <c r="AUN211" s="575"/>
      <c r="AUO211" s="575"/>
      <c r="AUP211" s="575"/>
      <c r="AUQ211" s="575"/>
      <c r="AUR211" s="575"/>
      <c r="AUS211" s="575"/>
      <c r="AUT211" s="575"/>
      <c r="AUU211" s="575"/>
      <c r="AUV211" s="575"/>
      <c r="AUW211" s="575"/>
      <c r="AUX211" s="575"/>
      <c r="AUY211" s="575"/>
      <c r="AUZ211" s="575"/>
      <c r="AVA211" s="575"/>
      <c r="AVB211" s="575"/>
      <c r="AVC211" s="575"/>
      <c r="AVD211" s="575"/>
      <c r="AVE211" s="575"/>
      <c r="AVF211" s="575"/>
      <c r="AVG211" s="575"/>
      <c r="AVH211" s="575"/>
      <c r="AVI211" s="575"/>
      <c r="AVJ211" s="575"/>
      <c r="AVK211" s="575"/>
      <c r="AVL211" s="575"/>
      <c r="AVM211" s="575"/>
      <c r="AVN211" s="575"/>
      <c r="AVO211" s="575"/>
      <c r="AVP211" s="575"/>
      <c r="AVQ211" s="575"/>
      <c r="AVR211" s="575"/>
      <c r="AVS211" s="575"/>
      <c r="AVT211" s="575"/>
      <c r="AVU211" s="575"/>
      <c r="AVV211" s="575"/>
      <c r="AVW211" s="575"/>
      <c r="AVX211" s="575"/>
      <c r="AVY211" s="575"/>
      <c r="AVZ211" s="575"/>
      <c r="AWA211" s="575"/>
      <c r="AWB211" s="575"/>
      <c r="AWC211" s="575"/>
      <c r="AWD211" s="575"/>
      <c r="AWE211" s="575"/>
      <c r="AWF211" s="575"/>
      <c r="AWG211" s="575"/>
      <c r="AWH211" s="575"/>
      <c r="AWI211" s="575"/>
      <c r="AWJ211" s="575"/>
      <c r="AWK211" s="575"/>
      <c r="AWL211" s="575"/>
      <c r="AWM211" s="575"/>
      <c r="AWN211" s="575"/>
      <c r="AWO211" s="575"/>
      <c r="AWP211" s="575"/>
      <c r="AWQ211" s="575"/>
      <c r="AWR211" s="575"/>
      <c r="AWS211" s="575"/>
      <c r="AWT211" s="575"/>
      <c r="AWU211" s="575"/>
      <c r="AWV211" s="575"/>
      <c r="AWW211" s="575"/>
      <c r="AWX211" s="575"/>
      <c r="AWY211" s="575"/>
      <c r="AWZ211" s="575"/>
      <c r="AXA211" s="575"/>
      <c r="AXB211" s="575"/>
      <c r="AXC211" s="575"/>
      <c r="AXD211" s="575"/>
      <c r="AXE211" s="575"/>
      <c r="AXF211" s="575"/>
      <c r="AXG211" s="575"/>
      <c r="AXH211" s="575"/>
      <c r="AXI211" s="575"/>
      <c r="AXJ211" s="575"/>
      <c r="AXK211" s="575"/>
      <c r="AXL211" s="575"/>
      <c r="AXM211" s="575"/>
      <c r="AXN211" s="575"/>
      <c r="AXO211" s="575"/>
      <c r="AXP211" s="575"/>
      <c r="AXQ211" s="575"/>
      <c r="AXR211" s="575"/>
      <c r="AXS211" s="575"/>
      <c r="AXT211" s="575"/>
      <c r="AXU211" s="575"/>
      <c r="AXV211" s="575"/>
      <c r="AXW211" s="575"/>
      <c r="AXX211" s="575"/>
      <c r="AXY211" s="575"/>
      <c r="AXZ211" s="575"/>
      <c r="AYA211" s="575"/>
      <c r="AYB211" s="575"/>
      <c r="AYC211" s="575"/>
      <c r="AYD211" s="575"/>
      <c r="AYE211" s="575"/>
      <c r="AYF211" s="575"/>
      <c r="AYG211" s="575"/>
      <c r="AYH211" s="575"/>
      <c r="AYI211" s="575"/>
      <c r="AYJ211" s="575"/>
      <c r="AYK211" s="575"/>
      <c r="AYL211" s="575"/>
      <c r="AYM211" s="575"/>
      <c r="AYN211" s="575"/>
      <c r="AYO211" s="575"/>
      <c r="AYP211" s="575"/>
      <c r="AYQ211" s="575"/>
      <c r="AYR211" s="575"/>
      <c r="AYS211" s="575"/>
      <c r="AYT211" s="575"/>
      <c r="AYU211" s="575"/>
      <c r="AYV211" s="575"/>
      <c r="AYW211" s="575"/>
      <c r="AYX211" s="575"/>
      <c r="AYY211" s="575"/>
      <c r="AYZ211" s="575"/>
      <c r="AZA211" s="575"/>
      <c r="AZB211" s="575"/>
      <c r="AZC211" s="575"/>
      <c r="AZD211" s="575"/>
      <c r="AZE211" s="575"/>
      <c r="AZF211" s="575"/>
      <c r="AZG211" s="575"/>
      <c r="AZH211" s="575"/>
      <c r="AZI211" s="575"/>
      <c r="AZJ211" s="575"/>
      <c r="AZK211" s="575"/>
      <c r="AZL211" s="575"/>
      <c r="AZM211" s="575"/>
      <c r="AZN211" s="575"/>
      <c r="AZO211" s="575"/>
      <c r="AZP211" s="575"/>
      <c r="AZQ211" s="575"/>
      <c r="AZR211" s="575"/>
      <c r="AZS211" s="575"/>
      <c r="AZT211" s="575"/>
      <c r="AZU211" s="575"/>
      <c r="AZV211" s="575"/>
      <c r="AZW211" s="575"/>
      <c r="AZX211" s="575"/>
      <c r="AZY211" s="575"/>
      <c r="AZZ211" s="575"/>
      <c r="BAA211" s="575"/>
      <c r="BAB211" s="575"/>
      <c r="BAC211" s="575"/>
      <c r="BAD211" s="575"/>
      <c r="BAE211" s="575"/>
      <c r="BAF211" s="575"/>
      <c r="BAG211" s="575"/>
      <c r="BAH211" s="575"/>
      <c r="BAI211" s="575"/>
      <c r="BAJ211" s="575"/>
      <c r="BAK211" s="575"/>
      <c r="BAL211" s="575"/>
      <c r="BAM211" s="575"/>
      <c r="BAN211" s="575"/>
      <c r="BAO211" s="575"/>
      <c r="BAP211" s="575"/>
      <c r="BAQ211" s="575"/>
      <c r="BAR211" s="575"/>
      <c r="BAS211" s="575"/>
      <c r="BAT211" s="575"/>
      <c r="BAU211" s="575"/>
      <c r="BAV211" s="575"/>
      <c r="BAW211" s="575"/>
      <c r="BAX211" s="575"/>
      <c r="BAY211" s="575"/>
      <c r="BAZ211" s="575"/>
      <c r="BBA211" s="575"/>
      <c r="BBB211" s="575"/>
      <c r="BBC211" s="575"/>
      <c r="BBD211" s="575"/>
      <c r="BBE211" s="575"/>
      <c r="BBF211" s="575"/>
      <c r="BBG211" s="575"/>
      <c r="BBH211" s="575"/>
      <c r="BBI211" s="575"/>
      <c r="BBJ211" s="575"/>
      <c r="BBK211" s="575"/>
      <c r="BBL211" s="575"/>
      <c r="BBM211" s="575"/>
      <c r="BBN211" s="575"/>
      <c r="BBO211" s="575"/>
      <c r="BBP211" s="575"/>
      <c r="BBQ211" s="575"/>
      <c r="BBR211" s="575"/>
      <c r="BBS211" s="575"/>
      <c r="BBT211" s="575"/>
      <c r="BBU211" s="575"/>
      <c r="BBV211" s="575"/>
      <c r="BBW211" s="575"/>
      <c r="BBX211" s="575"/>
      <c r="BBY211" s="575"/>
      <c r="BBZ211" s="575"/>
      <c r="BCA211" s="575"/>
      <c r="BCB211" s="575"/>
      <c r="BCC211" s="575"/>
      <c r="BCD211" s="575"/>
      <c r="BCE211" s="575"/>
      <c r="BCF211" s="575"/>
      <c r="BCG211" s="575"/>
      <c r="BCH211" s="575"/>
      <c r="BCI211" s="575"/>
      <c r="BCJ211" s="575"/>
      <c r="BCK211" s="575"/>
      <c r="BCL211" s="575"/>
      <c r="BCM211" s="575"/>
      <c r="BCN211" s="575"/>
      <c r="BCO211" s="575"/>
      <c r="BCP211" s="575"/>
      <c r="BCQ211" s="575"/>
      <c r="BCR211" s="575"/>
      <c r="BCS211" s="575"/>
      <c r="BCT211" s="575"/>
      <c r="BCU211" s="575"/>
      <c r="BCV211" s="575"/>
      <c r="BCW211" s="575"/>
      <c r="BCX211" s="575"/>
      <c r="BCY211" s="575"/>
      <c r="BCZ211" s="575"/>
      <c r="BDA211" s="575"/>
      <c r="BDB211" s="575"/>
      <c r="BDC211" s="575"/>
      <c r="BDD211" s="575"/>
      <c r="BDE211" s="575"/>
      <c r="BDF211" s="575"/>
      <c r="BDG211" s="575"/>
      <c r="BDH211" s="575"/>
      <c r="BDI211" s="575"/>
      <c r="BDJ211" s="575"/>
      <c r="BDK211" s="575"/>
      <c r="BDL211" s="575"/>
      <c r="BDM211" s="575"/>
      <c r="BDN211" s="575"/>
      <c r="BDO211" s="575"/>
      <c r="BDP211" s="575"/>
      <c r="BDQ211" s="575"/>
      <c r="BDR211" s="575"/>
      <c r="BDS211" s="575"/>
      <c r="BDT211" s="575"/>
    </row>
    <row r="212" spans="1:1476" x14ac:dyDescent="0.25">
      <c r="A212" s="608">
        <v>5749</v>
      </c>
      <c r="B212" s="609" t="s">
        <v>232</v>
      </c>
      <c r="C212" s="610">
        <v>8046129.0700000003</v>
      </c>
      <c r="D212" s="610">
        <v>809718.95</v>
      </c>
      <c r="E212" s="610"/>
      <c r="F212" s="611"/>
      <c r="G212" s="610">
        <v>307095</v>
      </c>
      <c r="H212" s="610">
        <v>8417.25</v>
      </c>
      <c r="I212" s="610"/>
      <c r="J212" s="610">
        <v>239200.22</v>
      </c>
      <c r="K212" s="610">
        <v>56988.7</v>
      </c>
      <c r="L212" s="610">
        <v>885922.05</v>
      </c>
      <c r="M212" s="434">
        <f t="shared" si="12"/>
        <v>10353471.24</v>
      </c>
      <c r="N212" s="612">
        <v>650839.5</v>
      </c>
      <c r="O212" s="612">
        <v>165907.29999999999</v>
      </c>
      <c r="P212" s="612">
        <v>214096.85</v>
      </c>
      <c r="Q212" s="612">
        <v>31539.69</v>
      </c>
      <c r="R212" s="612">
        <v>90945.95</v>
      </c>
      <c r="S212" s="610">
        <v>32972.65</v>
      </c>
      <c r="T212" s="543">
        <f t="shared" si="13"/>
        <v>11539773.18</v>
      </c>
      <c r="U212" s="575">
        <v>-215484.9</v>
      </c>
      <c r="V212" s="612"/>
      <c r="W212" s="612">
        <v>-1707.14</v>
      </c>
      <c r="X212" s="624">
        <v>70.5</v>
      </c>
      <c r="Y212" s="631">
        <v>1</v>
      </c>
      <c r="Z212" s="628">
        <f>VLOOKUP(A212,'[2]2022 toutes communes'!$B$9:$D$317,3,FALSE)</f>
        <v>5405</v>
      </c>
      <c r="AA212" s="617"/>
      <c r="AB212" s="618">
        <v>456788</v>
      </c>
      <c r="AC212" s="547">
        <f>AB212/VPI!R212</f>
        <v>3.1569661897041379</v>
      </c>
      <c r="AD212" s="548">
        <f t="shared" si="14"/>
        <v>359597</v>
      </c>
      <c r="AE212" s="547">
        <f>AD212/VPI!R212</f>
        <v>2.4852569921255352</v>
      </c>
      <c r="AF212" s="618">
        <v>816385</v>
      </c>
      <c r="AG212" s="618">
        <v>641087</v>
      </c>
      <c r="AH212" s="618">
        <v>724500</v>
      </c>
      <c r="AI212" s="637"/>
      <c r="AJ212" s="628">
        <v>2075</v>
      </c>
      <c r="AK212" s="547">
        <f>AJ212/VPI!R212</f>
        <v>1.4340798890592761E-2</v>
      </c>
      <c r="AL212" s="548">
        <f t="shared" si="15"/>
        <v>190655</v>
      </c>
      <c r="AM212" s="547">
        <f>AL212/VPI!R212</f>
        <v>1.3176602469811869</v>
      </c>
      <c r="AN212" s="628">
        <v>192730</v>
      </c>
      <c r="AO212" s="637"/>
      <c r="AP212" s="629">
        <v>3.7805989453686939</v>
      </c>
      <c r="AR212" s="630">
        <v>0</v>
      </c>
    </row>
    <row r="213" spans="1:1476" s="632" customFormat="1" x14ac:dyDescent="0.25">
      <c r="A213" s="608">
        <v>5750</v>
      </c>
      <c r="B213" s="609" t="s">
        <v>233</v>
      </c>
      <c r="C213" s="610">
        <v>364840.6</v>
      </c>
      <c r="D213" s="610">
        <v>59926.92</v>
      </c>
      <c r="E213" s="610"/>
      <c r="F213" s="611">
        <v>1090</v>
      </c>
      <c r="G213" s="610">
        <v>594.04999999999995</v>
      </c>
      <c r="H213" s="610">
        <v>29.55</v>
      </c>
      <c r="I213" s="610"/>
      <c r="J213" s="610">
        <v>-2907.97</v>
      </c>
      <c r="K213" s="610">
        <v>-1065.55</v>
      </c>
      <c r="L213" s="610">
        <v>14359.3</v>
      </c>
      <c r="M213" s="434">
        <f t="shared" si="12"/>
        <v>436866.89999999997</v>
      </c>
      <c r="N213" s="612">
        <v>9772.5499999999993</v>
      </c>
      <c r="O213" s="612"/>
      <c r="P213" s="612">
        <v>26341.25</v>
      </c>
      <c r="Q213" s="612"/>
      <c r="R213" s="612">
        <v>29579.3</v>
      </c>
      <c r="S213" s="610">
        <v>65.17</v>
      </c>
      <c r="T213" s="543">
        <f t="shared" si="13"/>
        <v>502625.16999999993</v>
      </c>
      <c r="U213" s="575">
        <v>-9619.86</v>
      </c>
      <c r="V213" s="612"/>
      <c r="W213" s="612">
        <v>-49.35</v>
      </c>
      <c r="X213" s="624">
        <v>80</v>
      </c>
      <c r="Y213" s="631">
        <v>0.6</v>
      </c>
      <c r="Z213" s="628">
        <f>VLOOKUP(A213,'[2]2022 toutes communes'!$B$9:$D$317,3,FALSE)</f>
        <v>186</v>
      </c>
      <c r="AA213" s="617"/>
      <c r="AB213" s="618">
        <v>43873</v>
      </c>
      <c r="AC213" s="547">
        <f>AB213/VPI!R213</f>
        <v>8.0346908133689112</v>
      </c>
      <c r="AD213" s="548">
        <f t="shared" si="14"/>
        <v>28965</v>
      </c>
      <c r="AE213" s="547">
        <f>AD213/VPI!R213</f>
        <v>5.3045111893244252</v>
      </c>
      <c r="AF213" s="618">
        <v>72838</v>
      </c>
      <c r="AG213" s="618">
        <v>0</v>
      </c>
      <c r="AH213" s="618">
        <v>16831</v>
      </c>
      <c r="AI213" s="637"/>
      <c r="AJ213" s="628">
        <v>0</v>
      </c>
      <c r="AK213" s="547">
        <f>AJ213/VPI!R213</f>
        <v>0</v>
      </c>
      <c r="AL213" s="548">
        <f t="shared" si="15"/>
        <v>31491</v>
      </c>
      <c r="AM213" s="547">
        <f>AL213/VPI!R213</f>
        <v>5.7671107151049705</v>
      </c>
      <c r="AN213" s="628">
        <v>31491</v>
      </c>
      <c r="AO213" s="637"/>
      <c r="AP213" s="629">
        <v>4.9959155003464781</v>
      </c>
      <c r="AQ213" s="575"/>
      <c r="AR213" s="630">
        <v>0</v>
      </c>
      <c r="AS213" s="575"/>
      <c r="AT213" s="575"/>
      <c r="AU213" s="575"/>
      <c r="AV213" s="575"/>
      <c r="AW213" s="575"/>
      <c r="AX213" s="575"/>
      <c r="AY213" s="575"/>
      <c r="AZ213" s="575"/>
      <c r="BA213" s="575"/>
      <c r="BB213" s="575"/>
      <c r="BC213" s="575"/>
      <c r="BD213" s="575"/>
      <c r="BE213" s="575"/>
      <c r="BF213" s="575"/>
      <c r="BG213" s="575"/>
      <c r="BH213" s="575"/>
      <c r="BI213" s="575"/>
      <c r="BJ213" s="575"/>
      <c r="BK213" s="575"/>
      <c r="BL213" s="575"/>
      <c r="BM213" s="575"/>
      <c r="BN213" s="575"/>
      <c r="BO213" s="575"/>
      <c r="BP213" s="575"/>
      <c r="BQ213" s="575"/>
      <c r="BR213" s="575"/>
      <c r="BS213" s="575"/>
      <c r="BT213" s="575"/>
      <c r="BU213" s="575"/>
      <c r="BV213" s="575"/>
      <c r="BW213" s="575"/>
      <c r="BX213" s="575"/>
      <c r="BY213" s="575"/>
      <c r="BZ213" s="575"/>
      <c r="CA213" s="575"/>
      <c r="CB213" s="575"/>
      <c r="CC213" s="575"/>
      <c r="CD213" s="575"/>
      <c r="CE213" s="575"/>
      <c r="CF213" s="575"/>
      <c r="CG213" s="575"/>
      <c r="CH213" s="575"/>
      <c r="CI213" s="575"/>
      <c r="CJ213" s="575"/>
      <c r="CK213" s="575"/>
      <c r="CL213" s="575"/>
      <c r="CM213" s="575"/>
      <c r="CN213" s="575"/>
      <c r="CO213" s="575"/>
      <c r="CP213" s="575"/>
      <c r="CQ213" s="575"/>
      <c r="CR213" s="575"/>
      <c r="CS213" s="575"/>
      <c r="CT213" s="575"/>
      <c r="CU213" s="575"/>
      <c r="CV213" s="575"/>
      <c r="CW213" s="575"/>
      <c r="CX213" s="575"/>
      <c r="CY213" s="575"/>
      <c r="CZ213" s="575"/>
      <c r="DA213" s="575"/>
      <c r="DB213" s="575"/>
      <c r="DC213" s="575"/>
      <c r="DD213" s="575"/>
      <c r="DE213" s="575"/>
      <c r="DF213" s="575"/>
      <c r="DG213" s="575"/>
      <c r="DH213" s="575"/>
      <c r="DI213" s="575"/>
      <c r="DJ213" s="575"/>
      <c r="DK213" s="575"/>
      <c r="DL213" s="575"/>
      <c r="DM213" s="575"/>
      <c r="DN213" s="575"/>
      <c r="DO213" s="575"/>
      <c r="DP213" s="575"/>
      <c r="DQ213" s="575"/>
      <c r="DR213" s="575"/>
      <c r="DS213" s="575"/>
      <c r="DT213" s="575"/>
      <c r="DU213" s="575"/>
      <c r="DV213" s="575"/>
      <c r="DW213" s="575"/>
      <c r="DX213" s="575"/>
      <c r="DY213" s="575"/>
      <c r="DZ213" s="575"/>
      <c r="EA213" s="575"/>
      <c r="EB213" s="575"/>
      <c r="EC213" s="575"/>
      <c r="ED213" s="575"/>
      <c r="EE213" s="575"/>
      <c r="EF213" s="575"/>
      <c r="EG213" s="575"/>
      <c r="EH213" s="575"/>
      <c r="EI213" s="575"/>
      <c r="EJ213" s="575"/>
      <c r="EK213" s="575"/>
      <c r="EL213" s="575"/>
      <c r="EM213" s="575"/>
      <c r="EN213" s="575"/>
      <c r="EO213" s="575"/>
      <c r="EP213" s="575"/>
      <c r="EQ213" s="575"/>
      <c r="ER213" s="575"/>
      <c r="ES213" s="575"/>
      <c r="ET213" s="575"/>
      <c r="EU213" s="575"/>
      <c r="EV213" s="575"/>
      <c r="EW213" s="575"/>
      <c r="EX213" s="575"/>
      <c r="EY213" s="575"/>
      <c r="EZ213" s="575"/>
      <c r="FA213" s="575"/>
      <c r="FB213" s="575"/>
      <c r="FC213" s="575"/>
      <c r="FD213" s="575"/>
      <c r="FE213" s="575"/>
      <c r="FF213" s="575"/>
      <c r="FG213" s="575"/>
      <c r="FH213" s="575"/>
      <c r="FI213" s="575"/>
      <c r="FJ213" s="575"/>
      <c r="FK213" s="575"/>
      <c r="FL213" s="575"/>
      <c r="FM213" s="575"/>
      <c r="FN213" s="575"/>
      <c r="FO213" s="575"/>
      <c r="FP213" s="575"/>
      <c r="FQ213" s="575"/>
      <c r="FR213" s="575"/>
      <c r="FS213" s="575"/>
      <c r="FT213" s="575"/>
      <c r="FU213" s="575"/>
      <c r="FV213" s="575"/>
      <c r="FW213" s="575"/>
      <c r="FX213" s="575"/>
      <c r="FY213" s="575"/>
      <c r="FZ213" s="575"/>
      <c r="GA213" s="575"/>
      <c r="GB213" s="575"/>
      <c r="GC213" s="575"/>
      <c r="GD213" s="575"/>
      <c r="GE213" s="575"/>
      <c r="GF213" s="575"/>
      <c r="GG213" s="575"/>
      <c r="GH213" s="575"/>
      <c r="GI213" s="575"/>
      <c r="GJ213" s="575"/>
      <c r="GK213" s="575"/>
      <c r="GL213" s="575"/>
      <c r="GM213" s="575"/>
      <c r="GN213" s="575"/>
      <c r="GO213" s="575"/>
      <c r="GP213" s="575"/>
      <c r="GQ213" s="575"/>
      <c r="GR213" s="575"/>
      <c r="GS213" s="575"/>
      <c r="GT213" s="575"/>
      <c r="GU213" s="575"/>
      <c r="GV213" s="575"/>
      <c r="GW213" s="575"/>
      <c r="GX213" s="575"/>
      <c r="GY213" s="575"/>
      <c r="GZ213" s="575"/>
      <c r="HA213" s="575"/>
      <c r="HB213" s="575"/>
      <c r="HC213" s="575"/>
      <c r="HD213" s="575"/>
      <c r="HE213" s="575"/>
      <c r="HF213" s="575"/>
      <c r="HG213" s="575"/>
      <c r="HH213" s="575"/>
      <c r="HI213" s="575"/>
      <c r="HJ213" s="575"/>
      <c r="HK213" s="575"/>
      <c r="HL213" s="575"/>
      <c r="HM213" s="575"/>
      <c r="HN213" s="575"/>
      <c r="HO213" s="575"/>
      <c r="HP213" s="575"/>
      <c r="HQ213" s="575"/>
      <c r="HR213" s="575"/>
      <c r="HS213" s="575"/>
      <c r="HT213" s="575"/>
      <c r="HU213" s="575"/>
      <c r="HV213" s="575"/>
      <c r="HW213" s="575"/>
      <c r="HX213" s="575"/>
      <c r="HY213" s="575"/>
      <c r="HZ213" s="575"/>
      <c r="IA213" s="575"/>
      <c r="IB213" s="575"/>
      <c r="IC213" s="575"/>
      <c r="ID213" s="575"/>
      <c r="IE213" s="575"/>
      <c r="IF213" s="575"/>
      <c r="IG213" s="575"/>
      <c r="IH213" s="575"/>
      <c r="II213" s="575"/>
      <c r="IJ213" s="575"/>
      <c r="IK213" s="575"/>
      <c r="IL213" s="575"/>
      <c r="IM213" s="575"/>
      <c r="IN213" s="575"/>
      <c r="IO213" s="575"/>
      <c r="IP213" s="575"/>
      <c r="IQ213" s="575"/>
      <c r="IR213" s="575"/>
      <c r="IS213" s="575"/>
      <c r="IT213" s="575"/>
      <c r="IU213" s="575"/>
      <c r="IV213" s="575"/>
      <c r="IW213" s="575"/>
      <c r="IX213" s="575"/>
      <c r="IY213" s="575"/>
      <c r="IZ213" s="575"/>
      <c r="JA213" s="575"/>
      <c r="JB213" s="575"/>
      <c r="JC213" s="575"/>
      <c r="JD213" s="575"/>
      <c r="JE213" s="575"/>
      <c r="JF213" s="575"/>
      <c r="JG213" s="575"/>
      <c r="JH213" s="575"/>
      <c r="JI213" s="575"/>
      <c r="JJ213" s="575"/>
      <c r="JK213" s="575"/>
      <c r="JL213" s="575"/>
      <c r="JM213" s="575"/>
      <c r="JN213" s="575"/>
      <c r="JO213" s="575"/>
      <c r="JP213" s="575"/>
      <c r="JQ213" s="575"/>
      <c r="JR213" s="575"/>
      <c r="JS213" s="575"/>
      <c r="JT213" s="575"/>
      <c r="JU213" s="575"/>
      <c r="JV213" s="575"/>
      <c r="JW213" s="575"/>
      <c r="JX213" s="575"/>
      <c r="JY213" s="575"/>
      <c r="JZ213" s="575"/>
      <c r="KA213" s="575"/>
      <c r="KB213" s="575"/>
      <c r="KC213" s="575"/>
      <c r="KD213" s="575"/>
      <c r="KE213" s="575"/>
      <c r="KF213" s="575"/>
      <c r="KG213" s="575"/>
      <c r="KH213" s="575"/>
      <c r="KI213" s="575"/>
      <c r="KJ213" s="575"/>
      <c r="KK213" s="575"/>
      <c r="KL213" s="575"/>
      <c r="KM213" s="575"/>
      <c r="KN213" s="575"/>
      <c r="KO213" s="575"/>
      <c r="KP213" s="575"/>
      <c r="KQ213" s="575"/>
      <c r="KR213" s="575"/>
      <c r="KS213" s="575"/>
      <c r="KT213" s="575"/>
      <c r="KU213" s="575"/>
      <c r="KV213" s="575"/>
      <c r="KW213" s="575"/>
      <c r="KX213" s="575"/>
      <c r="KY213" s="575"/>
      <c r="KZ213" s="575"/>
      <c r="LA213" s="575"/>
      <c r="LB213" s="575"/>
      <c r="LC213" s="575"/>
      <c r="LD213" s="575"/>
      <c r="LE213" s="575"/>
      <c r="LF213" s="575"/>
      <c r="LG213" s="575"/>
      <c r="LH213" s="575"/>
      <c r="LI213" s="575"/>
      <c r="LJ213" s="575"/>
      <c r="LK213" s="575"/>
      <c r="LL213" s="575"/>
      <c r="LM213" s="575"/>
      <c r="LN213" s="575"/>
      <c r="LO213" s="575"/>
      <c r="LP213" s="575"/>
      <c r="LQ213" s="575"/>
      <c r="LR213" s="575"/>
      <c r="LS213" s="575"/>
      <c r="LT213" s="575"/>
      <c r="LU213" s="575"/>
      <c r="LV213" s="575"/>
      <c r="LW213" s="575"/>
      <c r="LX213" s="575"/>
      <c r="LY213" s="575"/>
      <c r="LZ213" s="575"/>
      <c r="MA213" s="575"/>
      <c r="MB213" s="575"/>
      <c r="MC213" s="575"/>
      <c r="MD213" s="575"/>
      <c r="ME213" s="575"/>
      <c r="MF213" s="575"/>
      <c r="MG213" s="575"/>
      <c r="MH213" s="575"/>
      <c r="MI213" s="575"/>
      <c r="MJ213" s="575"/>
      <c r="MK213" s="575"/>
      <c r="ML213" s="575"/>
      <c r="MM213" s="575"/>
      <c r="MN213" s="575"/>
      <c r="MO213" s="575"/>
      <c r="MP213" s="575"/>
      <c r="MQ213" s="575"/>
      <c r="MR213" s="575"/>
      <c r="MS213" s="575"/>
      <c r="MT213" s="575"/>
      <c r="MU213" s="575"/>
      <c r="MV213" s="575"/>
      <c r="MW213" s="575"/>
      <c r="MX213" s="575"/>
      <c r="MY213" s="575"/>
      <c r="MZ213" s="575"/>
      <c r="NA213" s="575"/>
      <c r="NB213" s="575"/>
      <c r="NC213" s="575"/>
      <c r="ND213" s="575"/>
      <c r="NE213" s="575"/>
      <c r="NF213" s="575"/>
      <c r="NG213" s="575"/>
      <c r="NH213" s="575"/>
      <c r="NI213" s="575"/>
      <c r="NJ213" s="575"/>
      <c r="NK213" s="575"/>
      <c r="NL213" s="575"/>
      <c r="NM213" s="575"/>
      <c r="NN213" s="575"/>
      <c r="NO213" s="575"/>
      <c r="NP213" s="575"/>
      <c r="NQ213" s="575"/>
      <c r="NR213" s="575"/>
      <c r="NS213" s="575"/>
      <c r="NT213" s="575"/>
      <c r="NU213" s="575"/>
      <c r="NV213" s="575"/>
      <c r="NW213" s="575"/>
      <c r="NX213" s="575"/>
      <c r="NY213" s="575"/>
      <c r="NZ213" s="575"/>
      <c r="OA213" s="575"/>
      <c r="OB213" s="575"/>
      <c r="OC213" s="575"/>
      <c r="OD213" s="575"/>
      <c r="OE213" s="575"/>
      <c r="OF213" s="575"/>
      <c r="OG213" s="575"/>
      <c r="OH213" s="575"/>
      <c r="OI213" s="575"/>
      <c r="OJ213" s="575"/>
      <c r="OK213" s="575"/>
      <c r="OL213" s="575"/>
      <c r="OM213" s="575"/>
      <c r="ON213" s="575"/>
      <c r="OO213" s="575"/>
      <c r="OP213" s="575"/>
      <c r="OQ213" s="575"/>
      <c r="OR213" s="575"/>
      <c r="OS213" s="575"/>
      <c r="OT213" s="575"/>
      <c r="OU213" s="575"/>
      <c r="OV213" s="575"/>
      <c r="OW213" s="575"/>
      <c r="OX213" s="575"/>
      <c r="OY213" s="575"/>
      <c r="OZ213" s="575"/>
      <c r="PA213" s="575"/>
      <c r="PB213" s="575"/>
      <c r="PC213" s="575"/>
      <c r="PD213" s="575"/>
      <c r="PE213" s="575"/>
      <c r="PF213" s="575"/>
      <c r="PG213" s="575"/>
      <c r="PH213" s="575"/>
      <c r="PI213" s="575"/>
      <c r="PJ213" s="575"/>
      <c r="PK213" s="575"/>
      <c r="PL213" s="575"/>
      <c r="PM213" s="575"/>
      <c r="PN213" s="575"/>
      <c r="PO213" s="575"/>
      <c r="PP213" s="575"/>
      <c r="PQ213" s="575"/>
      <c r="PR213" s="575"/>
      <c r="PS213" s="575"/>
      <c r="PT213" s="575"/>
      <c r="PU213" s="575"/>
      <c r="PV213" s="575"/>
      <c r="PW213" s="575"/>
      <c r="PX213" s="575"/>
      <c r="PY213" s="575"/>
      <c r="PZ213" s="575"/>
      <c r="QA213" s="575"/>
      <c r="QB213" s="575"/>
      <c r="QC213" s="575"/>
      <c r="QD213" s="575"/>
      <c r="QE213" s="575"/>
      <c r="QF213" s="575"/>
      <c r="QG213" s="575"/>
      <c r="QH213" s="575"/>
      <c r="QI213" s="575"/>
      <c r="QJ213" s="575"/>
      <c r="QK213" s="575"/>
      <c r="QL213" s="575"/>
      <c r="QM213" s="575"/>
      <c r="QN213" s="575"/>
      <c r="QO213" s="575"/>
      <c r="QP213" s="575"/>
      <c r="QQ213" s="575"/>
      <c r="QR213" s="575"/>
      <c r="QS213" s="575"/>
      <c r="QT213" s="575"/>
      <c r="QU213" s="575"/>
      <c r="QV213" s="575"/>
      <c r="QW213" s="575"/>
      <c r="QX213" s="575"/>
      <c r="QY213" s="575"/>
      <c r="QZ213" s="575"/>
      <c r="RA213" s="575"/>
      <c r="RB213" s="575"/>
      <c r="RC213" s="575"/>
      <c r="RD213" s="575"/>
      <c r="RE213" s="575"/>
      <c r="RF213" s="575"/>
      <c r="RG213" s="575"/>
      <c r="RH213" s="575"/>
      <c r="RI213" s="575"/>
      <c r="RJ213" s="575"/>
      <c r="RK213" s="575"/>
      <c r="RL213" s="575"/>
      <c r="RM213" s="575"/>
      <c r="RN213" s="575"/>
      <c r="RO213" s="575"/>
      <c r="RP213" s="575"/>
      <c r="RQ213" s="575"/>
      <c r="RR213" s="575"/>
      <c r="RS213" s="575"/>
      <c r="RT213" s="575"/>
      <c r="RU213" s="575"/>
      <c r="RV213" s="575"/>
      <c r="RW213" s="575"/>
      <c r="RX213" s="575"/>
      <c r="RY213" s="575"/>
      <c r="RZ213" s="575"/>
      <c r="SA213" s="575"/>
      <c r="SB213" s="575"/>
      <c r="SC213" s="575"/>
      <c r="SD213" s="575"/>
      <c r="SE213" s="575"/>
      <c r="SF213" s="575"/>
      <c r="SG213" s="575"/>
      <c r="SH213" s="575"/>
      <c r="SI213" s="575"/>
      <c r="SJ213" s="575"/>
      <c r="SK213" s="575"/>
      <c r="SL213" s="575"/>
      <c r="SM213" s="575"/>
      <c r="SN213" s="575"/>
      <c r="SO213" s="575"/>
      <c r="SP213" s="575"/>
      <c r="SQ213" s="575"/>
      <c r="SR213" s="575"/>
      <c r="SS213" s="575"/>
      <c r="ST213" s="575"/>
      <c r="SU213" s="575"/>
      <c r="SV213" s="575"/>
      <c r="SW213" s="575"/>
      <c r="SX213" s="575"/>
      <c r="SY213" s="575"/>
      <c r="SZ213" s="575"/>
      <c r="TA213" s="575"/>
      <c r="TB213" s="575"/>
      <c r="TC213" s="575"/>
      <c r="TD213" s="575"/>
      <c r="TE213" s="575"/>
      <c r="TF213" s="575"/>
      <c r="TG213" s="575"/>
      <c r="TH213" s="575"/>
      <c r="TI213" s="575"/>
      <c r="TJ213" s="575"/>
      <c r="TK213" s="575"/>
      <c r="TL213" s="575"/>
      <c r="TM213" s="575"/>
      <c r="TN213" s="575"/>
      <c r="TO213" s="575"/>
      <c r="TP213" s="575"/>
      <c r="TQ213" s="575"/>
      <c r="TR213" s="575"/>
      <c r="TS213" s="575"/>
      <c r="TT213" s="575"/>
      <c r="TU213" s="575"/>
      <c r="TV213" s="575"/>
      <c r="TW213" s="575"/>
      <c r="TX213" s="575"/>
      <c r="TY213" s="575"/>
      <c r="TZ213" s="575"/>
      <c r="UA213" s="575"/>
      <c r="UB213" s="575"/>
      <c r="UC213" s="575"/>
      <c r="UD213" s="575"/>
      <c r="UE213" s="575"/>
      <c r="UF213" s="575"/>
      <c r="UG213" s="575"/>
      <c r="UH213" s="575"/>
      <c r="UI213" s="575"/>
      <c r="UJ213" s="575"/>
      <c r="UK213" s="575"/>
      <c r="UL213" s="575"/>
      <c r="UM213" s="575"/>
      <c r="UN213" s="575"/>
      <c r="UO213" s="575"/>
      <c r="UP213" s="575"/>
      <c r="UQ213" s="575"/>
      <c r="UR213" s="575"/>
      <c r="US213" s="575"/>
      <c r="UT213" s="575"/>
      <c r="UU213" s="575"/>
      <c r="UV213" s="575"/>
      <c r="UW213" s="575"/>
      <c r="UX213" s="575"/>
      <c r="UY213" s="575"/>
      <c r="UZ213" s="575"/>
      <c r="VA213" s="575"/>
      <c r="VB213" s="575"/>
      <c r="VC213" s="575"/>
      <c r="VD213" s="575"/>
      <c r="VE213" s="575"/>
      <c r="VF213" s="575"/>
      <c r="VG213" s="575"/>
      <c r="VH213" s="575"/>
      <c r="VI213" s="575"/>
      <c r="VJ213" s="575"/>
      <c r="VK213" s="575"/>
      <c r="VL213" s="575"/>
      <c r="VM213" s="575"/>
      <c r="VN213" s="575"/>
      <c r="VO213" s="575"/>
      <c r="VP213" s="575"/>
      <c r="VQ213" s="575"/>
      <c r="VR213" s="575"/>
      <c r="VS213" s="575"/>
      <c r="VT213" s="575"/>
      <c r="VU213" s="575"/>
      <c r="VV213" s="575"/>
      <c r="VW213" s="575"/>
      <c r="VX213" s="575"/>
      <c r="VY213" s="575"/>
      <c r="VZ213" s="575"/>
      <c r="WA213" s="575"/>
      <c r="WB213" s="575"/>
      <c r="WC213" s="575"/>
      <c r="WD213" s="575"/>
      <c r="WE213" s="575"/>
      <c r="WF213" s="575"/>
      <c r="WG213" s="575"/>
      <c r="WH213" s="575"/>
      <c r="WI213" s="575"/>
      <c r="WJ213" s="575"/>
      <c r="WK213" s="575"/>
      <c r="WL213" s="575"/>
      <c r="WM213" s="575"/>
      <c r="WN213" s="575"/>
      <c r="WO213" s="575"/>
      <c r="WP213" s="575"/>
      <c r="WQ213" s="575"/>
      <c r="WR213" s="575"/>
      <c r="WS213" s="575"/>
      <c r="WT213" s="575"/>
      <c r="WU213" s="575"/>
      <c r="WV213" s="575"/>
      <c r="WW213" s="575"/>
      <c r="WX213" s="575"/>
      <c r="WY213" s="575"/>
      <c r="WZ213" s="575"/>
      <c r="XA213" s="575"/>
      <c r="XB213" s="575"/>
      <c r="XC213" s="575"/>
      <c r="XD213" s="575"/>
      <c r="XE213" s="575"/>
      <c r="XF213" s="575"/>
      <c r="XG213" s="575"/>
      <c r="XH213" s="575"/>
      <c r="XI213" s="575"/>
      <c r="XJ213" s="575"/>
      <c r="XK213" s="575"/>
      <c r="XL213" s="575"/>
      <c r="XM213" s="575"/>
      <c r="XN213" s="575"/>
      <c r="XO213" s="575"/>
      <c r="XP213" s="575"/>
      <c r="XQ213" s="575"/>
      <c r="XR213" s="575"/>
      <c r="XS213" s="575"/>
      <c r="XT213" s="575"/>
      <c r="XU213" s="575"/>
      <c r="XV213" s="575"/>
      <c r="XW213" s="575"/>
      <c r="XX213" s="575"/>
      <c r="XY213" s="575"/>
      <c r="XZ213" s="575"/>
      <c r="YA213" s="575"/>
      <c r="YB213" s="575"/>
      <c r="YC213" s="575"/>
      <c r="YD213" s="575"/>
      <c r="YE213" s="575"/>
      <c r="YF213" s="575"/>
      <c r="YG213" s="575"/>
      <c r="YH213" s="575"/>
      <c r="YI213" s="575"/>
      <c r="YJ213" s="575"/>
      <c r="YK213" s="575"/>
      <c r="YL213" s="575"/>
      <c r="YM213" s="575"/>
      <c r="YN213" s="575"/>
      <c r="YO213" s="575"/>
      <c r="YP213" s="575"/>
      <c r="YQ213" s="575"/>
      <c r="YR213" s="575"/>
      <c r="YS213" s="575"/>
      <c r="YT213" s="575"/>
      <c r="YU213" s="575"/>
      <c r="YV213" s="575"/>
      <c r="YW213" s="575"/>
      <c r="YX213" s="575"/>
      <c r="YY213" s="575"/>
      <c r="YZ213" s="575"/>
      <c r="ZA213" s="575"/>
      <c r="ZB213" s="575"/>
      <c r="ZC213" s="575"/>
      <c r="ZD213" s="575"/>
      <c r="ZE213" s="575"/>
      <c r="ZF213" s="575"/>
      <c r="ZG213" s="575"/>
      <c r="ZH213" s="575"/>
      <c r="ZI213" s="575"/>
      <c r="ZJ213" s="575"/>
      <c r="ZK213" s="575"/>
      <c r="ZL213" s="575"/>
      <c r="ZM213" s="575"/>
      <c r="ZN213" s="575"/>
      <c r="ZO213" s="575"/>
      <c r="ZP213" s="575"/>
      <c r="ZQ213" s="575"/>
      <c r="ZR213" s="575"/>
      <c r="ZS213" s="575"/>
      <c r="ZT213" s="575"/>
      <c r="ZU213" s="575"/>
      <c r="ZV213" s="575"/>
      <c r="ZW213" s="575"/>
      <c r="ZX213" s="575"/>
      <c r="ZY213" s="575"/>
      <c r="ZZ213" s="575"/>
      <c r="AAA213" s="575"/>
      <c r="AAB213" s="575"/>
      <c r="AAC213" s="575"/>
      <c r="AAD213" s="575"/>
      <c r="AAE213" s="575"/>
      <c r="AAF213" s="575"/>
      <c r="AAG213" s="575"/>
      <c r="AAH213" s="575"/>
      <c r="AAI213" s="575"/>
      <c r="AAJ213" s="575"/>
      <c r="AAK213" s="575"/>
      <c r="AAL213" s="575"/>
      <c r="AAM213" s="575"/>
      <c r="AAN213" s="575"/>
      <c r="AAO213" s="575"/>
      <c r="AAP213" s="575"/>
      <c r="AAQ213" s="575"/>
      <c r="AAR213" s="575"/>
      <c r="AAS213" s="575"/>
      <c r="AAT213" s="575"/>
      <c r="AAU213" s="575"/>
      <c r="AAV213" s="575"/>
      <c r="AAW213" s="575"/>
      <c r="AAX213" s="575"/>
      <c r="AAY213" s="575"/>
      <c r="AAZ213" s="575"/>
      <c r="ABA213" s="575"/>
      <c r="ABB213" s="575"/>
      <c r="ABC213" s="575"/>
      <c r="ABD213" s="575"/>
      <c r="ABE213" s="575"/>
      <c r="ABF213" s="575"/>
      <c r="ABG213" s="575"/>
      <c r="ABH213" s="575"/>
      <c r="ABI213" s="575"/>
      <c r="ABJ213" s="575"/>
      <c r="ABK213" s="575"/>
      <c r="ABL213" s="575"/>
      <c r="ABM213" s="575"/>
      <c r="ABN213" s="575"/>
      <c r="ABO213" s="575"/>
      <c r="ABP213" s="575"/>
      <c r="ABQ213" s="575"/>
      <c r="ABR213" s="575"/>
      <c r="ABS213" s="575"/>
      <c r="ABT213" s="575"/>
      <c r="ABU213" s="575"/>
      <c r="ABV213" s="575"/>
      <c r="ABW213" s="575"/>
      <c r="ABX213" s="575"/>
      <c r="ABY213" s="575"/>
      <c r="ABZ213" s="575"/>
      <c r="ACA213" s="575"/>
      <c r="ACB213" s="575"/>
      <c r="ACC213" s="575"/>
      <c r="ACD213" s="575"/>
      <c r="ACE213" s="575"/>
      <c r="ACF213" s="575"/>
      <c r="ACG213" s="575"/>
      <c r="ACH213" s="575"/>
      <c r="ACI213" s="575"/>
      <c r="ACJ213" s="575"/>
      <c r="ACK213" s="575"/>
      <c r="ACL213" s="575"/>
      <c r="ACM213" s="575"/>
      <c r="ACN213" s="575"/>
      <c r="ACO213" s="575"/>
      <c r="ACP213" s="575"/>
      <c r="ACQ213" s="575"/>
      <c r="ACR213" s="575"/>
      <c r="ACS213" s="575"/>
      <c r="ACT213" s="575"/>
      <c r="ACU213" s="575"/>
      <c r="ACV213" s="575"/>
      <c r="ACW213" s="575"/>
      <c r="ACX213" s="575"/>
      <c r="ACY213" s="575"/>
      <c r="ACZ213" s="575"/>
      <c r="ADA213" s="575"/>
      <c r="ADB213" s="575"/>
      <c r="ADC213" s="575"/>
      <c r="ADD213" s="575"/>
      <c r="ADE213" s="575"/>
      <c r="ADF213" s="575"/>
      <c r="ADG213" s="575"/>
      <c r="ADH213" s="575"/>
      <c r="ADI213" s="575"/>
      <c r="ADJ213" s="575"/>
      <c r="ADK213" s="575"/>
      <c r="ADL213" s="575"/>
      <c r="ADM213" s="575"/>
      <c r="ADN213" s="575"/>
      <c r="ADO213" s="575"/>
      <c r="ADP213" s="575"/>
      <c r="ADQ213" s="575"/>
      <c r="ADR213" s="575"/>
      <c r="ADS213" s="575"/>
      <c r="ADT213" s="575"/>
      <c r="ADU213" s="575"/>
      <c r="ADV213" s="575"/>
      <c r="ADW213" s="575"/>
      <c r="ADX213" s="575"/>
      <c r="ADY213" s="575"/>
      <c r="ADZ213" s="575"/>
      <c r="AEA213" s="575"/>
      <c r="AEB213" s="575"/>
      <c r="AEC213" s="575"/>
      <c r="AED213" s="575"/>
      <c r="AEE213" s="575"/>
      <c r="AEF213" s="575"/>
      <c r="AEG213" s="575"/>
      <c r="AEH213" s="575"/>
      <c r="AEI213" s="575"/>
      <c r="AEJ213" s="575"/>
      <c r="AEK213" s="575"/>
      <c r="AEL213" s="575"/>
      <c r="AEM213" s="575"/>
      <c r="AEN213" s="575"/>
      <c r="AEO213" s="575"/>
      <c r="AEP213" s="575"/>
      <c r="AEQ213" s="575"/>
      <c r="AER213" s="575"/>
      <c r="AES213" s="575"/>
      <c r="AET213" s="575"/>
      <c r="AEU213" s="575"/>
      <c r="AEV213" s="575"/>
      <c r="AEW213" s="575"/>
      <c r="AEX213" s="575"/>
      <c r="AEY213" s="575"/>
      <c r="AEZ213" s="575"/>
      <c r="AFA213" s="575"/>
      <c r="AFB213" s="575"/>
      <c r="AFC213" s="575"/>
      <c r="AFD213" s="575"/>
      <c r="AFE213" s="575"/>
      <c r="AFF213" s="575"/>
      <c r="AFG213" s="575"/>
      <c r="AFH213" s="575"/>
      <c r="AFI213" s="575"/>
      <c r="AFJ213" s="575"/>
      <c r="AFK213" s="575"/>
      <c r="AFL213" s="575"/>
      <c r="AFM213" s="575"/>
      <c r="AFN213" s="575"/>
      <c r="AFO213" s="575"/>
      <c r="AFP213" s="575"/>
      <c r="AFQ213" s="575"/>
      <c r="AFR213" s="575"/>
      <c r="AFS213" s="575"/>
      <c r="AFT213" s="575"/>
      <c r="AFU213" s="575"/>
      <c r="AFV213" s="575"/>
      <c r="AFW213" s="575"/>
      <c r="AFX213" s="575"/>
      <c r="AFY213" s="575"/>
      <c r="AFZ213" s="575"/>
      <c r="AGA213" s="575"/>
      <c r="AGB213" s="575"/>
      <c r="AGC213" s="575"/>
      <c r="AGD213" s="575"/>
      <c r="AGE213" s="575"/>
      <c r="AGF213" s="575"/>
      <c r="AGG213" s="575"/>
      <c r="AGH213" s="575"/>
      <c r="AGI213" s="575"/>
      <c r="AGJ213" s="575"/>
      <c r="AGK213" s="575"/>
      <c r="AGL213" s="575"/>
      <c r="AGM213" s="575"/>
      <c r="AGN213" s="575"/>
      <c r="AGO213" s="575"/>
      <c r="AGP213" s="575"/>
      <c r="AGQ213" s="575"/>
      <c r="AGR213" s="575"/>
      <c r="AGS213" s="575"/>
      <c r="AGT213" s="575"/>
      <c r="AGU213" s="575"/>
      <c r="AGV213" s="575"/>
      <c r="AGW213" s="575"/>
      <c r="AGX213" s="575"/>
      <c r="AGY213" s="575"/>
      <c r="AGZ213" s="575"/>
      <c r="AHA213" s="575"/>
      <c r="AHB213" s="575"/>
      <c r="AHC213" s="575"/>
      <c r="AHD213" s="575"/>
      <c r="AHE213" s="575"/>
      <c r="AHF213" s="575"/>
      <c r="AHG213" s="575"/>
      <c r="AHH213" s="575"/>
      <c r="AHI213" s="575"/>
      <c r="AHJ213" s="575"/>
      <c r="AHK213" s="575"/>
      <c r="AHL213" s="575"/>
      <c r="AHM213" s="575"/>
      <c r="AHN213" s="575"/>
      <c r="AHO213" s="575"/>
      <c r="AHP213" s="575"/>
      <c r="AHQ213" s="575"/>
      <c r="AHR213" s="575"/>
      <c r="AHS213" s="575"/>
      <c r="AHT213" s="575"/>
      <c r="AHU213" s="575"/>
      <c r="AHV213" s="575"/>
      <c r="AHW213" s="575"/>
      <c r="AHX213" s="575"/>
      <c r="AHY213" s="575"/>
      <c r="AHZ213" s="575"/>
      <c r="AIA213" s="575"/>
      <c r="AIB213" s="575"/>
      <c r="AIC213" s="575"/>
      <c r="AID213" s="575"/>
      <c r="AIE213" s="575"/>
      <c r="AIF213" s="575"/>
      <c r="AIG213" s="575"/>
      <c r="AIH213" s="575"/>
      <c r="AII213" s="575"/>
      <c r="AIJ213" s="575"/>
      <c r="AIK213" s="575"/>
      <c r="AIL213" s="575"/>
      <c r="AIM213" s="575"/>
      <c r="AIN213" s="575"/>
      <c r="AIO213" s="575"/>
      <c r="AIP213" s="575"/>
      <c r="AIQ213" s="575"/>
      <c r="AIR213" s="575"/>
      <c r="AIS213" s="575"/>
      <c r="AIT213" s="575"/>
      <c r="AIU213" s="575"/>
      <c r="AIV213" s="575"/>
      <c r="AIW213" s="575"/>
      <c r="AIX213" s="575"/>
      <c r="AIY213" s="575"/>
      <c r="AIZ213" s="575"/>
      <c r="AJA213" s="575"/>
      <c r="AJB213" s="575"/>
      <c r="AJC213" s="575"/>
      <c r="AJD213" s="575"/>
      <c r="AJE213" s="575"/>
      <c r="AJF213" s="575"/>
      <c r="AJG213" s="575"/>
      <c r="AJH213" s="575"/>
      <c r="AJI213" s="575"/>
      <c r="AJJ213" s="575"/>
      <c r="AJK213" s="575"/>
      <c r="AJL213" s="575"/>
      <c r="AJM213" s="575"/>
      <c r="AJN213" s="575"/>
      <c r="AJO213" s="575"/>
      <c r="AJP213" s="575"/>
      <c r="AJQ213" s="575"/>
      <c r="AJR213" s="575"/>
      <c r="AJS213" s="575"/>
      <c r="AJT213" s="575"/>
      <c r="AJU213" s="575"/>
      <c r="AJV213" s="575"/>
      <c r="AJW213" s="575"/>
      <c r="AJX213" s="575"/>
      <c r="AJY213" s="575"/>
      <c r="AJZ213" s="575"/>
      <c r="AKA213" s="575"/>
      <c r="AKB213" s="575"/>
      <c r="AKC213" s="575"/>
      <c r="AKD213" s="575"/>
      <c r="AKE213" s="575"/>
      <c r="AKF213" s="575"/>
      <c r="AKG213" s="575"/>
      <c r="AKH213" s="575"/>
      <c r="AKI213" s="575"/>
      <c r="AKJ213" s="575"/>
      <c r="AKK213" s="575"/>
      <c r="AKL213" s="575"/>
      <c r="AKM213" s="575"/>
      <c r="AKN213" s="575"/>
      <c r="AKO213" s="575"/>
      <c r="AKP213" s="575"/>
      <c r="AKQ213" s="575"/>
      <c r="AKR213" s="575"/>
      <c r="AKS213" s="575"/>
      <c r="AKT213" s="575"/>
      <c r="AKU213" s="575"/>
      <c r="AKV213" s="575"/>
      <c r="AKW213" s="575"/>
      <c r="AKX213" s="575"/>
      <c r="AKY213" s="575"/>
      <c r="AKZ213" s="575"/>
      <c r="ALA213" s="575"/>
      <c r="ALB213" s="575"/>
      <c r="ALC213" s="575"/>
      <c r="ALD213" s="575"/>
      <c r="ALE213" s="575"/>
      <c r="ALF213" s="575"/>
      <c r="ALG213" s="575"/>
      <c r="ALH213" s="575"/>
      <c r="ALI213" s="575"/>
      <c r="ALJ213" s="575"/>
      <c r="ALK213" s="575"/>
      <c r="ALL213" s="575"/>
      <c r="ALM213" s="575"/>
      <c r="ALN213" s="575"/>
      <c r="ALO213" s="575"/>
      <c r="ALP213" s="575"/>
      <c r="ALQ213" s="575"/>
      <c r="ALR213" s="575"/>
      <c r="ALS213" s="575"/>
      <c r="ALT213" s="575"/>
      <c r="ALU213" s="575"/>
      <c r="ALV213" s="575"/>
      <c r="ALW213" s="575"/>
      <c r="ALX213" s="575"/>
      <c r="ALY213" s="575"/>
      <c r="ALZ213" s="575"/>
      <c r="AMA213" s="575"/>
      <c r="AMB213" s="575"/>
      <c r="AMC213" s="575"/>
      <c r="AMD213" s="575"/>
      <c r="AME213" s="575"/>
      <c r="AMF213" s="575"/>
      <c r="AMG213" s="575"/>
      <c r="AMH213" s="575"/>
      <c r="AMI213" s="575"/>
      <c r="AMJ213" s="575"/>
      <c r="AMK213" s="575"/>
      <c r="AML213" s="575"/>
      <c r="AMM213" s="575"/>
      <c r="AMN213" s="575"/>
      <c r="AMO213" s="575"/>
      <c r="AMP213" s="575"/>
      <c r="AMQ213" s="575"/>
      <c r="AMR213" s="575"/>
      <c r="AMS213" s="575"/>
      <c r="AMT213" s="575"/>
      <c r="AMU213" s="575"/>
      <c r="AMV213" s="575"/>
      <c r="AMW213" s="575"/>
      <c r="AMX213" s="575"/>
      <c r="AMY213" s="575"/>
      <c r="AMZ213" s="575"/>
      <c r="ANA213" s="575"/>
      <c r="ANB213" s="575"/>
      <c r="ANC213" s="575"/>
      <c r="AND213" s="575"/>
      <c r="ANE213" s="575"/>
      <c r="ANF213" s="575"/>
      <c r="ANG213" s="575"/>
      <c r="ANH213" s="575"/>
      <c r="ANI213" s="575"/>
      <c r="ANJ213" s="575"/>
      <c r="ANK213" s="575"/>
      <c r="ANL213" s="575"/>
      <c r="ANM213" s="575"/>
      <c r="ANN213" s="575"/>
      <c r="ANO213" s="575"/>
      <c r="ANP213" s="575"/>
      <c r="ANQ213" s="575"/>
      <c r="ANR213" s="575"/>
      <c r="ANS213" s="575"/>
      <c r="ANT213" s="575"/>
      <c r="ANU213" s="575"/>
      <c r="ANV213" s="575"/>
      <c r="ANW213" s="575"/>
      <c r="ANX213" s="575"/>
      <c r="ANY213" s="575"/>
      <c r="ANZ213" s="575"/>
      <c r="AOA213" s="575"/>
      <c r="AOB213" s="575"/>
      <c r="AOC213" s="575"/>
      <c r="AOD213" s="575"/>
      <c r="AOE213" s="575"/>
      <c r="AOF213" s="575"/>
      <c r="AOG213" s="575"/>
      <c r="AOH213" s="575"/>
      <c r="AOI213" s="575"/>
      <c r="AOJ213" s="575"/>
      <c r="AOK213" s="575"/>
      <c r="AOL213" s="575"/>
      <c r="AOM213" s="575"/>
      <c r="AON213" s="575"/>
      <c r="AOO213" s="575"/>
      <c r="AOP213" s="575"/>
      <c r="AOQ213" s="575"/>
      <c r="AOR213" s="575"/>
      <c r="AOS213" s="575"/>
      <c r="AOT213" s="575"/>
      <c r="AOU213" s="575"/>
      <c r="AOV213" s="575"/>
      <c r="AOW213" s="575"/>
      <c r="AOX213" s="575"/>
      <c r="AOY213" s="575"/>
      <c r="AOZ213" s="575"/>
      <c r="APA213" s="575"/>
      <c r="APB213" s="575"/>
      <c r="APC213" s="575"/>
      <c r="APD213" s="575"/>
      <c r="APE213" s="575"/>
      <c r="APF213" s="575"/>
      <c r="APG213" s="575"/>
      <c r="APH213" s="575"/>
      <c r="API213" s="575"/>
      <c r="APJ213" s="575"/>
      <c r="APK213" s="575"/>
      <c r="APL213" s="575"/>
      <c r="APM213" s="575"/>
      <c r="APN213" s="575"/>
      <c r="APO213" s="575"/>
      <c r="APP213" s="575"/>
      <c r="APQ213" s="575"/>
      <c r="APR213" s="575"/>
      <c r="APS213" s="575"/>
      <c r="APT213" s="575"/>
      <c r="APU213" s="575"/>
      <c r="APV213" s="575"/>
      <c r="APW213" s="575"/>
      <c r="APX213" s="575"/>
      <c r="APY213" s="575"/>
      <c r="APZ213" s="575"/>
      <c r="AQA213" s="575"/>
      <c r="AQB213" s="575"/>
      <c r="AQC213" s="575"/>
      <c r="AQD213" s="575"/>
      <c r="AQE213" s="575"/>
      <c r="AQF213" s="575"/>
      <c r="AQG213" s="575"/>
      <c r="AQH213" s="575"/>
      <c r="AQI213" s="575"/>
      <c r="AQJ213" s="575"/>
      <c r="AQK213" s="575"/>
      <c r="AQL213" s="575"/>
      <c r="AQM213" s="575"/>
      <c r="AQN213" s="575"/>
      <c r="AQO213" s="575"/>
      <c r="AQP213" s="575"/>
      <c r="AQQ213" s="575"/>
      <c r="AQR213" s="575"/>
      <c r="AQS213" s="575"/>
      <c r="AQT213" s="575"/>
      <c r="AQU213" s="575"/>
      <c r="AQV213" s="575"/>
      <c r="AQW213" s="575"/>
      <c r="AQX213" s="575"/>
      <c r="AQY213" s="575"/>
      <c r="AQZ213" s="575"/>
      <c r="ARA213" s="575"/>
      <c r="ARB213" s="575"/>
      <c r="ARC213" s="575"/>
      <c r="ARD213" s="575"/>
      <c r="ARE213" s="575"/>
      <c r="ARF213" s="575"/>
      <c r="ARG213" s="575"/>
      <c r="ARH213" s="575"/>
      <c r="ARI213" s="575"/>
      <c r="ARJ213" s="575"/>
      <c r="ARK213" s="575"/>
      <c r="ARL213" s="575"/>
      <c r="ARM213" s="575"/>
      <c r="ARN213" s="575"/>
      <c r="ARO213" s="575"/>
      <c r="ARP213" s="575"/>
      <c r="ARQ213" s="575"/>
      <c r="ARR213" s="575"/>
      <c r="ARS213" s="575"/>
      <c r="ART213" s="575"/>
      <c r="ARU213" s="575"/>
      <c r="ARV213" s="575"/>
      <c r="ARW213" s="575"/>
      <c r="ARX213" s="575"/>
      <c r="ARY213" s="575"/>
      <c r="ARZ213" s="575"/>
      <c r="ASA213" s="575"/>
      <c r="ASB213" s="575"/>
      <c r="ASC213" s="575"/>
      <c r="ASD213" s="575"/>
      <c r="ASE213" s="575"/>
      <c r="ASF213" s="575"/>
      <c r="ASG213" s="575"/>
      <c r="ASH213" s="575"/>
      <c r="ASI213" s="575"/>
      <c r="ASJ213" s="575"/>
      <c r="ASK213" s="575"/>
      <c r="ASL213" s="575"/>
      <c r="ASM213" s="575"/>
      <c r="ASN213" s="575"/>
      <c r="ASO213" s="575"/>
      <c r="ASP213" s="575"/>
      <c r="ASQ213" s="575"/>
      <c r="ASR213" s="575"/>
      <c r="ASS213" s="575"/>
      <c r="AST213" s="575"/>
      <c r="ASU213" s="575"/>
      <c r="ASV213" s="575"/>
      <c r="ASW213" s="575"/>
      <c r="ASX213" s="575"/>
      <c r="ASY213" s="575"/>
      <c r="ASZ213" s="575"/>
      <c r="ATA213" s="575"/>
      <c r="ATB213" s="575"/>
      <c r="ATC213" s="575"/>
      <c r="ATD213" s="575"/>
      <c r="ATE213" s="575"/>
      <c r="ATF213" s="575"/>
      <c r="ATG213" s="575"/>
      <c r="ATH213" s="575"/>
      <c r="ATI213" s="575"/>
      <c r="ATJ213" s="575"/>
      <c r="ATK213" s="575"/>
      <c r="ATL213" s="575"/>
      <c r="ATM213" s="575"/>
      <c r="ATN213" s="575"/>
      <c r="ATO213" s="575"/>
      <c r="ATP213" s="575"/>
      <c r="ATQ213" s="575"/>
      <c r="ATR213" s="575"/>
      <c r="ATS213" s="575"/>
      <c r="ATT213" s="575"/>
      <c r="ATU213" s="575"/>
      <c r="ATV213" s="575"/>
      <c r="ATW213" s="575"/>
      <c r="ATX213" s="575"/>
      <c r="ATY213" s="575"/>
      <c r="ATZ213" s="575"/>
      <c r="AUA213" s="575"/>
      <c r="AUB213" s="575"/>
      <c r="AUC213" s="575"/>
      <c r="AUD213" s="575"/>
      <c r="AUE213" s="575"/>
      <c r="AUF213" s="575"/>
      <c r="AUG213" s="575"/>
      <c r="AUH213" s="575"/>
      <c r="AUI213" s="575"/>
      <c r="AUJ213" s="575"/>
      <c r="AUK213" s="575"/>
      <c r="AUL213" s="575"/>
      <c r="AUM213" s="575"/>
      <c r="AUN213" s="575"/>
      <c r="AUO213" s="575"/>
      <c r="AUP213" s="575"/>
      <c r="AUQ213" s="575"/>
      <c r="AUR213" s="575"/>
      <c r="AUS213" s="575"/>
      <c r="AUT213" s="575"/>
      <c r="AUU213" s="575"/>
      <c r="AUV213" s="575"/>
      <c r="AUW213" s="575"/>
      <c r="AUX213" s="575"/>
      <c r="AUY213" s="575"/>
      <c r="AUZ213" s="575"/>
      <c r="AVA213" s="575"/>
      <c r="AVB213" s="575"/>
      <c r="AVC213" s="575"/>
      <c r="AVD213" s="575"/>
      <c r="AVE213" s="575"/>
      <c r="AVF213" s="575"/>
      <c r="AVG213" s="575"/>
      <c r="AVH213" s="575"/>
      <c r="AVI213" s="575"/>
      <c r="AVJ213" s="575"/>
      <c r="AVK213" s="575"/>
      <c r="AVL213" s="575"/>
      <c r="AVM213" s="575"/>
      <c r="AVN213" s="575"/>
      <c r="AVO213" s="575"/>
      <c r="AVP213" s="575"/>
      <c r="AVQ213" s="575"/>
      <c r="AVR213" s="575"/>
      <c r="AVS213" s="575"/>
      <c r="AVT213" s="575"/>
      <c r="AVU213" s="575"/>
      <c r="AVV213" s="575"/>
      <c r="AVW213" s="575"/>
      <c r="AVX213" s="575"/>
      <c r="AVY213" s="575"/>
      <c r="AVZ213" s="575"/>
      <c r="AWA213" s="575"/>
      <c r="AWB213" s="575"/>
      <c r="AWC213" s="575"/>
      <c r="AWD213" s="575"/>
      <c r="AWE213" s="575"/>
      <c r="AWF213" s="575"/>
      <c r="AWG213" s="575"/>
      <c r="AWH213" s="575"/>
      <c r="AWI213" s="575"/>
      <c r="AWJ213" s="575"/>
      <c r="AWK213" s="575"/>
      <c r="AWL213" s="575"/>
      <c r="AWM213" s="575"/>
      <c r="AWN213" s="575"/>
      <c r="AWO213" s="575"/>
      <c r="AWP213" s="575"/>
      <c r="AWQ213" s="575"/>
      <c r="AWR213" s="575"/>
      <c r="AWS213" s="575"/>
      <c r="AWT213" s="575"/>
      <c r="AWU213" s="575"/>
      <c r="AWV213" s="575"/>
      <c r="AWW213" s="575"/>
      <c r="AWX213" s="575"/>
      <c r="AWY213" s="575"/>
      <c r="AWZ213" s="575"/>
      <c r="AXA213" s="575"/>
      <c r="AXB213" s="575"/>
      <c r="AXC213" s="575"/>
      <c r="AXD213" s="575"/>
      <c r="AXE213" s="575"/>
      <c r="AXF213" s="575"/>
      <c r="AXG213" s="575"/>
      <c r="AXH213" s="575"/>
      <c r="AXI213" s="575"/>
      <c r="AXJ213" s="575"/>
      <c r="AXK213" s="575"/>
      <c r="AXL213" s="575"/>
      <c r="AXM213" s="575"/>
      <c r="AXN213" s="575"/>
      <c r="AXO213" s="575"/>
      <c r="AXP213" s="575"/>
      <c r="AXQ213" s="575"/>
      <c r="AXR213" s="575"/>
      <c r="AXS213" s="575"/>
      <c r="AXT213" s="575"/>
      <c r="AXU213" s="575"/>
      <c r="AXV213" s="575"/>
      <c r="AXW213" s="575"/>
      <c r="AXX213" s="575"/>
      <c r="AXY213" s="575"/>
      <c r="AXZ213" s="575"/>
      <c r="AYA213" s="575"/>
      <c r="AYB213" s="575"/>
      <c r="AYC213" s="575"/>
      <c r="AYD213" s="575"/>
      <c r="AYE213" s="575"/>
      <c r="AYF213" s="575"/>
      <c r="AYG213" s="575"/>
      <c r="AYH213" s="575"/>
      <c r="AYI213" s="575"/>
      <c r="AYJ213" s="575"/>
      <c r="AYK213" s="575"/>
      <c r="AYL213" s="575"/>
      <c r="AYM213" s="575"/>
      <c r="AYN213" s="575"/>
      <c r="AYO213" s="575"/>
      <c r="AYP213" s="575"/>
      <c r="AYQ213" s="575"/>
      <c r="AYR213" s="575"/>
      <c r="AYS213" s="575"/>
      <c r="AYT213" s="575"/>
      <c r="AYU213" s="575"/>
      <c r="AYV213" s="575"/>
      <c r="AYW213" s="575"/>
      <c r="AYX213" s="575"/>
      <c r="AYY213" s="575"/>
      <c r="AYZ213" s="575"/>
      <c r="AZA213" s="575"/>
      <c r="AZB213" s="575"/>
      <c r="AZC213" s="575"/>
      <c r="AZD213" s="575"/>
      <c r="AZE213" s="575"/>
      <c r="AZF213" s="575"/>
      <c r="AZG213" s="575"/>
      <c r="AZH213" s="575"/>
      <c r="AZI213" s="575"/>
      <c r="AZJ213" s="575"/>
      <c r="AZK213" s="575"/>
      <c r="AZL213" s="575"/>
      <c r="AZM213" s="575"/>
      <c r="AZN213" s="575"/>
      <c r="AZO213" s="575"/>
      <c r="AZP213" s="575"/>
      <c r="AZQ213" s="575"/>
      <c r="AZR213" s="575"/>
      <c r="AZS213" s="575"/>
      <c r="AZT213" s="575"/>
      <c r="AZU213" s="575"/>
      <c r="AZV213" s="575"/>
      <c r="AZW213" s="575"/>
      <c r="AZX213" s="575"/>
      <c r="AZY213" s="575"/>
      <c r="AZZ213" s="575"/>
      <c r="BAA213" s="575"/>
      <c r="BAB213" s="575"/>
      <c r="BAC213" s="575"/>
      <c r="BAD213" s="575"/>
      <c r="BAE213" s="575"/>
      <c r="BAF213" s="575"/>
      <c r="BAG213" s="575"/>
      <c r="BAH213" s="575"/>
      <c r="BAI213" s="575"/>
      <c r="BAJ213" s="575"/>
      <c r="BAK213" s="575"/>
      <c r="BAL213" s="575"/>
      <c r="BAM213" s="575"/>
      <c r="BAN213" s="575"/>
      <c r="BAO213" s="575"/>
      <c r="BAP213" s="575"/>
      <c r="BAQ213" s="575"/>
      <c r="BAR213" s="575"/>
      <c r="BAS213" s="575"/>
      <c r="BAT213" s="575"/>
      <c r="BAU213" s="575"/>
      <c r="BAV213" s="575"/>
      <c r="BAW213" s="575"/>
      <c r="BAX213" s="575"/>
      <c r="BAY213" s="575"/>
      <c r="BAZ213" s="575"/>
      <c r="BBA213" s="575"/>
      <c r="BBB213" s="575"/>
      <c r="BBC213" s="575"/>
      <c r="BBD213" s="575"/>
      <c r="BBE213" s="575"/>
      <c r="BBF213" s="575"/>
      <c r="BBG213" s="575"/>
      <c r="BBH213" s="575"/>
      <c r="BBI213" s="575"/>
      <c r="BBJ213" s="575"/>
      <c r="BBK213" s="575"/>
      <c r="BBL213" s="575"/>
      <c r="BBM213" s="575"/>
      <c r="BBN213" s="575"/>
      <c r="BBO213" s="575"/>
      <c r="BBP213" s="575"/>
      <c r="BBQ213" s="575"/>
      <c r="BBR213" s="575"/>
      <c r="BBS213" s="575"/>
      <c r="BBT213" s="575"/>
      <c r="BBU213" s="575"/>
      <c r="BBV213" s="575"/>
      <c r="BBW213" s="575"/>
      <c r="BBX213" s="575"/>
      <c r="BBY213" s="575"/>
      <c r="BBZ213" s="575"/>
      <c r="BCA213" s="575"/>
      <c r="BCB213" s="575"/>
      <c r="BCC213" s="575"/>
      <c r="BCD213" s="575"/>
      <c r="BCE213" s="575"/>
      <c r="BCF213" s="575"/>
      <c r="BCG213" s="575"/>
      <c r="BCH213" s="575"/>
      <c r="BCI213" s="575"/>
      <c r="BCJ213" s="575"/>
      <c r="BCK213" s="575"/>
      <c r="BCL213" s="575"/>
      <c r="BCM213" s="575"/>
      <c r="BCN213" s="575"/>
      <c r="BCO213" s="575"/>
      <c r="BCP213" s="575"/>
      <c r="BCQ213" s="575"/>
      <c r="BCR213" s="575"/>
      <c r="BCS213" s="575"/>
      <c r="BCT213" s="575"/>
      <c r="BCU213" s="575"/>
      <c r="BCV213" s="575"/>
      <c r="BCW213" s="575"/>
      <c r="BCX213" s="575"/>
      <c r="BCY213" s="575"/>
      <c r="BCZ213" s="575"/>
      <c r="BDA213" s="575"/>
      <c r="BDB213" s="575"/>
      <c r="BDC213" s="575"/>
      <c r="BDD213" s="575"/>
      <c r="BDE213" s="575"/>
      <c r="BDF213" s="575"/>
      <c r="BDG213" s="575"/>
      <c r="BDH213" s="575"/>
      <c r="BDI213" s="575"/>
      <c r="BDJ213" s="575"/>
      <c r="BDK213" s="575"/>
      <c r="BDL213" s="575"/>
      <c r="BDM213" s="575"/>
      <c r="BDN213" s="575"/>
      <c r="BDO213" s="575"/>
      <c r="BDP213" s="575"/>
      <c r="BDQ213" s="575"/>
      <c r="BDR213" s="575"/>
      <c r="BDS213" s="575"/>
      <c r="BDT213" s="575"/>
    </row>
    <row r="214" spans="1:1476" x14ac:dyDescent="0.25">
      <c r="A214" s="608">
        <v>5752</v>
      </c>
      <c r="B214" s="609" t="s">
        <v>280</v>
      </c>
      <c r="C214" s="610">
        <v>597798.06000000006</v>
      </c>
      <c r="D214" s="610">
        <v>92928.74</v>
      </c>
      <c r="E214" s="610"/>
      <c r="F214" s="611"/>
      <c r="G214" s="610">
        <v>4490.1000000000004</v>
      </c>
      <c r="H214" s="610">
        <v>-397.35</v>
      </c>
      <c r="I214" s="610"/>
      <c r="J214" s="610">
        <v>10304.99</v>
      </c>
      <c r="K214" s="610">
        <v>833.4</v>
      </c>
      <c r="L214" s="610">
        <v>43556.4</v>
      </c>
      <c r="M214" s="434">
        <f t="shared" si="12"/>
        <v>749514.34000000008</v>
      </c>
      <c r="N214" s="612">
        <v>34274.050000000003</v>
      </c>
      <c r="O214" s="612">
        <v>3861</v>
      </c>
      <c r="P214" s="612">
        <v>11165</v>
      </c>
      <c r="Q214" s="612">
        <v>1915.96</v>
      </c>
      <c r="R214" s="612">
        <v>15651</v>
      </c>
      <c r="S214" s="610">
        <v>427.71</v>
      </c>
      <c r="T214" s="543">
        <f t="shared" si="13"/>
        <v>816809.06</v>
      </c>
      <c r="U214" s="575">
        <v>-7135.64</v>
      </c>
      <c r="V214" s="612"/>
      <c r="W214" s="612">
        <v>-8274.6</v>
      </c>
      <c r="X214" s="624">
        <v>74</v>
      </c>
      <c r="Y214" s="631">
        <v>0.7</v>
      </c>
      <c r="Z214" s="628">
        <f>VLOOKUP(A214,'[2]2022 toutes communes'!$B$9:$D$317,3,FALSE)</f>
        <v>386</v>
      </c>
      <c r="AA214" s="617"/>
      <c r="AB214" s="618">
        <v>31589</v>
      </c>
      <c r="AC214" s="547">
        <f>AB214/VPI!R214</f>
        <v>3.0956696974054614</v>
      </c>
      <c r="AD214" s="548">
        <f t="shared" si="14"/>
        <v>311624</v>
      </c>
      <c r="AE214" s="547">
        <f>AD214/VPI!R214</f>
        <v>30.538636037363624</v>
      </c>
      <c r="AF214" s="618">
        <v>343213</v>
      </c>
      <c r="AG214" s="618">
        <v>46594</v>
      </c>
      <c r="AH214" s="618">
        <v>36694</v>
      </c>
      <c r="AI214" s="637"/>
      <c r="AJ214" s="628">
        <v>0</v>
      </c>
      <c r="AK214" s="547">
        <f>AJ214/VPI!R214</f>
        <v>0</v>
      </c>
      <c r="AL214" s="548">
        <f t="shared" si="15"/>
        <v>9612</v>
      </c>
      <c r="AM214" s="547">
        <f>AL214/VPI!R214</f>
        <v>0.94196008520248486</v>
      </c>
      <c r="AN214" s="628">
        <v>9612</v>
      </c>
      <c r="AO214" s="637"/>
      <c r="AP214" s="629">
        <v>5.0132910192430282</v>
      </c>
      <c r="AR214" s="630">
        <v>0</v>
      </c>
    </row>
    <row r="215" spans="1:1476" x14ac:dyDescent="0.25">
      <c r="A215" s="608">
        <v>5754</v>
      </c>
      <c r="B215" s="609" t="s">
        <v>281</v>
      </c>
      <c r="C215" s="610">
        <v>556707.68999999994</v>
      </c>
      <c r="D215" s="610">
        <v>70791.69</v>
      </c>
      <c r="E215" s="610"/>
      <c r="F215" s="611"/>
      <c r="G215" s="610">
        <v>1707.15</v>
      </c>
      <c r="H215" s="610">
        <v>675.2</v>
      </c>
      <c r="I215" s="610"/>
      <c r="J215" s="610">
        <v>-869.9</v>
      </c>
      <c r="K215" s="610">
        <v>2099.5</v>
      </c>
      <c r="L215" s="610">
        <v>47895.1</v>
      </c>
      <c r="M215" s="434">
        <f t="shared" si="12"/>
        <v>679006.42999999982</v>
      </c>
      <c r="N215" s="612">
        <v>0</v>
      </c>
      <c r="O215" s="612">
        <v>219315.4</v>
      </c>
      <c r="P215" s="612">
        <v>37180</v>
      </c>
      <c r="Q215" s="612">
        <v>3104.67</v>
      </c>
      <c r="R215" s="612">
        <v>68617</v>
      </c>
      <c r="S215" s="610">
        <v>248.97</v>
      </c>
      <c r="T215" s="543">
        <f t="shared" si="13"/>
        <v>1007472.4699999999</v>
      </c>
      <c r="U215" s="575">
        <v>-248.65</v>
      </c>
      <c r="V215" s="612"/>
      <c r="W215" s="612">
        <v>-84.8</v>
      </c>
      <c r="X215" s="624">
        <v>79</v>
      </c>
      <c r="Y215" s="631">
        <v>1</v>
      </c>
      <c r="Z215" s="628">
        <f>VLOOKUP(A215,'[2]2022 toutes communes'!$B$9:$D$317,3,FALSE)</f>
        <v>346</v>
      </c>
      <c r="AA215" s="617"/>
      <c r="AB215" s="618">
        <v>23701</v>
      </c>
      <c r="AC215" s="547">
        <f>AB215/VPI!R215</f>
        <v>2.745316597759778</v>
      </c>
      <c r="AD215" s="548">
        <f t="shared" si="14"/>
        <v>35381</v>
      </c>
      <c r="AE215" s="547">
        <f>AD215/VPI!R215</f>
        <v>4.0982256674966751</v>
      </c>
      <c r="AF215" s="618">
        <v>59082</v>
      </c>
      <c r="AG215" s="618">
        <v>16630</v>
      </c>
      <c r="AH215" s="618">
        <v>36439</v>
      </c>
      <c r="AI215" s="637"/>
      <c r="AJ215" s="628">
        <v>0</v>
      </c>
      <c r="AK215" s="547">
        <f>AJ215/VPI!R215</f>
        <v>0</v>
      </c>
      <c r="AL215" s="548">
        <f t="shared" si="15"/>
        <v>-41430</v>
      </c>
      <c r="AM215" s="547">
        <f>AL215/VPI!R215</f>
        <v>-4.7988889348629842</v>
      </c>
      <c r="AN215" s="628">
        <v>-41430</v>
      </c>
      <c r="AO215" s="637"/>
      <c r="AP215" s="629">
        <v>4.7339596785839424</v>
      </c>
      <c r="AR215" s="630">
        <v>0</v>
      </c>
    </row>
    <row r="216" spans="1:1476" x14ac:dyDescent="0.25">
      <c r="A216" s="608">
        <v>5755</v>
      </c>
      <c r="B216" s="609" t="s">
        <v>282</v>
      </c>
      <c r="C216" s="610">
        <v>698586.18</v>
      </c>
      <c r="D216" s="610">
        <v>79118.05</v>
      </c>
      <c r="E216" s="610"/>
      <c r="F216" s="611">
        <v>2180</v>
      </c>
      <c r="G216" s="610">
        <v>14538.85</v>
      </c>
      <c r="H216" s="610">
        <v>604.79999999999995</v>
      </c>
      <c r="I216" s="610"/>
      <c r="J216" s="610">
        <v>9770.36</v>
      </c>
      <c r="K216" s="610">
        <v>411.1</v>
      </c>
      <c r="L216" s="610">
        <v>45190.400000000001</v>
      </c>
      <c r="M216" s="434">
        <f t="shared" si="12"/>
        <v>850399.74000000011</v>
      </c>
      <c r="N216" s="612">
        <v>50773.55</v>
      </c>
      <c r="O216" s="612"/>
      <c r="P216" s="612">
        <v>32168.45</v>
      </c>
      <c r="Q216" s="612">
        <v>1010.9</v>
      </c>
      <c r="R216" s="612">
        <v>40956.5</v>
      </c>
      <c r="S216" s="610">
        <v>1582.59</v>
      </c>
      <c r="T216" s="543">
        <f t="shared" si="13"/>
        <v>976891.7300000001</v>
      </c>
      <c r="U216" s="575">
        <v>-15066.55</v>
      </c>
      <c r="V216" s="612"/>
      <c r="W216" s="612">
        <v>0</v>
      </c>
      <c r="X216" s="624">
        <v>78.5</v>
      </c>
      <c r="Y216" s="631">
        <v>0.7</v>
      </c>
      <c r="Z216" s="628">
        <f>VLOOKUP(A216,'[2]2022 toutes communes'!$B$9:$D$317,3,FALSE)</f>
        <v>447</v>
      </c>
      <c r="AA216" s="617"/>
      <c r="AB216" s="618">
        <v>19847</v>
      </c>
      <c r="AC216" s="547">
        <f>AB216/VPI!R216</f>
        <v>1.8173339722251241</v>
      </c>
      <c r="AD216" s="548">
        <f t="shared" si="14"/>
        <v>135501</v>
      </c>
      <c r="AE216" s="547">
        <f>AD216/VPI!R216</f>
        <v>12.407445486495519</v>
      </c>
      <c r="AF216" s="618">
        <v>155348</v>
      </c>
      <c r="AG216" s="618">
        <v>19546</v>
      </c>
      <c r="AH216" s="618">
        <v>50199</v>
      </c>
      <c r="AI216" s="637"/>
      <c r="AJ216" s="628">
        <v>0</v>
      </c>
      <c r="AK216" s="547">
        <f>AJ216/VPI!R216</f>
        <v>0</v>
      </c>
      <c r="AL216" s="548">
        <f t="shared" si="15"/>
        <v>36724</v>
      </c>
      <c r="AM216" s="547">
        <f>AL216/VPI!R216</f>
        <v>3.362713397289034</v>
      </c>
      <c r="AN216" s="628">
        <v>36724</v>
      </c>
      <c r="AO216" s="637"/>
      <c r="AP216" s="629">
        <v>5.3905977718009375</v>
      </c>
      <c r="AR216" s="630">
        <v>0</v>
      </c>
    </row>
    <row r="217" spans="1:1476" x14ac:dyDescent="0.25">
      <c r="A217" s="608">
        <v>5756</v>
      </c>
      <c r="B217" s="609" t="s">
        <v>283</v>
      </c>
      <c r="C217" s="610">
        <v>917350.05</v>
      </c>
      <c r="D217" s="610">
        <v>216263.84</v>
      </c>
      <c r="E217" s="610"/>
      <c r="F217" s="611"/>
      <c r="G217" s="610">
        <v>31264.400000000001</v>
      </c>
      <c r="H217" s="610">
        <v>268.5</v>
      </c>
      <c r="I217" s="610"/>
      <c r="J217" s="610">
        <v>15427.63</v>
      </c>
      <c r="K217" s="610">
        <v>786.4</v>
      </c>
      <c r="L217" s="610">
        <v>89065.2</v>
      </c>
      <c r="M217" s="434">
        <f t="shared" si="12"/>
        <v>1270426.0199999998</v>
      </c>
      <c r="N217" s="612">
        <v>11823.3</v>
      </c>
      <c r="O217" s="612">
        <v>7192.5</v>
      </c>
      <c r="P217" s="612">
        <v>484</v>
      </c>
      <c r="Q217" s="612"/>
      <c r="R217" s="612">
        <v>11649.75</v>
      </c>
      <c r="S217" s="610">
        <v>3295.35</v>
      </c>
      <c r="T217" s="543">
        <f t="shared" si="13"/>
        <v>1304870.92</v>
      </c>
      <c r="U217" s="575">
        <v>-13476.54</v>
      </c>
      <c r="V217" s="612"/>
      <c r="W217" s="612">
        <v>0</v>
      </c>
      <c r="X217" s="624">
        <v>72</v>
      </c>
      <c r="Y217" s="631">
        <v>1</v>
      </c>
      <c r="Z217" s="628">
        <f>VLOOKUP(A217,'[2]2022 toutes communes'!$B$9:$D$317,3,FALSE)</f>
        <v>496</v>
      </c>
      <c r="AA217" s="617"/>
      <c r="AB217" s="618">
        <v>53381</v>
      </c>
      <c r="AC217" s="547">
        <f>AB217/VPI!R217</f>
        <v>3.0497502616217838</v>
      </c>
      <c r="AD217" s="548">
        <f t="shared" si="14"/>
        <v>68748</v>
      </c>
      <c r="AE217" s="547">
        <f>AD217/VPI!R217</f>
        <v>3.9276939545151723</v>
      </c>
      <c r="AF217" s="618">
        <v>122129</v>
      </c>
      <c r="AG217" s="618">
        <v>35985</v>
      </c>
      <c r="AH217" s="618">
        <v>55975</v>
      </c>
      <c r="AI217" s="637"/>
      <c r="AJ217" s="628"/>
      <c r="AK217" s="547">
        <f>AJ217/VPI!R217</f>
        <v>0</v>
      </c>
      <c r="AL217" s="548">
        <f t="shared" si="15"/>
        <v>9648</v>
      </c>
      <c r="AM217" s="547">
        <f>AL217/VPI!R217</f>
        <v>0.55120718090944287</v>
      </c>
      <c r="AN217" s="628">
        <v>9648</v>
      </c>
      <c r="AO217" s="637"/>
      <c r="AP217" s="629">
        <v>19.674151220552261</v>
      </c>
      <c r="AR217" s="630">
        <v>1</v>
      </c>
    </row>
    <row r="218" spans="1:1476" x14ac:dyDescent="0.25">
      <c r="A218" s="608">
        <v>5757</v>
      </c>
      <c r="B218" s="609" t="s">
        <v>284</v>
      </c>
      <c r="C218" s="610">
        <v>11736132.34</v>
      </c>
      <c r="D218" s="610">
        <v>1136813.9099999999</v>
      </c>
      <c r="E218" s="610"/>
      <c r="F218" s="611"/>
      <c r="G218" s="610">
        <v>1271666.6499999999</v>
      </c>
      <c r="H218" s="610">
        <v>89602.8</v>
      </c>
      <c r="I218" s="610"/>
      <c r="J218" s="610">
        <v>567394.02</v>
      </c>
      <c r="K218" s="610">
        <v>66398.850000000006</v>
      </c>
      <c r="L218" s="610">
        <v>1511985.85</v>
      </c>
      <c r="M218" s="434">
        <f t="shared" si="12"/>
        <v>16379994.42</v>
      </c>
      <c r="N218" s="612">
        <v>3330927</v>
      </c>
      <c r="O218" s="612">
        <v>95915.3</v>
      </c>
      <c r="P218" s="612">
        <v>754340.4</v>
      </c>
      <c r="Q218" s="612">
        <v>111662.76</v>
      </c>
      <c r="R218" s="612">
        <v>678210.5</v>
      </c>
      <c r="S218" s="610">
        <v>142259.65</v>
      </c>
      <c r="T218" s="543">
        <f t="shared" si="13"/>
        <v>21493310.030000001</v>
      </c>
      <c r="U218" s="575">
        <v>-191657.92</v>
      </c>
      <c r="V218" s="612"/>
      <c r="W218" s="612">
        <v>-1222.68</v>
      </c>
      <c r="X218" s="624">
        <v>75.5</v>
      </c>
      <c r="Y218" s="631">
        <v>1</v>
      </c>
      <c r="Z218" s="628">
        <f>VLOOKUP(A218,'[2]2022 toutes communes'!$B$9:$D$317,3,FALSE)</f>
        <v>7617</v>
      </c>
      <c r="AA218" s="617"/>
      <c r="AB218" s="618">
        <v>804683</v>
      </c>
      <c r="AC218" s="547">
        <f>AB218/VPI!R218</f>
        <v>3.69523950012</v>
      </c>
      <c r="AD218" s="548">
        <f t="shared" si="14"/>
        <v>1808713</v>
      </c>
      <c r="AE218" s="547">
        <f>AD218/VPI!R218</f>
        <v>8.3059139089312755</v>
      </c>
      <c r="AF218" s="618">
        <v>2613396</v>
      </c>
      <c r="AG218" s="618">
        <v>1024263</v>
      </c>
      <c r="AH218" s="618">
        <v>834151</v>
      </c>
      <c r="AI218" s="637"/>
      <c r="AJ218" s="628">
        <v>0</v>
      </c>
      <c r="AK218" s="547">
        <f>AJ218/VPI!R218</f>
        <v>0</v>
      </c>
      <c r="AL218" s="548">
        <f t="shared" si="15"/>
        <v>100036</v>
      </c>
      <c r="AM218" s="547">
        <f>AL218/VPI!R218</f>
        <v>0.45938211523544586</v>
      </c>
      <c r="AN218" s="628">
        <v>100036</v>
      </c>
      <c r="AO218" s="637"/>
      <c r="AP218" s="629">
        <v>-0.50118151635812336</v>
      </c>
      <c r="AR218" s="630">
        <v>1</v>
      </c>
    </row>
    <row r="219" spans="1:1476" x14ac:dyDescent="0.25">
      <c r="A219" s="608">
        <v>5758</v>
      </c>
      <c r="B219" s="609" t="s">
        <v>192</v>
      </c>
      <c r="C219" s="610">
        <v>293747.44</v>
      </c>
      <c r="D219" s="610">
        <v>34308.65</v>
      </c>
      <c r="E219" s="610"/>
      <c r="F219" s="611"/>
      <c r="G219" s="610">
        <v>1834.15</v>
      </c>
      <c r="H219" s="610">
        <v>957.15</v>
      </c>
      <c r="I219" s="610"/>
      <c r="J219" s="610">
        <v>13593.09</v>
      </c>
      <c r="K219" s="610"/>
      <c r="L219" s="610">
        <v>31353.200000000001</v>
      </c>
      <c r="M219" s="434">
        <f t="shared" si="12"/>
        <v>375793.68000000011</v>
      </c>
      <c r="N219" s="612">
        <v>497.55</v>
      </c>
      <c r="O219" s="612"/>
      <c r="P219" s="612">
        <v>2090</v>
      </c>
      <c r="Q219" s="612"/>
      <c r="R219" s="612"/>
      <c r="S219" s="610">
        <v>291.70999999999998</v>
      </c>
      <c r="T219" s="543">
        <f t="shared" si="13"/>
        <v>378672.94000000012</v>
      </c>
      <c r="U219" s="575">
        <v>-2515.2600000000002</v>
      </c>
      <c r="V219" s="612"/>
      <c r="W219" s="612">
        <v>-9.25</v>
      </c>
      <c r="X219" s="624">
        <v>83</v>
      </c>
      <c r="Y219" s="631">
        <v>1</v>
      </c>
      <c r="Z219" s="628">
        <f>VLOOKUP(A219,'[2]2022 toutes communes'!$B$9:$D$317,3,FALSE)</f>
        <v>183</v>
      </c>
      <c r="AA219" s="617"/>
      <c r="AB219" s="618">
        <v>25519</v>
      </c>
      <c r="AC219" s="547">
        <f>AB219/VPI!R219</f>
        <v>5.6699646922343669</v>
      </c>
      <c r="AD219" s="548">
        <f t="shared" si="14"/>
        <v>69661</v>
      </c>
      <c r="AE219" s="547">
        <f>AD219/VPI!R219</f>
        <v>15.477699377943425</v>
      </c>
      <c r="AF219" s="618">
        <v>95180</v>
      </c>
      <c r="AG219" s="618">
        <v>8698</v>
      </c>
      <c r="AH219" s="618">
        <v>20309</v>
      </c>
      <c r="AI219" s="637"/>
      <c r="AJ219" s="628">
        <v>0</v>
      </c>
      <c r="AK219" s="547">
        <f>AJ219/VPI!R219</f>
        <v>0</v>
      </c>
      <c r="AL219" s="548">
        <f t="shared" si="15"/>
        <v>-18693</v>
      </c>
      <c r="AM219" s="547">
        <f>AL219/VPI!R219</f>
        <v>-4.1533230139087358</v>
      </c>
      <c r="AN219" s="628">
        <v>-18693</v>
      </c>
      <c r="AO219" s="637"/>
      <c r="AP219" s="629">
        <v>2.8283404123470066</v>
      </c>
      <c r="AR219" s="630">
        <v>0</v>
      </c>
    </row>
    <row r="220" spans="1:1476" x14ac:dyDescent="0.25">
      <c r="A220" s="608">
        <v>5759</v>
      </c>
      <c r="B220" s="609" t="s">
        <v>193</v>
      </c>
      <c r="C220" s="610">
        <v>356026.11</v>
      </c>
      <c r="D220" s="610">
        <v>58248.38</v>
      </c>
      <c r="E220" s="610"/>
      <c r="F220" s="611"/>
      <c r="G220" s="610">
        <v>1515.4</v>
      </c>
      <c r="H220" s="610">
        <v>230.85</v>
      </c>
      <c r="I220" s="610"/>
      <c r="J220" s="610">
        <v>1262.19</v>
      </c>
      <c r="K220" s="610">
        <v>242.95</v>
      </c>
      <c r="L220" s="610">
        <v>32163.7</v>
      </c>
      <c r="M220" s="434">
        <f t="shared" si="12"/>
        <v>449689.58</v>
      </c>
      <c r="N220" s="612">
        <v>4142.25</v>
      </c>
      <c r="O220" s="612"/>
      <c r="P220" s="612">
        <v>12761.6</v>
      </c>
      <c r="Q220" s="612">
        <v>4322.71</v>
      </c>
      <c r="R220" s="612">
        <v>28647.05</v>
      </c>
      <c r="S220" s="610">
        <v>182.49</v>
      </c>
      <c r="T220" s="543">
        <f t="shared" si="13"/>
        <v>499745.68</v>
      </c>
      <c r="U220" s="575">
        <v>-3557.01</v>
      </c>
      <c r="V220" s="612"/>
      <c r="W220" s="612">
        <v>-105.9</v>
      </c>
      <c r="X220" s="624">
        <v>79.5</v>
      </c>
      <c r="Y220" s="631">
        <v>1</v>
      </c>
      <c r="Z220" s="628">
        <f>VLOOKUP(A220,'[2]2022 toutes communes'!$B$9:$D$317,3,FALSE)</f>
        <v>236</v>
      </c>
      <c r="AA220" s="617"/>
      <c r="AB220" s="618">
        <v>33145</v>
      </c>
      <c r="AC220" s="547">
        <f>AB220/VPI!R220</f>
        <v>5.8487038885839526</v>
      </c>
      <c r="AD220" s="548">
        <f t="shared" si="14"/>
        <v>18348</v>
      </c>
      <c r="AE220" s="547">
        <f>AD220/VPI!R220</f>
        <v>3.2376533096315696</v>
      </c>
      <c r="AF220" s="618">
        <v>51493</v>
      </c>
      <c r="AG220" s="618">
        <v>11087</v>
      </c>
      <c r="AH220" s="618">
        <v>30181</v>
      </c>
      <c r="AI220" s="637"/>
      <c r="AJ220" s="628">
        <v>0</v>
      </c>
      <c r="AK220" s="547">
        <f>AJ220/VPI!R220</f>
        <v>0</v>
      </c>
      <c r="AL220" s="548">
        <f t="shared" si="15"/>
        <v>-83828</v>
      </c>
      <c r="AM220" s="547">
        <f>AL220/VPI!R220</f>
        <v>-14.79213002178958</v>
      </c>
      <c r="AN220" s="628">
        <v>-83828</v>
      </c>
      <c r="AO220" s="637"/>
      <c r="AP220" s="629">
        <v>3.1585665605747488</v>
      </c>
      <c r="AR220" s="630">
        <v>0</v>
      </c>
    </row>
    <row r="221" spans="1:1476" x14ac:dyDescent="0.25">
      <c r="A221" s="608">
        <v>5760</v>
      </c>
      <c r="B221" s="609" t="s">
        <v>194</v>
      </c>
      <c r="C221" s="610">
        <v>1066111.51</v>
      </c>
      <c r="D221" s="610">
        <v>82117.240000000005</v>
      </c>
      <c r="E221" s="610"/>
      <c r="F221" s="611"/>
      <c r="G221" s="610">
        <v>3367.3</v>
      </c>
      <c r="H221" s="610">
        <v>2574.1</v>
      </c>
      <c r="I221" s="610"/>
      <c r="J221" s="610">
        <v>4161.78</v>
      </c>
      <c r="K221" s="610"/>
      <c r="L221" s="610">
        <v>127758</v>
      </c>
      <c r="M221" s="434">
        <f t="shared" si="12"/>
        <v>1286089.9300000002</v>
      </c>
      <c r="N221" s="612">
        <v>31918.75</v>
      </c>
      <c r="O221" s="612">
        <v>52726.1</v>
      </c>
      <c r="P221" s="612">
        <v>46745.599999999999</v>
      </c>
      <c r="Q221" s="612">
        <v>24041.63</v>
      </c>
      <c r="R221" s="612">
        <v>23275.599999999999</v>
      </c>
      <c r="S221" s="610">
        <v>620.91</v>
      </c>
      <c r="T221" s="543">
        <f t="shared" si="13"/>
        <v>1465418.5200000003</v>
      </c>
      <c r="U221" s="575">
        <v>-18801.09</v>
      </c>
      <c r="V221" s="612"/>
      <c r="W221" s="612">
        <v>-1747.1</v>
      </c>
      <c r="X221" s="624">
        <v>76.5</v>
      </c>
      <c r="Y221" s="631">
        <v>1.5</v>
      </c>
      <c r="Z221" s="628">
        <f>VLOOKUP(A221,'[2]2022 toutes communes'!$B$9:$D$317,3,FALSE)</f>
        <v>521</v>
      </c>
      <c r="AA221" s="617"/>
      <c r="AB221" s="618">
        <v>7960</v>
      </c>
      <c r="AC221" s="547">
        <f>AB221/VPI!R221</f>
        <v>0.48808197969013412</v>
      </c>
      <c r="AD221" s="548">
        <f t="shared" si="14"/>
        <v>169882</v>
      </c>
      <c r="AE221" s="547">
        <f>AD221/VPI!R221</f>
        <v>10.416625989160725</v>
      </c>
      <c r="AF221" s="618">
        <v>177842</v>
      </c>
      <c r="AG221" s="618">
        <v>36702</v>
      </c>
      <c r="AH221" s="618">
        <v>50467</v>
      </c>
      <c r="AI221" s="637"/>
      <c r="AJ221" s="628">
        <v>0</v>
      </c>
      <c r="AK221" s="547">
        <f>AJ221/VPI!R221</f>
        <v>0</v>
      </c>
      <c r="AL221" s="548">
        <f t="shared" si="15"/>
        <v>86579</v>
      </c>
      <c r="AM221" s="547">
        <f>AL221/VPI!R221</f>
        <v>5.30874996477288</v>
      </c>
      <c r="AN221" s="628">
        <v>86579</v>
      </c>
      <c r="AO221" s="637"/>
      <c r="AP221" s="629">
        <v>9.8276888365100525</v>
      </c>
      <c r="AR221" s="630">
        <v>0</v>
      </c>
    </row>
    <row r="222" spans="1:1476" x14ac:dyDescent="0.25">
      <c r="A222" s="608">
        <v>5761</v>
      </c>
      <c r="B222" s="609" t="s">
        <v>121</v>
      </c>
      <c r="C222" s="610">
        <v>932579.39</v>
      </c>
      <c r="D222" s="610">
        <v>131807.26</v>
      </c>
      <c r="E222" s="610"/>
      <c r="F222" s="611"/>
      <c r="G222" s="610">
        <v>1972.9</v>
      </c>
      <c r="H222" s="610">
        <v>1158.6500000000001</v>
      </c>
      <c r="I222" s="610"/>
      <c r="J222" s="610">
        <v>14530.58</v>
      </c>
      <c r="K222" s="610">
        <v>810.8</v>
      </c>
      <c r="L222" s="610">
        <v>99547.9</v>
      </c>
      <c r="M222" s="434">
        <f t="shared" si="12"/>
        <v>1182407.4799999997</v>
      </c>
      <c r="N222" s="612">
        <v>75342.05</v>
      </c>
      <c r="O222" s="612"/>
      <c r="P222" s="612">
        <v>31506.55</v>
      </c>
      <c r="Q222" s="612"/>
      <c r="R222" s="612">
        <v>19263.650000000001</v>
      </c>
      <c r="S222" s="610">
        <v>327.26</v>
      </c>
      <c r="T222" s="543">
        <f t="shared" si="13"/>
        <v>1308846.9899999998</v>
      </c>
      <c r="U222" s="575">
        <v>-6622.79</v>
      </c>
      <c r="V222" s="612"/>
      <c r="W222" s="612">
        <v>-32.03</v>
      </c>
      <c r="X222" s="624">
        <v>81</v>
      </c>
      <c r="Y222" s="631">
        <v>1.1000000000000001</v>
      </c>
      <c r="Z222" s="628">
        <f>VLOOKUP(A222,'[2]2022 toutes communes'!$B$9:$D$317,3,FALSE)</f>
        <v>559</v>
      </c>
      <c r="AA222" s="617"/>
      <c r="AB222" s="618">
        <v>5285</v>
      </c>
      <c r="AC222" s="547">
        <f>AB222/VPI!R222</f>
        <v>0.36681572823046632</v>
      </c>
      <c r="AD222" s="548">
        <f t="shared" si="14"/>
        <v>259183</v>
      </c>
      <c r="AE222" s="547">
        <f>AD222/VPI!R222</f>
        <v>17.98910139828892</v>
      </c>
      <c r="AF222" s="618">
        <v>264468</v>
      </c>
      <c r="AG222" s="618">
        <v>52663</v>
      </c>
      <c r="AH222" s="618">
        <v>53113</v>
      </c>
      <c r="AI222" s="637"/>
      <c r="AJ222" s="628">
        <v>0</v>
      </c>
      <c r="AK222" s="547">
        <f>AJ222/VPI!R222</f>
        <v>0</v>
      </c>
      <c r="AL222" s="548">
        <f t="shared" si="15"/>
        <v>10206</v>
      </c>
      <c r="AM222" s="547">
        <f>AL222/VPI!R222</f>
        <v>0.70836732683446335</v>
      </c>
      <c r="AN222" s="628">
        <v>10206</v>
      </c>
      <c r="AO222" s="637"/>
      <c r="AP222" s="629">
        <v>-2.3685105470659078</v>
      </c>
      <c r="AR222" s="630">
        <v>0</v>
      </c>
    </row>
    <row r="223" spans="1:1476" x14ac:dyDescent="0.25">
      <c r="A223" s="608">
        <v>5762</v>
      </c>
      <c r="B223" s="609" t="s">
        <v>122</v>
      </c>
      <c r="C223" s="610">
        <v>233190.13</v>
      </c>
      <c r="D223" s="610">
        <v>32413.61</v>
      </c>
      <c r="E223" s="610"/>
      <c r="F223" s="611"/>
      <c r="G223" s="610">
        <v>4515.5</v>
      </c>
      <c r="H223" s="610">
        <v>219.8</v>
      </c>
      <c r="I223" s="610"/>
      <c r="J223" s="610">
        <v>118.84</v>
      </c>
      <c r="K223" s="610">
        <v>-416.55</v>
      </c>
      <c r="L223" s="610">
        <v>21338.6</v>
      </c>
      <c r="M223" s="434">
        <f t="shared" si="12"/>
        <v>291379.93</v>
      </c>
      <c r="N223" s="612">
        <v>11860.15</v>
      </c>
      <c r="O223" s="612">
        <v>307.2</v>
      </c>
      <c r="P223" s="612">
        <v>5923.5</v>
      </c>
      <c r="Q223" s="612"/>
      <c r="R223" s="612"/>
      <c r="S223" s="610">
        <v>494.86</v>
      </c>
      <c r="T223" s="543">
        <f t="shared" si="13"/>
        <v>309965.64</v>
      </c>
      <c r="U223" s="575">
        <v>-41.65</v>
      </c>
      <c r="V223" s="612"/>
      <c r="W223" s="612">
        <v>0</v>
      </c>
      <c r="X223" s="624">
        <v>78</v>
      </c>
      <c r="Y223" s="631">
        <v>1</v>
      </c>
      <c r="Z223" s="628">
        <f>VLOOKUP(A223,'[2]2022 toutes communes'!$B$9:$D$317,3,FALSE)</f>
        <v>140</v>
      </c>
      <c r="AA223" s="617"/>
      <c r="AB223" s="618">
        <v>13679</v>
      </c>
      <c r="AC223" s="547">
        <f>AB223/VPI!R223</f>
        <v>3.6560686699255611</v>
      </c>
      <c r="AD223" s="548">
        <f t="shared" si="14"/>
        <v>48180</v>
      </c>
      <c r="AE223" s="547">
        <f>AD223/VPI!R223</f>
        <v>12.877358616639633</v>
      </c>
      <c r="AF223" s="618">
        <v>61859</v>
      </c>
      <c r="AG223" s="618">
        <v>6738</v>
      </c>
      <c r="AH223" s="618">
        <v>15210</v>
      </c>
      <c r="AI223" s="637"/>
      <c r="AJ223" s="628"/>
      <c r="AK223" s="547">
        <f>AJ223/VPI!R223</f>
        <v>0</v>
      </c>
      <c r="AL223" s="548">
        <f t="shared" si="15"/>
        <v>5655</v>
      </c>
      <c r="AM223" s="547">
        <f>AL223/VPI!R223</f>
        <v>1.5114458899355983</v>
      </c>
      <c r="AN223" s="628">
        <v>5655</v>
      </c>
      <c r="AO223" s="637"/>
      <c r="AP223" s="629">
        <v>7.5149836181393352</v>
      </c>
      <c r="AR223" s="630">
        <v>0</v>
      </c>
    </row>
    <row r="224" spans="1:1476" s="632" customFormat="1" x14ac:dyDescent="0.25">
      <c r="A224" s="608">
        <v>5763</v>
      </c>
      <c r="B224" s="609" t="s">
        <v>123</v>
      </c>
      <c r="C224" s="610">
        <v>1232066.53</v>
      </c>
      <c r="D224" s="610">
        <v>177129.32</v>
      </c>
      <c r="E224" s="610"/>
      <c r="F224" s="611">
        <v>3480</v>
      </c>
      <c r="G224" s="610">
        <v>31026.65</v>
      </c>
      <c r="H224" s="610">
        <v>1526.85</v>
      </c>
      <c r="I224" s="610"/>
      <c r="J224" s="610">
        <v>37540.949999999997</v>
      </c>
      <c r="K224" s="610">
        <v>4048.65</v>
      </c>
      <c r="L224" s="610">
        <v>92119</v>
      </c>
      <c r="M224" s="434">
        <f t="shared" si="12"/>
        <v>1578937.95</v>
      </c>
      <c r="N224" s="612">
        <v>28645.15</v>
      </c>
      <c r="O224" s="612"/>
      <c r="P224" s="612">
        <v>22840.15</v>
      </c>
      <c r="Q224" s="612">
        <v>2712.46</v>
      </c>
      <c r="R224" s="612"/>
      <c r="S224" s="610">
        <v>3402.01</v>
      </c>
      <c r="T224" s="543">
        <f t="shared" si="13"/>
        <v>1636537.7199999997</v>
      </c>
      <c r="U224" s="575">
        <v>-1635.89</v>
      </c>
      <c r="V224" s="612"/>
      <c r="W224" s="612">
        <v>-316.05</v>
      </c>
      <c r="X224" s="624">
        <v>71</v>
      </c>
      <c r="Y224" s="631">
        <v>1</v>
      </c>
      <c r="Z224" s="628">
        <f>VLOOKUP(A224,'[2]2022 toutes communes'!$B$9:$D$317,3,FALSE)</f>
        <v>606</v>
      </c>
      <c r="AA224" s="617"/>
      <c r="AB224" s="618">
        <v>20427</v>
      </c>
      <c r="AC224" s="547">
        <f>AB224/VPI!R224</f>
        <v>0.91612441428859903</v>
      </c>
      <c r="AD224" s="548">
        <f t="shared" si="14"/>
        <v>108006</v>
      </c>
      <c r="AE224" s="547">
        <f>AD224/VPI!R224</f>
        <v>4.8439287947155449</v>
      </c>
      <c r="AF224" s="618">
        <v>128433</v>
      </c>
      <c r="AG224" s="618">
        <v>44014</v>
      </c>
      <c r="AH224" s="618">
        <v>69691</v>
      </c>
      <c r="AI224" s="637"/>
      <c r="AJ224" s="628">
        <v>0</v>
      </c>
      <c r="AK224" s="547">
        <f>AJ224/VPI!R224</f>
        <v>0</v>
      </c>
      <c r="AL224" s="548">
        <f t="shared" si="15"/>
        <v>52390</v>
      </c>
      <c r="AM224" s="547">
        <f>AL224/VPI!R224</f>
        <v>2.3496234427267688</v>
      </c>
      <c r="AN224" s="628">
        <v>52390</v>
      </c>
      <c r="AO224" s="637"/>
      <c r="AP224" s="629">
        <v>21.729278245401929</v>
      </c>
      <c r="AQ224" s="575"/>
      <c r="AR224" s="630">
        <v>0</v>
      </c>
      <c r="AS224" s="575"/>
      <c r="AT224" s="575"/>
      <c r="AU224" s="575"/>
      <c r="AV224" s="575"/>
      <c r="AW224" s="575"/>
      <c r="AX224" s="575"/>
      <c r="AY224" s="575"/>
      <c r="AZ224" s="575"/>
      <c r="BA224" s="575"/>
      <c r="BB224" s="575"/>
      <c r="BC224" s="575"/>
      <c r="BD224" s="575"/>
      <c r="BE224" s="575"/>
      <c r="BF224" s="575"/>
      <c r="BG224" s="575"/>
      <c r="BH224" s="575"/>
      <c r="BI224" s="575"/>
      <c r="BJ224" s="575"/>
      <c r="BK224" s="575"/>
      <c r="BL224" s="575"/>
      <c r="BM224" s="575"/>
      <c r="BN224" s="575"/>
      <c r="BO224" s="575"/>
      <c r="BP224" s="575"/>
      <c r="BQ224" s="575"/>
      <c r="BR224" s="575"/>
      <c r="BS224" s="575"/>
      <c r="BT224" s="575"/>
      <c r="BU224" s="575"/>
      <c r="BV224" s="575"/>
      <c r="BW224" s="575"/>
      <c r="BX224" s="575"/>
      <c r="BY224" s="575"/>
      <c r="BZ224" s="575"/>
      <c r="CA224" s="575"/>
      <c r="CB224" s="575"/>
      <c r="CC224" s="575"/>
      <c r="CD224" s="575"/>
      <c r="CE224" s="575"/>
      <c r="CF224" s="575"/>
      <c r="CG224" s="575"/>
      <c r="CH224" s="575"/>
      <c r="CI224" s="575"/>
      <c r="CJ224" s="575"/>
      <c r="CK224" s="575"/>
      <c r="CL224" s="575"/>
      <c r="CM224" s="575"/>
      <c r="CN224" s="575"/>
      <c r="CO224" s="575"/>
      <c r="CP224" s="575"/>
      <c r="CQ224" s="575"/>
      <c r="CR224" s="575"/>
      <c r="CS224" s="575"/>
      <c r="CT224" s="575"/>
      <c r="CU224" s="575"/>
      <c r="CV224" s="575"/>
      <c r="CW224" s="575"/>
      <c r="CX224" s="575"/>
      <c r="CY224" s="575"/>
      <c r="CZ224" s="575"/>
      <c r="DA224" s="575"/>
      <c r="DB224" s="575"/>
      <c r="DC224" s="575"/>
      <c r="DD224" s="575"/>
      <c r="DE224" s="575"/>
      <c r="DF224" s="575"/>
      <c r="DG224" s="575"/>
      <c r="DH224" s="575"/>
      <c r="DI224" s="575"/>
      <c r="DJ224" s="575"/>
      <c r="DK224" s="575"/>
      <c r="DL224" s="575"/>
      <c r="DM224" s="575"/>
      <c r="DN224" s="575"/>
      <c r="DO224" s="575"/>
      <c r="DP224" s="575"/>
      <c r="DQ224" s="575"/>
      <c r="DR224" s="575"/>
      <c r="DS224" s="575"/>
      <c r="DT224" s="575"/>
      <c r="DU224" s="575"/>
      <c r="DV224" s="575"/>
      <c r="DW224" s="575"/>
      <c r="DX224" s="575"/>
      <c r="DY224" s="575"/>
      <c r="DZ224" s="575"/>
      <c r="EA224" s="575"/>
      <c r="EB224" s="575"/>
      <c r="EC224" s="575"/>
      <c r="ED224" s="575"/>
      <c r="EE224" s="575"/>
      <c r="EF224" s="575"/>
      <c r="EG224" s="575"/>
      <c r="EH224" s="575"/>
      <c r="EI224" s="575"/>
      <c r="EJ224" s="575"/>
      <c r="EK224" s="575"/>
      <c r="EL224" s="575"/>
      <c r="EM224" s="575"/>
      <c r="EN224" s="575"/>
      <c r="EO224" s="575"/>
      <c r="EP224" s="575"/>
      <c r="EQ224" s="575"/>
      <c r="ER224" s="575"/>
      <c r="ES224" s="575"/>
      <c r="ET224" s="575"/>
      <c r="EU224" s="575"/>
      <c r="EV224" s="575"/>
      <c r="EW224" s="575"/>
      <c r="EX224" s="575"/>
      <c r="EY224" s="575"/>
      <c r="EZ224" s="575"/>
      <c r="FA224" s="575"/>
      <c r="FB224" s="575"/>
      <c r="FC224" s="575"/>
      <c r="FD224" s="575"/>
      <c r="FE224" s="575"/>
      <c r="FF224" s="575"/>
      <c r="FG224" s="575"/>
      <c r="FH224" s="575"/>
      <c r="FI224" s="575"/>
      <c r="FJ224" s="575"/>
      <c r="FK224" s="575"/>
      <c r="FL224" s="575"/>
      <c r="FM224" s="575"/>
      <c r="FN224" s="575"/>
      <c r="FO224" s="575"/>
      <c r="FP224" s="575"/>
      <c r="FQ224" s="575"/>
      <c r="FR224" s="575"/>
      <c r="FS224" s="575"/>
      <c r="FT224" s="575"/>
      <c r="FU224" s="575"/>
      <c r="FV224" s="575"/>
      <c r="FW224" s="575"/>
      <c r="FX224" s="575"/>
      <c r="FY224" s="575"/>
      <c r="FZ224" s="575"/>
      <c r="GA224" s="575"/>
      <c r="GB224" s="575"/>
      <c r="GC224" s="575"/>
      <c r="GD224" s="575"/>
      <c r="GE224" s="575"/>
      <c r="GF224" s="575"/>
      <c r="GG224" s="575"/>
      <c r="GH224" s="575"/>
      <c r="GI224" s="575"/>
      <c r="GJ224" s="575"/>
      <c r="GK224" s="575"/>
      <c r="GL224" s="575"/>
      <c r="GM224" s="575"/>
      <c r="GN224" s="575"/>
      <c r="GO224" s="575"/>
      <c r="GP224" s="575"/>
      <c r="GQ224" s="575"/>
      <c r="GR224" s="575"/>
      <c r="GS224" s="575"/>
      <c r="GT224" s="575"/>
      <c r="GU224" s="575"/>
      <c r="GV224" s="575"/>
      <c r="GW224" s="575"/>
      <c r="GX224" s="575"/>
      <c r="GY224" s="575"/>
      <c r="GZ224" s="575"/>
      <c r="HA224" s="575"/>
      <c r="HB224" s="575"/>
      <c r="HC224" s="575"/>
      <c r="HD224" s="575"/>
      <c r="HE224" s="575"/>
      <c r="HF224" s="575"/>
      <c r="HG224" s="575"/>
      <c r="HH224" s="575"/>
      <c r="HI224" s="575"/>
      <c r="HJ224" s="575"/>
      <c r="HK224" s="575"/>
      <c r="HL224" s="575"/>
      <c r="HM224" s="575"/>
      <c r="HN224" s="575"/>
      <c r="HO224" s="575"/>
      <c r="HP224" s="575"/>
      <c r="HQ224" s="575"/>
      <c r="HR224" s="575"/>
      <c r="HS224" s="575"/>
      <c r="HT224" s="575"/>
      <c r="HU224" s="575"/>
      <c r="HV224" s="575"/>
      <c r="HW224" s="575"/>
      <c r="HX224" s="575"/>
      <c r="HY224" s="575"/>
      <c r="HZ224" s="575"/>
      <c r="IA224" s="575"/>
      <c r="IB224" s="575"/>
      <c r="IC224" s="575"/>
      <c r="ID224" s="575"/>
      <c r="IE224" s="575"/>
      <c r="IF224" s="575"/>
      <c r="IG224" s="575"/>
      <c r="IH224" s="575"/>
      <c r="II224" s="575"/>
      <c r="IJ224" s="575"/>
      <c r="IK224" s="575"/>
      <c r="IL224" s="575"/>
      <c r="IM224" s="575"/>
      <c r="IN224" s="575"/>
      <c r="IO224" s="575"/>
      <c r="IP224" s="575"/>
      <c r="IQ224" s="575"/>
      <c r="IR224" s="575"/>
      <c r="IS224" s="575"/>
      <c r="IT224" s="575"/>
      <c r="IU224" s="575"/>
      <c r="IV224" s="575"/>
      <c r="IW224" s="575"/>
      <c r="IX224" s="575"/>
      <c r="IY224" s="575"/>
      <c r="IZ224" s="575"/>
      <c r="JA224" s="575"/>
      <c r="JB224" s="575"/>
      <c r="JC224" s="575"/>
      <c r="JD224" s="575"/>
      <c r="JE224" s="575"/>
      <c r="JF224" s="575"/>
      <c r="JG224" s="575"/>
      <c r="JH224" s="575"/>
      <c r="JI224" s="575"/>
      <c r="JJ224" s="575"/>
      <c r="JK224" s="575"/>
      <c r="JL224" s="575"/>
      <c r="JM224" s="575"/>
      <c r="JN224" s="575"/>
      <c r="JO224" s="575"/>
      <c r="JP224" s="575"/>
      <c r="JQ224" s="575"/>
      <c r="JR224" s="575"/>
      <c r="JS224" s="575"/>
      <c r="JT224" s="575"/>
      <c r="JU224" s="575"/>
      <c r="JV224" s="575"/>
      <c r="JW224" s="575"/>
      <c r="JX224" s="575"/>
      <c r="JY224" s="575"/>
      <c r="JZ224" s="575"/>
      <c r="KA224" s="575"/>
      <c r="KB224" s="575"/>
      <c r="KC224" s="575"/>
      <c r="KD224" s="575"/>
      <c r="KE224" s="575"/>
      <c r="KF224" s="575"/>
      <c r="KG224" s="575"/>
      <c r="KH224" s="575"/>
      <c r="KI224" s="575"/>
      <c r="KJ224" s="575"/>
      <c r="KK224" s="575"/>
      <c r="KL224" s="575"/>
      <c r="KM224" s="575"/>
      <c r="KN224" s="575"/>
      <c r="KO224" s="575"/>
      <c r="KP224" s="575"/>
      <c r="KQ224" s="575"/>
      <c r="KR224" s="575"/>
      <c r="KS224" s="575"/>
      <c r="KT224" s="575"/>
      <c r="KU224" s="575"/>
      <c r="KV224" s="575"/>
      <c r="KW224" s="575"/>
      <c r="KX224" s="575"/>
      <c r="KY224" s="575"/>
      <c r="KZ224" s="575"/>
      <c r="LA224" s="575"/>
      <c r="LB224" s="575"/>
      <c r="LC224" s="575"/>
      <c r="LD224" s="575"/>
      <c r="LE224" s="575"/>
      <c r="LF224" s="575"/>
      <c r="LG224" s="575"/>
      <c r="LH224" s="575"/>
      <c r="LI224" s="575"/>
      <c r="LJ224" s="575"/>
      <c r="LK224" s="575"/>
      <c r="LL224" s="575"/>
      <c r="LM224" s="575"/>
      <c r="LN224" s="575"/>
      <c r="LO224" s="575"/>
      <c r="LP224" s="575"/>
      <c r="LQ224" s="575"/>
      <c r="LR224" s="575"/>
      <c r="LS224" s="575"/>
      <c r="LT224" s="575"/>
      <c r="LU224" s="575"/>
      <c r="LV224" s="575"/>
      <c r="LW224" s="575"/>
      <c r="LX224" s="575"/>
      <c r="LY224" s="575"/>
      <c r="LZ224" s="575"/>
      <c r="MA224" s="575"/>
      <c r="MB224" s="575"/>
      <c r="MC224" s="575"/>
      <c r="MD224" s="575"/>
      <c r="ME224" s="575"/>
      <c r="MF224" s="575"/>
      <c r="MG224" s="575"/>
      <c r="MH224" s="575"/>
      <c r="MI224" s="575"/>
      <c r="MJ224" s="575"/>
      <c r="MK224" s="575"/>
      <c r="ML224" s="575"/>
      <c r="MM224" s="575"/>
      <c r="MN224" s="575"/>
      <c r="MO224" s="575"/>
      <c r="MP224" s="575"/>
      <c r="MQ224" s="575"/>
      <c r="MR224" s="575"/>
      <c r="MS224" s="575"/>
      <c r="MT224" s="575"/>
      <c r="MU224" s="575"/>
      <c r="MV224" s="575"/>
      <c r="MW224" s="575"/>
      <c r="MX224" s="575"/>
      <c r="MY224" s="575"/>
      <c r="MZ224" s="575"/>
      <c r="NA224" s="575"/>
      <c r="NB224" s="575"/>
      <c r="NC224" s="575"/>
      <c r="ND224" s="575"/>
      <c r="NE224" s="575"/>
      <c r="NF224" s="575"/>
      <c r="NG224" s="575"/>
      <c r="NH224" s="575"/>
      <c r="NI224" s="575"/>
      <c r="NJ224" s="575"/>
      <c r="NK224" s="575"/>
      <c r="NL224" s="575"/>
      <c r="NM224" s="575"/>
      <c r="NN224" s="575"/>
      <c r="NO224" s="575"/>
      <c r="NP224" s="575"/>
      <c r="NQ224" s="575"/>
      <c r="NR224" s="575"/>
      <c r="NS224" s="575"/>
      <c r="NT224" s="575"/>
      <c r="NU224" s="575"/>
      <c r="NV224" s="575"/>
      <c r="NW224" s="575"/>
      <c r="NX224" s="575"/>
      <c r="NY224" s="575"/>
      <c r="NZ224" s="575"/>
      <c r="OA224" s="575"/>
      <c r="OB224" s="575"/>
      <c r="OC224" s="575"/>
      <c r="OD224" s="575"/>
      <c r="OE224" s="575"/>
      <c r="OF224" s="575"/>
      <c r="OG224" s="575"/>
      <c r="OH224" s="575"/>
      <c r="OI224" s="575"/>
      <c r="OJ224" s="575"/>
      <c r="OK224" s="575"/>
      <c r="OL224" s="575"/>
      <c r="OM224" s="575"/>
      <c r="ON224" s="575"/>
      <c r="OO224" s="575"/>
      <c r="OP224" s="575"/>
      <c r="OQ224" s="575"/>
      <c r="OR224" s="575"/>
      <c r="OS224" s="575"/>
      <c r="OT224" s="575"/>
      <c r="OU224" s="575"/>
      <c r="OV224" s="575"/>
      <c r="OW224" s="575"/>
      <c r="OX224" s="575"/>
      <c r="OY224" s="575"/>
      <c r="OZ224" s="575"/>
      <c r="PA224" s="575"/>
      <c r="PB224" s="575"/>
      <c r="PC224" s="575"/>
      <c r="PD224" s="575"/>
      <c r="PE224" s="575"/>
      <c r="PF224" s="575"/>
      <c r="PG224" s="575"/>
      <c r="PH224" s="575"/>
      <c r="PI224" s="575"/>
      <c r="PJ224" s="575"/>
      <c r="PK224" s="575"/>
      <c r="PL224" s="575"/>
      <c r="PM224" s="575"/>
      <c r="PN224" s="575"/>
      <c r="PO224" s="575"/>
      <c r="PP224" s="575"/>
      <c r="PQ224" s="575"/>
      <c r="PR224" s="575"/>
      <c r="PS224" s="575"/>
      <c r="PT224" s="575"/>
      <c r="PU224" s="575"/>
      <c r="PV224" s="575"/>
      <c r="PW224" s="575"/>
      <c r="PX224" s="575"/>
      <c r="PY224" s="575"/>
      <c r="PZ224" s="575"/>
      <c r="QA224" s="575"/>
      <c r="QB224" s="575"/>
      <c r="QC224" s="575"/>
      <c r="QD224" s="575"/>
      <c r="QE224" s="575"/>
      <c r="QF224" s="575"/>
      <c r="QG224" s="575"/>
      <c r="QH224" s="575"/>
      <c r="QI224" s="575"/>
      <c r="QJ224" s="575"/>
      <c r="QK224" s="575"/>
      <c r="QL224" s="575"/>
      <c r="QM224" s="575"/>
      <c r="QN224" s="575"/>
      <c r="QO224" s="575"/>
      <c r="QP224" s="575"/>
      <c r="QQ224" s="575"/>
      <c r="QR224" s="575"/>
      <c r="QS224" s="575"/>
      <c r="QT224" s="575"/>
      <c r="QU224" s="575"/>
      <c r="QV224" s="575"/>
      <c r="QW224" s="575"/>
      <c r="QX224" s="575"/>
      <c r="QY224" s="575"/>
      <c r="QZ224" s="575"/>
      <c r="RA224" s="575"/>
      <c r="RB224" s="575"/>
      <c r="RC224" s="575"/>
      <c r="RD224" s="575"/>
      <c r="RE224" s="575"/>
      <c r="RF224" s="575"/>
      <c r="RG224" s="575"/>
      <c r="RH224" s="575"/>
      <c r="RI224" s="575"/>
      <c r="RJ224" s="575"/>
      <c r="RK224" s="575"/>
      <c r="RL224" s="575"/>
      <c r="RM224" s="575"/>
      <c r="RN224" s="575"/>
      <c r="RO224" s="575"/>
      <c r="RP224" s="575"/>
      <c r="RQ224" s="575"/>
      <c r="RR224" s="575"/>
      <c r="RS224" s="575"/>
      <c r="RT224" s="575"/>
      <c r="RU224" s="575"/>
      <c r="RV224" s="575"/>
      <c r="RW224" s="575"/>
      <c r="RX224" s="575"/>
      <c r="RY224" s="575"/>
      <c r="RZ224" s="575"/>
      <c r="SA224" s="575"/>
      <c r="SB224" s="575"/>
      <c r="SC224" s="575"/>
      <c r="SD224" s="575"/>
      <c r="SE224" s="575"/>
      <c r="SF224" s="575"/>
      <c r="SG224" s="575"/>
      <c r="SH224" s="575"/>
      <c r="SI224" s="575"/>
      <c r="SJ224" s="575"/>
      <c r="SK224" s="575"/>
      <c r="SL224" s="575"/>
      <c r="SM224" s="575"/>
      <c r="SN224" s="575"/>
      <c r="SO224" s="575"/>
      <c r="SP224" s="575"/>
      <c r="SQ224" s="575"/>
      <c r="SR224" s="575"/>
      <c r="SS224" s="575"/>
      <c r="ST224" s="575"/>
      <c r="SU224" s="575"/>
      <c r="SV224" s="575"/>
      <c r="SW224" s="575"/>
      <c r="SX224" s="575"/>
      <c r="SY224" s="575"/>
      <c r="SZ224" s="575"/>
      <c r="TA224" s="575"/>
      <c r="TB224" s="575"/>
      <c r="TC224" s="575"/>
      <c r="TD224" s="575"/>
      <c r="TE224" s="575"/>
      <c r="TF224" s="575"/>
      <c r="TG224" s="575"/>
      <c r="TH224" s="575"/>
      <c r="TI224" s="575"/>
      <c r="TJ224" s="575"/>
      <c r="TK224" s="575"/>
      <c r="TL224" s="575"/>
      <c r="TM224" s="575"/>
      <c r="TN224" s="575"/>
      <c r="TO224" s="575"/>
      <c r="TP224" s="575"/>
      <c r="TQ224" s="575"/>
      <c r="TR224" s="575"/>
      <c r="TS224" s="575"/>
      <c r="TT224" s="575"/>
      <c r="TU224" s="575"/>
      <c r="TV224" s="575"/>
      <c r="TW224" s="575"/>
      <c r="TX224" s="575"/>
      <c r="TY224" s="575"/>
      <c r="TZ224" s="575"/>
      <c r="UA224" s="575"/>
      <c r="UB224" s="575"/>
      <c r="UC224" s="575"/>
      <c r="UD224" s="575"/>
      <c r="UE224" s="575"/>
      <c r="UF224" s="575"/>
      <c r="UG224" s="575"/>
      <c r="UH224" s="575"/>
      <c r="UI224" s="575"/>
      <c r="UJ224" s="575"/>
      <c r="UK224" s="575"/>
      <c r="UL224" s="575"/>
      <c r="UM224" s="575"/>
      <c r="UN224" s="575"/>
      <c r="UO224" s="575"/>
      <c r="UP224" s="575"/>
      <c r="UQ224" s="575"/>
      <c r="UR224" s="575"/>
      <c r="US224" s="575"/>
      <c r="UT224" s="575"/>
      <c r="UU224" s="575"/>
      <c r="UV224" s="575"/>
      <c r="UW224" s="575"/>
      <c r="UX224" s="575"/>
      <c r="UY224" s="575"/>
      <c r="UZ224" s="575"/>
      <c r="VA224" s="575"/>
      <c r="VB224" s="575"/>
      <c r="VC224" s="575"/>
      <c r="VD224" s="575"/>
      <c r="VE224" s="575"/>
      <c r="VF224" s="575"/>
      <c r="VG224" s="575"/>
      <c r="VH224" s="575"/>
      <c r="VI224" s="575"/>
      <c r="VJ224" s="575"/>
      <c r="VK224" s="575"/>
      <c r="VL224" s="575"/>
      <c r="VM224" s="575"/>
      <c r="VN224" s="575"/>
      <c r="VO224" s="575"/>
      <c r="VP224" s="575"/>
      <c r="VQ224" s="575"/>
      <c r="VR224" s="575"/>
      <c r="VS224" s="575"/>
      <c r="VT224" s="575"/>
      <c r="VU224" s="575"/>
      <c r="VV224" s="575"/>
      <c r="VW224" s="575"/>
      <c r="VX224" s="575"/>
      <c r="VY224" s="575"/>
      <c r="VZ224" s="575"/>
      <c r="WA224" s="575"/>
      <c r="WB224" s="575"/>
      <c r="WC224" s="575"/>
      <c r="WD224" s="575"/>
      <c r="WE224" s="575"/>
      <c r="WF224" s="575"/>
      <c r="WG224" s="575"/>
      <c r="WH224" s="575"/>
      <c r="WI224" s="575"/>
      <c r="WJ224" s="575"/>
      <c r="WK224" s="575"/>
      <c r="WL224" s="575"/>
      <c r="WM224" s="575"/>
      <c r="WN224" s="575"/>
      <c r="WO224" s="575"/>
      <c r="WP224" s="575"/>
      <c r="WQ224" s="575"/>
      <c r="WR224" s="575"/>
      <c r="WS224" s="575"/>
      <c r="WT224" s="575"/>
      <c r="WU224" s="575"/>
      <c r="WV224" s="575"/>
      <c r="WW224" s="575"/>
      <c r="WX224" s="575"/>
      <c r="WY224" s="575"/>
      <c r="WZ224" s="575"/>
      <c r="XA224" s="575"/>
      <c r="XB224" s="575"/>
      <c r="XC224" s="575"/>
      <c r="XD224" s="575"/>
      <c r="XE224" s="575"/>
      <c r="XF224" s="575"/>
      <c r="XG224" s="575"/>
      <c r="XH224" s="575"/>
      <c r="XI224" s="575"/>
      <c r="XJ224" s="575"/>
      <c r="XK224" s="575"/>
      <c r="XL224" s="575"/>
      <c r="XM224" s="575"/>
      <c r="XN224" s="575"/>
      <c r="XO224" s="575"/>
      <c r="XP224" s="575"/>
      <c r="XQ224" s="575"/>
      <c r="XR224" s="575"/>
      <c r="XS224" s="575"/>
      <c r="XT224" s="575"/>
      <c r="XU224" s="575"/>
      <c r="XV224" s="575"/>
      <c r="XW224" s="575"/>
      <c r="XX224" s="575"/>
      <c r="XY224" s="575"/>
      <c r="XZ224" s="575"/>
      <c r="YA224" s="575"/>
      <c r="YB224" s="575"/>
      <c r="YC224" s="575"/>
      <c r="YD224" s="575"/>
      <c r="YE224" s="575"/>
      <c r="YF224" s="575"/>
      <c r="YG224" s="575"/>
      <c r="YH224" s="575"/>
      <c r="YI224" s="575"/>
      <c r="YJ224" s="575"/>
      <c r="YK224" s="575"/>
      <c r="YL224" s="575"/>
      <c r="YM224" s="575"/>
      <c r="YN224" s="575"/>
      <c r="YO224" s="575"/>
      <c r="YP224" s="575"/>
      <c r="YQ224" s="575"/>
      <c r="YR224" s="575"/>
      <c r="YS224" s="575"/>
      <c r="YT224" s="575"/>
      <c r="YU224" s="575"/>
      <c r="YV224" s="575"/>
      <c r="YW224" s="575"/>
      <c r="YX224" s="575"/>
      <c r="YY224" s="575"/>
      <c r="YZ224" s="575"/>
      <c r="ZA224" s="575"/>
      <c r="ZB224" s="575"/>
      <c r="ZC224" s="575"/>
      <c r="ZD224" s="575"/>
      <c r="ZE224" s="575"/>
      <c r="ZF224" s="575"/>
      <c r="ZG224" s="575"/>
      <c r="ZH224" s="575"/>
      <c r="ZI224" s="575"/>
      <c r="ZJ224" s="575"/>
      <c r="ZK224" s="575"/>
      <c r="ZL224" s="575"/>
      <c r="ZM224" s="575"/>
      <c r="ZN224" s="575"/>
      <c r="ZO224" s="575"/>
      <c r="ZP224" s="575"/>
      <c r="ZQ224" s="575"/>
      <c r="ZR224" s="575"/>
      <c r="ZS224" s="575"/>
      <c r="ZT224" s="575"/>
      <c r="ZU224" s="575"/>
      <c r="ZV224" s="575"/>
      <c r="ZW224" s="575"/>
      <c r="ZX224" s="575"/>
      <c r="ZY224" s="575"/>
      <c r="ZZ224" s="575"/>
      <c r="AAA224" s="575"/>
      <c r="AAB224" s="575"/>
      <c r="AAC224" s="575"/>
      <c r="AAD224" s="575"/>
      <c r="AAE224" s="575"/>
      <c r="AAF224" s="575"/>
      <c r="AAG224" s="575"/>
      <c r="AAH224" s="575"/>
      <c r="AAI224" s="575"/>
      <c r="AAJ224" s="575"/>
      <c r="AAK224" s="575"/>
      <c r="AAL224" s="575"/>
      <c r="AAM224" s="575"/>
      <c r="AAN224" s="575"/>
      <c r="AAO224" s="575"/>
      <c r="AAP224" s="575"/>
      <c r="AAQ224" s="575"/>
      <c r="AAR224" s="575"/>
      <c r="AAS224" s="575"/>
      <c r="AAT224" s="575"/>
      <c r="AAU224" s="575"/>
      <c r="AAV224" s="575"/>
      <c r="AAW224" s="575"/>
      <c r="AAX224" s="575"/>
      <c r="AAY224" s="575"/>
      <c r="AAZ224" s="575"/>
      <c r="ABA224" s="575"/>
      <c r="ABB224" s="575"/>
      <c r="ABC224" s="575"/>
      <c r="ABD224" s="575"/>
      <c r="ABE224" s="575"/>
      <c r="ABF224" s="575"/>
      <c r="ABG224" s="575"/>
      <c r="ABH224" s="575"/>
      <c r="ABI224" s="575"/>
      <c r="ABJ224" s="575"/>
      <c r="ABK224" s="575"/>
      <c r="ABL224" s="575"/>
      <c r="ABM224" s="575"/>
      <c r="ABN224" s="575"/>
      <c r="ABO224" s="575"/>
      <c r="ABP224" s="575"/>
      <c r="ABQ224" s="575"/>
      <c r="ABR224" s="575"/>
      <c r="ABS224" s="575"/>
      <c r="ABT224" s="575"/>
      <c r="ABU224" s="575"/>
      <c r="ABV224" s="575"/>
      <c r="ABW224" s="575"/>
      <c r="ABX224" s="575"/>
      <c r="ABY224" s="575"/>
      <c r="ABZ224" s="575"/>
      <c r="ACA224" s="575"/>
      <c r="ACB224" s="575"/>
      <c r="ACC224" s="575"/>
      <c r="ACD224" s="575"/>
      <c r="ACE224" s="575"/>
      <c r="ACF224" s="575"/>
      <c r="ACG224" s="575"/>
      <c r="ACH224" s="575"/>
      <c r="ACI224" s="575"/>
      <c r="ACJ224" s="575"/>
      <c r="ACK224" s="575"/>
      <c r="ACL224" s="575"/>
      <c r="ACM224" s="575"/>
      <c r="ACN224" s="575"/>
      <c r="ACO224" s="575"/>
      <c r="ACP224" s="575"/>
      <c r="ACQ224" s="575"/>
      <c r="ACR224" s="575"/>
      <c r="ACS224" s="575"/>
      <c r="ACT224" s="575"/>
      <c r="ACU224" s="575"/>
      <c r="ACV224" s="575"/>
      <c r="ACW224" s="575"/>
      <c r="ACX224" s="575"/>
      <c r="ACY224" s="575"/>
      <c r="ACZ224" s="575"/>
      <c r="ADA224" s="575"/>
      <c r="ADB224" s="575"/>
      <c r="ADC224" s="575"/>
      <c r="ADD224" s="575"/>
      <c r="ADE224" s="575"/>
      <c r="ADF224" s="575"/>
      <c r="ADG224" s="575"/>
      <c r="ADH224" s="575"/>
      <c r="ADI224" s="575"/>
      <c r="ADJ224" s="575"/>
      <c r="ADK224" s="575"/>
      <c r="ADL224" s="575"/>
      <c r="ADM224" s="575"/>
      <c r="ADN224" s="575"/>
      <c r="ADO224" s="575"/>
      <c r="ADP224" s="575"/>
      <c r="ADQ224" s="575"/>
      <c r="ADR224" s="575"/>
      <c r="ADS224" s="575"/>
      <c r="ADT224" s="575"/>
      <c r="ADU224" s="575"/>
      <c r="ADV224" s="575"/>
      <c r="ADW224" s="575"/>
      <c r="ADX224" s="575"/>
      <c r="ADY224" s="575"/>
      <c r="ADZ224" s="575"/>
      <c r="AEA224" s="575"/>
      <c r="AEB224" s="575"/>
      <c r="AEC224" s="575"/>
      <c r="AED224" s="575"/>
      <c r="AEE224" s="575"/>
      <c r="AEF224" s="575"/>
      <c r="AEG224" s="575"/>
      <c r="AEH224" s="575"/>
      <c r="AEI224" s="575"/>
      <c r="AEJ224" s="575"/>
      <c r="AEK224" s="575"/>
      <c r="AEL224" s="575"/>
      <c r="AEM224" s="575"/>
      <c r="AEN224" s="575"/>
      <c r="AEO224" s="575"/>
      <c r="AEP224" s="575"/>
      <c r="AEQ224" s="575"/>
      <c r="AER224" s="575"/>
      <c r="AES224" s="575"/>
      <c r="AET224" s="575"/>
      <c r="AEU224" s="575"/>
      <c r="AEV224" s="575"/>
      <c r="AEW224" s="575"/>
      <c r="AEX224" s="575"/>
      <c r="AEY224" s="575"/>
      <c r="AEZ224" s="575"/>
      <c r="AFA224" s="575"/>
      <c r="AFB224" s="575"/>
      <c r="AFC224" s="575"/>
      <c r="AFD224" s="575"/>
      <c r="AFE224" s="575"/>
      <c r="AFF224" s="575"/>
      <c r="AFG224" s="575"/>
      <c r="AFH224" s="575"/>
      <c r="AFI224" s="575"/>
      <c r="AFJ224" s="575"/>
      <c r="AFK224" s="575"/>
      <c r="AFL224" s="575"/>
      <c r="AFM224" s="575"/>
      <c r="AFN224" s="575"/>
      <c r="AFO224" s="575"/>
      <c r="AFP224" s="575"/>
      <c r="AFQ224" s="575"/>
      <c r="AFR224" s="575"/>
      <c r="AFS224" s="575"/>
      <c r="AFT224" s="575"/>
      <c r="AFU224" s="575"/>
      <c r="AFV224" s="575"/>
      <c r="AFW224" s="575"/>
      <c r="AFX224" s="575"/>
      <c r="AFY224" s="575"/>
      <c r="AFZ224" s="575"/>
      <c r="AGA224" s="575"/>
      <c r="AGB224" s="575"/>
      <c r="AGC224" s="575"/>
      <c r="AGD224" s="575"/>
      <c r="AGE224" s="575"/>
      <c r="AGF224" s="575"/>
      <c r="AGG224" s="575"/>
      <c r="AGH224" s="575"/>
      <c r="AGI224" s="575"/>
      <c r="AGJ224" s="575"/>
      <c r="AGK224" s="575"/>
      <c r="AGL224" s="575"/>
      <c r="AGM224" s="575"/>
      <c r="AGN224" s="575"/>
      <c r="AGO224" s="575"/>
      <c r="AGP224" s="575"/>
      <c r="AGQ224" s="575"/>
      <c r="AGR224" s="575"/>
      <c r="AGS224" s="575"/>
      <c r="AGT224" s="575"/>
      <c r="AGU224" s="575"/>
      <c r="AGV224" s="575"/>
      <c r="AGW224" s="575"/>
      <c r="AGX224" s="575"/>
      <c r="AGY224" s="575"/>
      <c r="AGZ224" s="575"/>
      <c r="AHA224" s="575"/>
      <c r="AHB224" s="575"/>
      <c r="AHC224" s="575"/>
      <c r="AHD224" s="575"/>
      <c r="AHE224" s="575"/>
      <c r="AHF224" s="575"/>
      <c r="AHG224" s="575"/>
      <c r="AHH224" s="575"/>
      <c r="AHI224" s="575"/>
      <c r="AHJ224" s="575"/>
      <c r="AHK224" s="575"/>
      <c r="AHL224" s="575"/>
      <c r="AHM224" s="575"/>
      <c r="AHN224" s="575"/>
      <c r="AHO224" s="575"/>
      <c r="AHP224" s="575"/>
      <c r="AHQ224" s="575"/>
      <c r="AHR224" s="575"/>
      <c r="AHS224" s="575"/>
      <c r="AHT224" s="575"/>
      <c r="AHU224" s="575"/>
      <c r="AHV224" s="575"/>
      <c r="AHW224" s="575"/>
      <c r="AHX224" s="575"/>
      <c r="AHY224" s="575"/>
      <c r="AHZ224" s="575"/>
      <c r="AIA224" s="575"/>
      <c r="AIB224" s="575"/>
      <c r="AIC224" s="575"/>
      <c r="AID224" s="575"/>
      <c r="AIE224" s="575"/>
      <c r="AIF224" s="575"/>
      <c r="AIG224" s="575"/>
      <c r="AIH224" s="575"/>
      <c r="AII224" s="575"/>
      <c r="AIJ224" s="575"/>
      <c r="AIK224" s="575"/>
      <c r="AIL224" s="575"/>
      <c r="AIM224" s="575"/>
      <c r="AIN224" s="575"/>
      <c r="AIO224" s="575"/>
      <c r="AIP224" s="575"/>
      <c r="AIQ224" s="575"/>
      <c r="AIR224" s="575"/>
      <c r="AIS224" s="575"/>
      <c r="AIT224" s="575"/>
      <c r="AIU224" s="575"/>
      <c r="AIV224" s="575"/>
      <c r="AIW224" s="575"/>
      <c r="AIX224" s="575"/>
      <c r="AIY224" s="575"/>
      <c r="AIZ224" s="575"/>
      <c r="AJA224" s="575"/>
      <c r="AJB224" s="575"/>
      <c r="AJC224" s="575"/>
      <c r="AJD224" s="575"/>
      <c r="AJE224" s="575"/>
      <c r="AJF224" s="575"/>
      <c r="AJG224" s="575"/>
      <c r="AJH224" s="575"/>
      <c r="AJI224" s="575"/>
      <c r="AJJ224" s="575"/>
      <c r="AJK224" s="575"/>
      <c r="AJL224" s="575"/>
      <c r="AJM224" s="575"/>
      <c r="AJN224" s="575"/>
      <c r="AJO224" s="575"/>
      <c r="AJP224" s="575"/>
      <c r="AJQ224" s="575"/>
      <c r="AJR224" s="575"/>
      <c r="AJS224" s="575"/>
      <c r="AJT224" s="575"/>
      <c r="AJU224" s="575"/>
      <c r="AJV224" s="575"/>
      <c r="AJW224" s="575"/>
      <c r="AJX224" s="575"/>
      <c r="AJY224" s="575"/>
      <c r="AJZ224" s="575"/>
      <c r="AKA224" s="575"/>
      <c r="AKB224" s="575"/>
      <c r="AKC224" s="575"/>
      <c r="AKD224" s="575"/>
      <c r="AKE224" s="575"/>
      <c r="AKF224" s="575"/>
      <c r="AKG224" s="575"/>
      <c r="AKH224" s="575"/>
      <c r="AKI224" s="575"/>
      <c r="AKJ224" s="575"/>
      <c r="AKK224" s="575"/>
      <c r="AKL224" s="575"/>
      <c r="AKM224" s="575"/>
      <c r="AKN224" s="575"/>
      <c r="AKO224" s="575"/>
      <c r="AKP224" s="575"/>
      <c r="AKQ224" s="575"/>
      <c r="AKR224" s="575"/>
      <c r="AKS224" s="575"/>
      <c r="AKT224" s="575"/>
      <c r="AKU224" s="575"/>
      <c r="AKV224" s="575"/>
      <c r="AKW224" s="575"/>
      <c r="AKX224" s="575"/>
      <c r="AKY224" s="575"/>
      <c r="AKZ224" s="575"/>
      <c r="ALA224" s="575"/>
      <c r="ALB224" s="575"/>
      <c r="ALC224" s="575"/>
      <c r="ALD224" s="575"/>
      <c r="ALE224" s="575"/>
      <c r="ALF224" s="575"/>
      <c r="ALG224" s="575"/>
      <c r="ALH224" s="575"/>
      <c r="ALI224" s="575"/>
      <c r="ALJ224" s="575"/>
      <c r="ALK224" s="575"/>
      <c r="ALL224" s="575"/>
      <c r="ALM224" s="575"/>
      <c r="ALN224" s="575"/>
      <c r="ALO224" s="575"/>
      <c r="ALP224" s="575"/>
      <c r="ALQ224" s="575"/>
      <c r="ALR224" s="575"/>
      <c r="ALS224" s="575"/>
      <c r="ALT224" s="575"/>
      <c r="ALU224" s="575"/>
      <c r="ALV224" s="575"/>
      <c r="ALW224" s="575"/>
      <c r="ALX224" s="575"/>
      <c r="ALY224" s="575"/>
      <c r="ALZ224" s="575"/>
      <c r="AMA224" s="575"/>
      <c r="AMB224" s="575"/>
      <c r="AMC224" s="575"/>
      <c r="AMD224" s="575"/>
      <c r="AME224" s="575"/>
      <c r="AMF224" s="575"/>
      <c r="AMG224" s="575"/>
      <c r="AMH224" s="575"/>
      <c r="AMI224" s="575"/>
      <c r="AMJ224" s="575"/>
      <c r="AMK224" s="575"/>
      <c r="AML224" s="575"/>
      <c r="AMM224" s="575"/>
      <c r="AMN224" s="575"/>
      <c r="AMO224" s="575"/>
      <c r="AMP224" s="575"/>
      <c r="AMQ224" s="575"/>
      <c r="AMR224" s="575"/>
      <c r="AMS224" s="575"/>
      <c r="AMT224" s="575"/>
      <c r="AMU224" s="575"/>
      <c r="AMV224" s="575"/>
      <c r="AMW224" s="575"/>
      <c r="AMX224" s="575"/>
      <c r="AMY224" s="575"/>
      <c r="AMZ224" s="575"/>
      <c r="ANA224" s="575"/>
      <c r="ANB224" s="575"/>
      <c r="ANC224" s="575"/>
      <c r="AND224" s="575"/>
      <c r="ANE224" s="575"/>
      <c r="ANF224" s="575"/>
      <c r="ANG224" s="575"/>
      <c r="ANH224" s="575"/>
      <c r="ANI224" s="575"/>
      <c r="ANJ224" s="575"/>
      <c r="ANK224" s="575"/>
      <c r="ANL224" s="575"/>
      <c r="ANM224" s="575"/>
      <c r="ANN224" s="575"/>
      <c r="ANO224" s="575"/>
      <c r="ANP224" s="575"/>
      <c r="ANQ224" s="575"/>
      <c r="ANR224" s="575"/>
      <c r="ANS224" s="575"/>
      <c r="ANT224" s="575"/>
      <c r="ANU224" s="575"/>
      <c r="ANV224" s="575"/>
      <c r="ANW224" s="575"/>
      <c r="ANX224" s="575"/>
      <c r="ANY224" s="575"/>
      <c r="ANZ224" s="575"/>
      <c r="AOA224" s="575"/>
      <c r="AOB224" s="575"/>
      <c r="AOC224" s="575"/>
      <c r="AOD224" s="575"/>
      <c r="AOE224" s="575"/>
      <c r="AOF224" s="575"/>
      <c r="AOG224" s="575"/>
      <c r="AOH224" s="575"/>
      <c r="AOI224" s="575"/>
      <c r="AOJ224" s="575"/>
      <c r="AOK224" s="575"/>
      <c r="AOL224" s="575"/>
      <c r="AOM224" s="575"/>
      <c r="AON224" s="575"/>
      <c r="AOO224" s="575"/>
      <c r="AOP224" s="575"/>
      <c r="AOQ224" s="575"/>
      <c r="AOR224" s="575"/>
      <c r="AOS224" s="575"/>
      <c r="AOT224" s="575"/>
      <c r="AOU224" s="575"/>
      <c r="AOV224" s="575"/>
      <c r="AOW224" s="575"/>
      <c r="AOX224" s="575"/>
      <c r="AOY224" s="575"/>
      <c r="AOZ224" s="575"/>
      <c r="APA224" s="575"/>
      <c r="APB224" s="575"/>
      <c r="APC224" s="575"/>
      <c r="APD224" s="575"/>
      <c r="APE224" s="575"/>
      <c r="APF224" s="575"/>
      <c r="APG224" s="575"/>
      <c r="APH224" s="575"/>
      <c r="API224" s="575"/>
      <c r="APJ224" s="575"/>
      <c r="APK224" s="575"/>
      <c r="APL224" s="575"/>
      <c r="APM224" s="575"/>
      <c r="APN224" s="575"/>
      <c r="APO224" s="575"/>
      <c r="APP224" s="575"/>
      <c r="APQ224" s="575"/>
      <c r="APR224" s="575"/>
      <c r="APS224" s="575"/>
      <c r="APT224" s="575"/>
      <c r="APU224" s="575"/>
      <c r="APV224" s="575"/>
      <c r="APW224" s="575"/>
      <c r="APX224" s="575"/>
      <c r="APY224" s="575"/>
      <c r="APZ224" s="575"/>
      <c r="AQA224" s="575"/>
      <c r="AQB224" s="575"/>
      <c r="AQC224" s="575"/>
      <c r="AQD224" s="575"/>
      <c r="AQE224" s="575"/>
      <c r="AQF224" s="575"/>
      <c r="AQG224" s="575"/>
      <c r="AQH224" s="575"/>
      <c r="AQI224" s="575"/>
      <c r="AQJ224" s="575"/>
      <c r="AQK224" s="575"/>
      <c r="AQL224" s="575"/>
      <c r="AQM224" s="575"/>
      <c r="AQN224" s="575"/>
      <c r="AQO224" s="575"/>
      <c r="AQP224" s="575"/>
      <c r="AQQ224" s="575"/>
      <c r="AQR224" s="575"/>
      <c r="AQS224" s="575"/>
      <c r="AQT224" s="575"/>
      <c r="AQU224" s="575"/>
      <c r="AQV224" s="575"/>
      <c r="AQW224" s="575"/>
      <c r="AQX224" s="575"/>
      <c r="AQY224" s="575"/>
      <c r="AQZ224" s="575"/>
      <c r="ARA224" s="575"/>
      <c r="ARB224" s="575"/>
      <c r="ARC224" s="575"/>
      <c r="ARD224" s="575"/>
      <c r="ARE224" s="575"/>
      <c r="ARF224" s="575"/>
      <c r="ARG224" s="575"/>
      <c r="ARH224" s="575"/>
      <c r="ARI224" s="575"/>
      <c r="ARJ224" s="575"/>
      <c r="ARK224" s="575"/>
      <c r="ARL224" s="575"/>
      <c r="ARM224" s="575"/>
      <c r="ARN224" s="575"/>
      <c r="ARO224" s="575"/>
      <c r="ARP224" s="575"/>
      <c r="ARQ224" s="575"/>
      <c r="ARR224" s="575"/>
      <c r="ARS224" s="575"/>
      <c r="ART224" s="575"/>
      <c r="ARU224" s="575"/>
      <c r="ARV224" s="575"/>
      <c r="ARW224" s="575"/>
      <c r="ARX224" s="575"/>
      <c r="ARY224" s="575"/>
      <c r="ARZ224" s="575"/>
      <c r="ASA224" s="575"/>
      <c r="ASB224" s="575"/>
      <c r="ASC224" s="575"/>
      <c r="ASD224" s="575"/>
      <c r="ASE224" s="575"/>
      <c r="ASF224" s="575"/>
      <c r="ASG224" s="575"/>
      <c r="ASH224" s="575"/>
      <c r="ASI224" s="575"/>
      <c r="ASJ224" s="575"/>
      <c r="ASK224" s="575"/>
      <c r="ASL224" s="575"/>
      <c r="ASM224" s="575"/>
      <c r="ASN224" s="575"/>
      <c r="ASO224" s="575"/>
      <c r="ASP224" s="575"/>
      <c r="ASQ224" s="575"/>
      <c r="ASR224" s="575"/>
      <c r="ASS224" s="575"/>
      <c r="AST224" s="575"/>
      <c r="ASU224" s="575"/>
      <c r="ASV224" s="575"/>
      <c r="ASW224" s="575"/>
      <c r="ASX224" s="575"/>
      <c r="ASY224" s="575"/>
      <c r="ASZ224" s="575"/>
      <c r="ATA224" s="575"/>
      <c r="ATB224" s="575"/>
      <c r="ATC224" s="575"/>
      <c r="ATD224" s="575"/>
      <c r="ATE224" s="575"/>
      <c r="ATF224" s="575"/>
      <c r="ATG224" s="575"/>
      <c r="ATH224" s="575"/>
      <c r="ATI224" s="575"/>
      <c r="ATJ224" s="575"/>
      <c r="ATK224" s="575"/>
      <c r="ATL224" s="575"/>
      <c r="ATM224" s="575"/>
      <c r="ATN224" s="575"/>
      <c r="ATO224" s="575"/>
      <c r="ATP224" s="575"/>
      <c r="ATQ224" s="575"/>
      <c r="ATR224" s="575"/>
      <c r="ATS224" s="575"/>
      <c r="ATT224" s="575"/>
      <c r="ATU224" s="575"/>
      <c r="ATV224" s="575"/>
      <c r="ATW224" s="575"/>
      <c r="ATX224" s="575"/>
      <c r="ATY224" s="575"/>
      <c r="ATZ224" s="575"/>
      <c r="AUA224" s="575"/>
      <c r="AUB224" s="575"/>
      <c r="AUC224" s="575"/>
      <c r="AUD224" s="575"/>
      <c r="AUE224" s="575"/>
      <c r="AUF224" s="575"/>
      <c r="AUG224" s="575"/>
      <c r="AUH224" s="575"/>
      <c r="AUI224" s="575"/>
      <c r="AUJ224" s="575"/>
      <c r="AUK224" s="575"/>
      <c r="AUL224" s="575"/>
      <c r="AUM224" s="575"/>
      <c r="AUN224" s="575"/>
      <c r="AUO224" s="575"/>
      <c r="AUP224" s="575"/>
      <c r="AUQ224" s="575"/>
      <c r="AUR224" s="575"/>
      <c r="AUS224" s="575"/>
      <c r="AUT224" s="575"/>
      <c r="AUU224" s="575"/>
      <c r="AUV224" s="575"/>
      <c r="AUW224" s="575"/>
      <c r="AUX224" s="575"/>
      <c r="AUY224" s="575"/>
      <c r="AUZ224" s="575"/>
      <c r="AVA224" s="575"/>
      <c r="AVB224" s="575"/>
      <c r="AVC224" s="575"/>
      <c r="AVD224" s="575"/>
      <c r="AVE224" s="575"/>
      <c r="AVF224" s="575"/>
      <c r="AVG224" s="575"/>
      <c r="AVH224" s="575"/>
      <c r="AVI224" s="575"/>
      <c r="AVJ224" s="575"/>
      <c r="AVK224" s="575"/>
      <c r="AVL224" s="575"/>
      <c r="AVM224" s="575"/>
      <c r="AVN224" s="575"/>
      <c r="AVO224" s="575"/>
      <c r="AVP224" s="575"/>
      <c r="AVQ224" s="575"/>
      <c r="AVR224" s="575"/>
      <c r="AVS224" s="575"/>
      <c r="AVT224" s="575"/>
      <c r="AVU224" s="575"/>
      <c r="AVV224" s="575"/>
      <c r="AVW224" s="575"/>
      <c r="AVX224" s="575"/>
      <c r="AVY224" s="575"/>
      <c r="AVZ224" s="575"/>
      <c r="AWA224" s="575"/>
      <c r="AWB224" s="575"/>
      <c r="AWC224" s="575"/>
      <c r="AWD224" s="575"/>
      <c r="AWE224" s="575"/>
      <c r="AWF224" s="575"/>
      <c r="AWG224" s="575"/>
      <c r="AWH224" s="575"/>
      <c r="AWI224" s="575"/>
      <c r="AWJ224" s="575"/>
      <c r="AWK224" s="575"/>
      <c r="AWL224" s="575"/>
      <c r="AWM224" s="575"/>
      <c r="AWN224" s="575"/>
      <c r="AWO224" s="575"/>
      <c r="AWP224" s="575"/>
      <c r="AWQ224" s="575"/>
      <c r="AWR224" s="575"/>
      <c r="AWS224" s="575"/>
      <c r="AWT224" s="575"/>
      <c r="AWU224" s="575"/>
      <c r="AWV224" s="575"/>
      <c r="AWW224" s="575"/>
      <c r="AWX224" s="575"/>
      <c r="AWY224" s="575"/>
      <c r="AWZ224" s="575"/>
      <c r="AXA224" s="575"/>
      <c r="AXB224" s="575"/>
      <c r="AXC224" s="575"/>
      <c r="AXD224" s="575"/>
      <c r="AXE224" s="575"/>
      <c r="AXF224" s="575"/>
      <c r="AXG224" s="575"/>
      <c r="AXH224" s="575"/>
      <c r="AXI224" s="575"/>
      <c r="AXJ224" s="575"/>
      <c r="AXK224" s="575"/>
      <c r="AXL224" s="575"/>
      <c r="AXM224" s="575"/>
      <c r="AXN224" s="575"/>
      <c r="AXO224" s="575"/>
      <c r="AXP224" s="575"/>
      <c r="AXQ224" s="575"/>
      <c r="AXR224" s="575"/>
      <c r="AXS224" s="575"/>
      <c r="AXT224" s="575"/>
      <c r="AXU224" s="575"/>
      <c r="AXV224" s="575"/>
      <c r="AXW224" s="575"/>
      <c r="AXX224" s="575"/>
      <c r="AXY224" s="575"/>
      <c r="AXZ224" s="575"/>
      <c r="AYA224" s="575"/>
      <c r="AYB224" s="575"/>
      <c r="AYC224" s="575"/>
      <c r="AYD224" s="575"/>
      <c r="AYE224" s="575"/>
      <c r="AYF224" s="575"/>
      <c r="AYG224" s="575"/>
      <c r="AYH224" s="575"/>
      <c r="AYI224" s="575"/>
      <c r="AYJ224" s="575"/>
      <c r="AYK224" s="575"/>
      <c r="AYL224" s="575"/>
      <c r="AYM224" s="575"/>
      <c r="AYN224" s="575"/>
      <c r="AYO224" s="575"/>
      <c r="AYP224" s="575"/>
      <c r="AYQ224" s="575"/>
      <c r="AYR224" s="575"/>
      <c r="AYS224" s="575"/>
      <c r="AYT224" s="575"/>
      <c r="AYU224" s="575"/>
      <c r="AYV224" s="575"/>
      <c r="AYW224" s="575"/>
      <c r="AYX224" s="575"/>
      <c r="AYY224" s="575"/>
      <c r="AYZ224" s="575"/>
      <c r="AZA224" s="575"/>
      <c r="AZB224" s="575"/>
      <c r="AZC224" s="575"/>
      <c r="AZD224" s="575"/>
      <c r="AZE224" s="575"/>
      <c r="AZF224" s="575"/>
      <c r="AZG224" s="575"/>
      <c r="AZH224" s="575"/>
      <c r="AZI224" s="575"/>
      <c r="AZJ224" s="575"/>
      <c r="AZK224" s="575"/>
      <c r="AZL224" s="575"/>
      <c r="AZM224" s="575"/>
      <c r="AZN224" s="575"/>
      <c r="AZO224" s="575"/>
      <c r="AZP224" s="575"/>
      <c r="AZQ224" s="575"/>
      <c r="AZR224" s="575"/>
      <c r="AZS224" s="575"/>
      <c r="AZT224" s="575"/>
      <c r="AZU224" s="575"/>
      <c r="AZV224" s="575"/>
      <c r="AZW224" s="575"/>
      <c r="AZX224" s="575"/>
      <c r="AZY224" s="575"/>
      <c r="AZZ224" s="575"/>
      <c r="BAA224" s="575"/>
      <c r="BAB224" s="575"/>
      <c r="BAC224" s="575"/>
      <c r="BAD224" s="575"/>
      <c r="BAE224" s="575"/>
      <c r="BAF224" s="575"/>
      <c r="BAG224" s="575"/>
      <c r="BAH224" s="575"/>
      <c r="BAI224" s="575"/>
      <c r="BAJ224" s="575"/>
      <c r="BAK224" s="575"/>
      <c r="BAL224" s="575"/>
      <c r="BAM224" s="575"/>
      <c r="BAN224" s="575"/>
      <c r="BAO224" s="575"/>
      <c r="BAP224" s="575"/>
      <c r="BAQ224" s="575"/>
      <c r="BAR224" s="575"/>
      <c r="BAS224" s="575"/>
      <c r="BAT224" s="575"/>
      <c r="BAU224" s="575"/>
      <c r="BAV224" s="575"/>
      <c r="BAW224" s="575"/>
      <c r="BAX224" s="575"/>
      <c r="BAY224" s="575"/>
      <c r="BAZ224" s="575"/>
      <c r="BBA224" s="575"/>
      <c r="BBB224" s="575"/>
      <c r="BBC224" s="575"/>
      <c r="BBD224" s="575"/>
      <c r="BBE224" s="575"/>
      <c r="BBF224" s="575"/>
      <c r="BBG224" s="575"/>
      <c r="BBH224" s="575"/>
      <c r="BBI224" s="575"/>
      <c r="BBJ224" s="575"/>
      <c r="BBK224" s="575"/>
      <c r="BBL224" s="575"/>
      <c r="BBM224" s="575"/>
      <c r="BBN224" s="575"/>
      <c r="BBO224" s="575"/>
      <c r="BBP224" s="575"/>
      <c r="BBQ224" s="575"/>
      <c r="BBR224" s="575"/>
      <c r="BBS224" s="575"/>
      <c r="BBT224" s="575"/>
      <c r="BBU224" s="575"/>
      <c r="BBV224" s="575"/>
      <c r="BBW224" s="575"/>
      <c r="BBX224" s="575"/>
      <c r="BBY224" s="575"/>
      <c r="BBZ224" s="575"/>
      <c r="BCA224" s="575"/>
      <c r="BCB224" s="575"/>
      <c r="BCC224" s="575"/>
      <c r="BCD224" s="575"/>
      <c r="BCE224" s="575"/>
      <c r="BCF224" s="575"/>
      <c r="BCG224" s="575"/>
      <c r="BCH224" s="575"/>
      <c r="BCI224" s="575"/>
      <c r="BCJ224" s="575"/>
      <c r="BCK224" s="575"/>
      <c r="BCL224" s="575"/>
      <c r="BCM224" s="575"/>
      <c r="BCN224" s="575"/>
      <c r="BCO224" s="575"/>
      <c r="BCP224" s="575"/>
      <c r="BCQ224" s="575"/>
      <c r="BCR224" s="575"/>
      <c r="BCS224" s="575"/>
      <c r="BCT224" s="575"/>
      <c r="BCU224" s="575"/>
      <c r="BCV224" s="575"/>
      <c r="BCW224" s="575"/>
      <c r="BCX224" s="575"/>
      <c r="BCY224" s="575"/>
      <c r="BCZ224" s="575"/>
      <c r="BDA224" s="575"/>
      <c r="BDB224" s="575"/>
      <c r="BDC224" s="575"/>
      <c r="BDD224" s="575"/>
      <c r="BDE224" s="575"/>
      <c r="BDF224" s="575"/>
      <c r="BDG224" s="575"/>
      <c r="BDH224" s="575"/>
      <c r="BDI224" s="575"/>
      <c r="BDJ224" s="575"/>
      <c r="BDK224" s="575"/>
      <c r="BDL224" s="575"/>
      <c r="BDM224" s="575"/>
      <c r="BDN224" s="575"/>
      <c r="BDO224" s="575"/>
      <c r="BDP224" s="575"/>
      <c r="BDQ224" s="575"/>
      <c r="BDR224" s="575"/>
      <c r="BDS224" s="575"/>
      <c r="BDT224" s="575"/>
    </row>
    <row r="225" spans="1:1476" x14ac:dyDescent="0.25">
      <c r="A225" s="608">
        <v>5764</v>
      </c>
      <c r="B225" s="609" t="s">
        <v>285</v>
      </c>
      <c r="C225" s="610">
        <v>4564984.3499999996</v>
      </c>
      <c r="D225" s="610">
        <v>506663.65</v>
      </c>
      <c r="E225" s="610"/>
      <c r="F225" s="611"/>
      <c r="G225" s="610">
        <v>177646.15</v>
      </c>
      <c r="H225" s="610">
        <v>54263</v>
      </c>
      <c r="I225" s="610"/>
      <c r="J225" s="610">
        <v>260379.88</v>
      </c>
      <c r="K225" s="610">
        <v>37379.1</v>
      </c>
      <c r="L225" s="610">
        <v>515595.35</v>
      </c>
      <c r="M225" s="434">
        <f t="shared" si="12"/>
        <v>6116911.4799999995</v>
      </c>
      <c r="N225" s="612">
        <v>2438828.15</v>
      </c>
      <c r="O225" s="612">
        <v>8517</v>
      </c>
      <c r="P225" s="612">
        <v>339945.55</v>
      </c>
      <c r="Q225" s="612">
        <v>105396.26</v>
      </c>
      <c r="R225" s="612">
        <v>303427.84999999998</v>
      </c>
      <c r="S225" s="610">
        <v>24235.7</v>
      </c>
      <c r="T225" s="543">
        <f t="shared" si="13"/>
        <v>9337261.9899999984</v>
      </c>
      <c r="U225" s="575">
        <v>-260287.12</v>
      </c>
      <c r="V225" s="612"/>
      <c r="W225" s="612">
        <v>-482.6</v>
      </c>
      <c r="X225" s="624">
        <v>71.5</v>
      </c>
      <c r="Y225" s="631">
        <v>1</v>
      </c>
      <c r="Z225" s="628">
        <f>VLOOKUP(A225,'[2]2022 toutes communes'!$B$9:$D$317,3,FALSE)</f>
        <v>3987</v>
      </c>
      <c r="AA225" s="617"/>
      <c r="AB225" s="618">
        <v>540100</v>
      </c>
      <c r="AC225" s="547">
        <f>AB225/VPI!R225</f>
        <v>6.4514884468435945</v>
      </c>
      <c r="AD225" s="548">
        <f t="shared" si="14"/>
        <v>1547540</v>
      </c>
      <c r="AE225" s="547">
        <f>AD225/VPI!R225</f>
        <v>18.485347955986551</v>
      </c>
      <c r="AF225" s="618">
        <v>2087640</v>
      </c>
      <c r="AG225" s="618">
        <v>468809</v>
      </c>
      <c r="AH225" s="618">
        <v>449425</v>
      </c>
      <c r="AI225" s="637"/>
      <c r="AJ225" s="628">
        <v>0</v>
      </c>
      <c r="AK225" s="547">
        <f>AJ225/VPI!R225</f>
        <v>0</v>
      </c>
      <c r="AL225" s="548">
        <f t="shared" si="15"/>
        <v>667892</v>
      </c>
      <c r="AM225" s="547">
        <f>AL225/VPI!R225</f>
        <v>7.9779624546181482</v>
      </c>
      <c r="AN225" s="628">
        <v>667892</v>
      </c>
      <c r="AO225" s="637"/>
      <c r="AP225" s="629">
        <v>-10.408585820193373</v>
      </c>
      <c r="AR225" s="630">
        <v>0</v>
      </c>
    </row>
    <row r="226" spans="1:1476" x14ac:dyDescent="0.25">
      <c r="A226" s="608">
        <v>5765</v>
      </c>
      <c r="B226" s="609" t="s">
        <v>286</v>
      </c>
      <c r="C226" s="610">
        <v>607447.26</v>
      </c>
      <c r="D226" s="610">
        <v>79603.59</v>
      </c>
      <c r="E226" s="610"/>
      <c r="F226" s="611"/>
      <c r="G226" s="610">
        <v>21063.55</v>
      </c>
      <c r="H226" s="610">
        <v>248.85</v>
      </c>
      <c r="I226" s="610"/>
      <c r="J226" s="610">
        <v>20240.09</v>
      </c>
      <c r="K226" s="610"/>
      <c r="L226" s="610">
        <v>33523.9</v>
      </c>
      <c r="M226" s="434">
        <f t="shared" si="12"/>
        <v>762127.24</v>
      </c>
      <c r="N226" s="612">
        <v>28577.200000000001</v>
      </c>
      <c r="O226" s="612">
        <v>2458.6999999999998</v>
      </c>
      <c r="P226" s="612">
        <v>412.5</v>
      </c>
      <c r="Q226" s="612">
        <v>1242.99</v>
      </c>
      <c r="R226" s="612">
        <v>10962.15</v>
      </c>
      <c r="S226" s="610">
        <v>2227.2600000000002</v>
      </c>
      <c r="T226" s="543">
        <f t="shared" si="13"/>
        <v>808008.03999999992</v>
      </c>
      <c r="U226" s="575">
        <v>-19249.3</v>
      </c>
      <c r="V226" s="612"/>
      <c r="W226" s="612">
        <v>0</v>
      </c>
      <c r="X226" s="624">
        <v>81</v>
      </c>
      <c r="Y226" s="631">
        <v>0.5</v>
      </c>
      <c r="Z226" s="628">
        <f>VLOOKUP(A226,'[2]2022 toutes communes'!$B$9:$D$317,3,FALSE)</f>
        <v>483</v>
      </c>
      <c r="AA226" s="617"/>
      <c r="AB226" s="618">
        <v>35921</v>
      </c>
      <c r="AC226" s="547">
        <f>AB226/VPI!R226</f>
        <v>3.7308695070751923</v>
      </c>
      <c r="AD226" s="548">
        <f t="shared" si="14"/>
        <v>172543</v>
      </c>
      <c r="AE226" s="547">
        <f>AD226/VPI!R226</f>
        <v>17.920865715299545</v>
      </c>
      <c r="AF226" s="618">
        <v>208464</v>
      </c>
      <c r="AG226" s="618">
        <v>23512</v>
      </c>
      <c r="AH226" s="618">
        <v>52184</v>
      </c>
      <c r="AI226" s="637"/>
      <c r="AJ226" s="628">
        <v>0</v>
      </c>
      <c r="AK226" s="547">
        <f>AJ226/VPI!R226</f>
        <v>0</v>
      </c>
      <c r="AL226" s="548">
        <f t="shared" si="15"/>
        <v>33229</v>
      </c>
      <c r="AM226" s="547">
        <f>AL226/VPI!R226</f>
        <v>3.4512698101556629</v>
      </c>
      <c r="AN226" s="628">
        <v>33229</v>
      </c>
      <c r="AO226" s="637"/>
      <c r="AP226" s="629">
        <v>-9.6043755098594907</v>
      </c>
      <c r="AR226" s="630">
        <v>0</v>
      </c>
    </row>
    <row r="227" spans="1:1476" x14ac:dyDescent="0.25">
      <c r="A227" s="608">
        <v>5766</v>
      </c>
      <c r="B227" s="609" t="s">
        <v>287</v>
      </c>
      <c r="C227" s="610">
        <v>886709.66</v>
      </c>
      <c r="D227" s="610">
        <v>111155.67</v>
      </c>
      <c r="E227" s="610"/>
      <c r="F227" s="611">
        <v>3670</v>
      </c>
      <c r="G227" s="610">
        <v>51759.25</v>
      </c>
      <c r="H227" s="610">
        <v>1892.05</v>
      </c>
      <c r="I227" s="610"/>
      <c r="J227" s="610">
        <v>29025.47</v>
      </c>
      <c r="K227" s="610">
        <v>-11427.7</v>
      </c>
      <c r="L227" s="610">
        <v>65669.7</v>
      </c>
      <c r="M227" s="434">
        <f t="shared" si="12"/>
        <v>1138454.1000000001</v>
      </c>
      <c r="N227" s="612">
        <v>34762.300000000003</v>
      </c>
      <c r="O227" s="612"/>
      <c r="P227" s="612">
        <v>160536.54999999999</v>
      </c>
      <c r="Q227" s="612">
        <v>2160.98</v>
      </c>
      <c r="R227" s="612">
        <v>9145.2000000000007</v>
      </c>
      <c r="S227" s="610">
        <v>5606.84</v>
      </c>
      <c r="T227" s="543">
        <f t="shared" si="13"/>
        <v>1350665.9700000002</v>
      </c>
      <c r="U227" s="575">
        <v>-17642.419999999998</v>
      </c>
      <c r="V227" s="612"/>
      <c r="W227" s="612">
        <v>-16.63</v>
      </c>
      <c r="X227" s="624">
        <v>75</v>
      </c>
      <c r="Y227" s="631">
        <v>0.7</v>
      </c>
      <c r="Z227" s="628">
        <f>VLOOKUP(A227,'[2]2022 toutes communes'!$B$9:$D$317,3,FALSE)</f>
        <v>592</v>
      </c>
      <c r="AA227" s="617"/>
      <c r="AB227" s="618">
        <v>11060</v>
      </c>
      <c r="AC227" s="547">
        <f>AB227/VPI!R227</f>
        <v>0.71712195096533637</v>
      </c>
      <c r="AD227" s="548">
        <f t="shared" si="14"/>
        <v>44727</v>
      </c>
      <c r="AE227" s="547">
        <f>AD227/VPI!R227</f>
        <v>2.9000645118288064</v>
      </c>
      <c r="AF227" s="618">
        <v>55787</v>
      </c>
      <c r="AG227" s="618">
        <v>70608</v>
      </c>
      <c r="AH227" s="618">
        <v>59489</v>
      </c>
      <c r="AI227" s="637"/>
      <c r="AJ227" s="628">
        <v>0</v>
      </c>
      <c r="AK227" s="547">
        <f>AJ227/VPI!R227</f>
        <v>0</v>
      </c>
      <c r="AL227" s="548">
        <f t="shared" si="15"/>
        <v>29268</v>
      </c>
      <c r="AM227" s="547">
        <f>AL227/VPI!R227</f>
        <v>1.8977147613791558</v>
      </c>
      <c r="AN227" s="628">
        <v>29268</v>
      </c>
      <c r="AO227" s="637"/>
      <c r="AP227" s="629">
        <v>7.2711864730717792</v>
      </c>
      <c r="AR227" s="630">
        <v>0</v>
      </c>
    </row>
    <row r="228" spans="1:1476" x14ac:dyDescent="0.25">
      <c r="A228" s="608">
        <v>5785</v>
      </c>
      <c r="B228" s="609" t="s">
        <v>239</v>
      </c>
      <c r="C228" s="610">
        <v>886890.73</v>
      </c>
      <c r="D228" s="610">
        <v>190343.15</v>
      </c>
      <c r="E228" s="610"/>
      <c r="F228" s="611"/>
      <c r="G228" s="610">
        <v>13429.35</v>
      </c>
      <c r="H228" s="610">
        <v>1464.5</v>
      </c>
      <c r="I228" s="610"/>
      <c r="J228" s="610">
        <v>26475.4</v>
      </c>
      <c r="K228" s="610">
        <v>989.6</v>
      </c>
      <c r="L228" s="610">
        <v>79253.75</v>
      </c>
      <c r="M228" s="434">
        <f t="shared" si="12"/>
        <v>1198846.48</v>
      </c>
      <c r="N228" s="612">
        <v>0</v>
      </c>
      <c r="O228" s="612">
        <v>13060.6</v>
      </c>
      <c r="P228" s="612">
        <v>16115</v>
      </c>
      <c r="Q228" s="612">
        <v>0</v>
      </c>
      <c r="R228" s="612">
        <v>7116.65</v>
      </c>
      <c r="S228" s="610">
        <v>1556.48</v>
      </c>
      <c r="T228" s="543">
        <f t="shared" si="13"/>
        <v>1236695.21</v>
      </c>
      <c r="U228" s="575">
        <v>-38928.74</v>
      </c>
      <c r="V228" s="612"/>
      <c r="W228" s="612">
        <v>-1826.55</v>
      </c>
      <c r="X228" s="624">
        <v>75</v>
      </c>
      <c r="Y228" s="631">
        <v>1</v>
      </c>
      <c r="Z228" s="628">
        <f>VLOOKUP(A228,'[2]2022 toutes communes'!$B$9:$D$317,3,FALSE)</f>
        <v>485</v>
      </c>
      <c r="AA228" s="617"/>
      <c r="AB228" s="618">
        <v>669</v>
      </c>
      <c r="AC228" s="547">
        <f>AB228/VPI!R228</f>
        <v>4.3267452087408585E-2</v>
      </c>
      <c r="AD228" s="548">
        <f t="shared" si="14"/>
        <v>123481</v>
      </c>
      <c r="AE228" s="547">
        <f>AD228/VPI!R228</f>
        <v>7.9861109883487291</v>
      </c>
      <c r="AF228" s="618">
        <v>124150</v>
      </c>
      <c r="AG228" s="618">
        <v>18953</v>
      </c>
      <c r="AH228" s="618">
        <v>68048</v>
      </c>
      <c r="AI228" s="637"/>
      <c r="AJ228" s="628">
        <v>0</v>
      </c>
      <c r="AK228" s="547">
        <f>AJ228/VPI!R228</f>
        <v>0</v>
      </c>
      <c r="AL228" s="548">
        <f t="shared" si="15"/>
        <v>34449</v>
      </c>
      <c r="AM228" s="547">
        <f>AL228/VPI!R228</f>
        <v>2.2279827458283088</v>
      </c>
      <c r="AN228" s="628">
        <v>34449</v>
      </c>
      <c r="AO228" s="637"/>
      <c r="AP228" s="629">
        <v>11.916290729056737</v>
      </c>
      <c r="AR228" s="630">
        <v>0</v>
      </c>
    </row>
    <row r="229" spans="1:1476" x14ac:dyDescent="0.25">
      <c r="A229" s="608">
        <v>5790</v>
      </c>
      <c r="B229" s="609" t="s">
        <v>240</v>
      </c>
      <c r="C229" s="610">
        <v>916041.75</v>
      </c>
      <c r="D229" s="610">
        <v>137997.01</v>
      </c>
      <c r="E229" s="610"/>
      <c r="F229" s="611"/>
      <c r="G229" s="610">
        <v>31051.65</v>
      </c>
      <c r="H229" s="610">
        <v>310</v>
      </c>
      <c r="I229" s="610"/>
      <c r="J229" s="610">
        <v>32004.46</v>
      </c>
      <c r="K229" s="610">
        <v>923.6</v>
      </c>
      <c r="L229" s="610">
        <v>98334.7</v>
      </c>
      <c r="M229" s="434">
        <f t="shared" si="12"/>
        <v>1216663.17</v>
      </c>
      <c r="N229" s="612">
        <v>8883.9500000000007</v>
      </c>
      <c r="O229" s="612"/>
      <c r="P229" s="612">
        <v>20852.2</v>
      </c>
      <c r="Q229" s="612">
        <v>2840.85</v>
      </c>
      <c r="R229" s="612">
        <v>202.05</v>
      </c>
      <c r="S229" s="610">
        <v>3277.45</v>
      </c>
      <c r="T229" s="543">
        <f t="shared" si="13"/>
        <v>1252719.67</v>
      </c>
      <c r="U229" s="575">
        <v>-5158.51</v>
      </c>
      <c r="V229" s="612"/>
      <c r="W229" s="612">
        <v>-1283.99</v>
      </c>
      <c r="X229" s="624">
        <v>74.5</v>
      </c>
      <c r="Y229" s="631">
        <v>1</v>
      </c>
      <c r="Z229" s="628">
        <f>VLOOKUP(A229,'[2]2022 toutes communes'!$B$9:$D$317,3,FALSE)</f>
        <v>544</v>
      </c>
      <c r="AA229" s="617"/>
      <c r="AB229" s="618">
        <v>23919</v>
      </c>
      <c r="AC229" s="547">
        <f>AB229/VPI!R229</f>
        <v>1.4650237671822679</v>
      </c>
      <c r="AD229" s="548">
        <f t="shared" si="14"/>
        <v>88040</v>
      </c>
      <c r="AE229" s="547">
        <f>AD229/VPI!R229</f>
        <v>5.3923948519054674</v>
      </c>
      <c r="AF229" s="618">
        <v>111959</v>
      </c>
      <c r="AG229" s="618">
        <v>21201</v>
      </c>
      <c r="AH229" s="618">
        <v>71386</v>
      </c>
      <c r="AI229" s="637"/>
      <c r="AJ229" s="628">
        <v>0</v>
      </c>
      <c r="AK229" s="547">
        <f>AJ229/VPI!R229</f>
        <v>0</v>
      </c>
      <c r="AL229" s="548">
        <f t="shared" si="15"/>
        <v>-3638</v>
      </c>
      <c r="AM229" s="547">
        <f>AL229/VPI!R229</f>
        <v>-0.22282522116347217</v>
      </c>
      <c r="AN229" s="628">
        <v>-3638</v>
      </c>
      <c r="AO229" s="637"/>
      <c r="AP229" s="629">
        <v>9.8484141944074928</v>
      </c>
      <c r="AR229" s="630">
        <v>0</v>
      </c>
    </row>
    <row r="230" spans="1:1476" x14ac:dyDescent="0.25">
      <c r="A230" s="608">
        <v>5792</v>
      </c>
      <c r="B230" s="609" t="s">
        <v>241</v>
      </c>
      <c r="C230" s="610">
        <v>1179149.6000000001</v>
      </c>
      <c r="D230" s="610">
        <v>146104.5</v>
      </c>
      <c r="E230" s="610"/>
      <c r="F230" s="611"/>
      <c r="G230" s="610">
        <v>10169.65</v>
      </c>
      <c r="H230" s="610">
        <v>3406.7</v>
      </c>
      <c r="I230" s="610"/>
      <c r="J230" s="610">
        <v>4966.45</v>
      </c>
      <c r="K230" s="610">
        <v>3467.5</v>
      </c>
      <c r="L230" s="610">
        <v>123761.9</v>
      </c>
      <c r="M230" s="434">
        <f t="shared" si="12"/>
        <v>1471026.2999999998</v>
      </c>
      <c r="N230" s="612">
        <v>0</v>
      </c>
      <c r="O230" s="612">
        <v>461.8</v>
      </c>
      <c r="P230" s="612">
        <v>35200</v>
      </c>
      <c r="Q230" s="612">
        <v>6827.94</v>
      </c>
      <c r="R230" s="612">
        <v>3383.6</v>
      </c>
      <c r="S230" s="610">
        <v>1418.8</v>
      </c>
      <c r="T230" s="543">
        <f t="shared" si="13"/>
        <v>1518318.44</v>
      </c>
      <c r="U230" s="575">
        <v>-17354.32</v>
      </c>
      <c r="V230" s="612"/>
      <c r="W230" s="612">
        <v>0</v>
      </c>
      <c r="X230" s="624">
        <v>75.5</v>
      </c>
      <c r="Y230" s="631">
        <v>1</v>
      </c>
      <c r="Z230" s="628">
        <f>VLOOKUP(A230,'[2]2022 toutes communes'!$B$9:$D$317,3,FALSE)</f>
        <v>661</v>
      </c>
      <c r="AA230" s="617"/>
      <c r="AB230" s="618">
        <v>61519</v>
      </c>
      <c r="AC230" s="547">
        <f>AB230/VPI!R230</f>
        <v>3.177115414460252</v>
      </c>
      <c r="AD230" s="548">
        <f t="shared" si="14"/>
        <v>178576</v>
      </c>
      <c r="AE230" s="547">
        <f>AD230/VPI!R230</f>
        <v>9.2224607398145935</v>
      </c>
      <c r="AF230" s="618">
        <v>240095</v>
      </c>
      <c r="AG230" s="618">
        <v>38487</v>
      </c>
      <c r="AH230" s="618">
        <v>90692</v>
      </c>
      <c r="AI230" s="637"/>
      <c r="AJ230" s="628">
        <v>0</v>
      </c>
      <c r="AK230" s="547">
        <f>AJ230/VPI!R230</f>
        <v>0</v>
      </c>
      <c r="AL230" s="548">
        <f t="shared" si="15"/>
        <v>9894</v>
      </c>
      <c r="AM230" s="547">
        <f>AL230/VPI!R230</f>
        <v>0.51097026789560518</v>
      </c>
      <c r="AN230" s="628">
        <v>9894</v>
      </c>
      <c r="AO230" s="637"/>
      <c r="AP230" s="629">
        <v>13.317909050337219</v>
      </c>
      <c r="AR230" s="630">
        <v>0</v>
      </c>
    </row>
    <row r="231" spans="1:1476" x14ac:dyDescent="0.25">
      <c r="A231" s="608">
        <v>5798</v>
      </c>
      <c r="B231" s="609" t="s">
        <v>242</v>
      </c>
      <c r="C231" s="610">
        <v>1006521.36</v>
      </c>
      <c r="D231" s="610">
        <v>143547.66</v>
      </c>
      <c r="E231" s="610"/>
      <c r="F231" s="611"/>
      <c r="G231" s="610">
        <v>19528.900000000001</v>
      </c>
      <c r="H231" s="610">
        <v>2949.4</v>
      </c>
      <c r="I231" s="610"/>
      <c r="J231" s="610">
        <v>13253.26</v>
      </c>
      <c r="K231" s="610">
        <v>6916.55</v>
      </c>
      <c r="L231" s="610">
        <v>98809.5</v>
      </c>
      <c r="M231" s="434">
        <f t="shared" si="12"/>
        <v>1291526.6299999999</v>
      </c>
      <c r="N231" s="612">
        <v>23607.15</v>
      </c>
      <c r="O231" s="612">
        <v>1320</v>
      </c>
      <c r="P231" s="612">
        <v>14531.7</v>
      </c>
      <c r="Q231" s="612">
        <v>3880.81</v>
      </c>
      <c r="R231" s="612">
        <v>46485.9</v>
      </c>
      <c r="S231" s="610">
        <v>2349.1</v>
      </c>
      <c r="T231" s="543">
        <f t="shared" si="13"/>
        <v>1383701.2899999998</v>
      </c>
      <c r="U231" s="575">
        <v>-11912.48</v>
      </c>
      <c r="V231" s="612">
        <v>-29696.85</v>
      </c>
      <c r="W231" s="612">
        <v>0</v>
      </c>
      <c r="X231" s="624">
        <v>77.5</v>
      </c>
      <c r="Y231" s="631">
        <v>1</v>
      </c>
      <c r="Z231" s="628">
        <f>VLOOKUP(A231,'[2]2022 toutes communes'!$B$9:$D$317,3,FALSE)</f>
        <v>529</v>
      </c>
      <c r="AA231" s="617"/>
      <c r="AB231" s="618">
        <v>19136</v>
      </c>
      <c r="AC231" s="547">
        <f>AB231/VPI!R231</f>
        <v>1.1806259554562877</v>
      </c>
      <c r="AD231" s="548">
        <f t="shared" si="14"/>
        <v>97225</v>
      </c>
      <c r="AE231" s="547">
        <f>AD231/VPI!R231</f>
        <v>5.9984510095755414</v>
      </c>
      <c r="AF231" s="618">
        <v>116361</v>
      </c>
      <c r="AG231" s="618">
        <v>20697</v>
      </c>
      <c r="AH231" s="618">
        <v>84577</v>
      </c>
      <c r="AI231" s="637"/>
      <c r="AJ231" s="628">
        <v>0</v>
      </c>
      <c r="AK231" s="547">
        <f>AJ231/VPI!R231</f>
        <v>0</v>
      </c>
      <c r="AL231" s="548">
        <f t="shared" si="15"/>
        <v>40034</v>
      </c>
      <c r="AM231" s="547">
        <f>AL231/VPI!R231</f>
        <v>2.4699613033411905</v>
      </c>
      <c r="AN231" s="628">
        <v>40034</v>
      </c>
      <c r="AO231" s="637"/>
      <c r="AP231" s="629">
        <v>15.488637686586149</v>
      </c>
      <c r="AR231" s="630">
        <v>0</v>
      </c>
    </row>
    <row r="232" spans="1:1476" x14ac:dyDescent="0.25">
      <c r="A232" s="608">
        <v>5799</v>
      </c>
      <c r="B232" s="609" t="s">
        <v>243</v>
      </c>
      <c r="C232" s="610">
        <v>3983348.59</v>
      </c>
      <c r="D232" s="610">
        <v>520080</v>
      </c>
      <c r="E232" s="610"/>
      <c r="F232" s="611"/>
      <c r="G232" s="610">
        <v>52319.15</v>
      </c>
      <c r="H232" s="610">
        <v>3385.1</v>
      </c>
      <c r="I232" s="610"/>
      <c r="J232" s="610">
        <v>58215.24</v>
      </c>
      <c r="K232" s="610">
        <v>11166.75</v>
      </c>
      <c r="L232" s="610">
        <v>439494.7</v>
      </c>
      <c r="M232" s="434">
        <f t="shared" si="12"/>
        <v>5068009.53</v>
      </c>
      <c r="N232" s="612">
        <v>35318.199999999997</v>
      </c>
      <c r="O232" s="612">
        <v>351741.3</v>
      </c>
      <c r="P232" s="612">
        <v>248265.60000000001</v>
      </c>
      <c r="Q232" s="612">
        <v>4516.9399999999996</v>
      </c>
      <c r="R232" s="612">
        <v>223274.4</v>
      </c>
      <c r="S232" s="610">
        <v>5821.38</v>
      </c>
      <c r="T232" s="543">
        <f t="shared" si="13"/>
        <v>5936947.3500000006</v>
      </c>
      <c r="U232" s="575">
        <v>-29334.799999999999</v>
      </c>
      <c r="V232" s="612"/>
      <c r="W232" s="612">
        <v>-233.5</v>
      </c>
      <c r="X232" s="624">
        <v>69</v>
      </c>
      <c r="Y232" s="631">
        <v>1</v>
      </c>
      <c r="Z232" s="628">
        <f>VLOOKUP(A232,'[2]2022 toutes communes'!$B$9:$D$317,3,FALSE)</f>
        <v>2136</v>
      </c>
      <c r="AA232" s="617"/>
      <c r="AB232" s="618">
        <v>262043</v>
      </c>
      <c r="AC232" s="547">
        <f>AB232/VPI!R232</f>
        <v>3.5812549985471236</v>
      </c>
      <c r="AD232" s="548">
        <f t="shared" si="14"/>
        <v>368417</v>
      </c>
      <c r="AE232" s="547">
        <f>AD232/VPI!R232</f>
        <v>5.035033268584681</v>
      </c>
      <c r="AF232" s="618">
        <v>630460</v>
      </c>
      <c r="AG232" s="618">
        <v>122495</v>
      </c>
      <c r="AH232" s="618">
        <v>326569</v>
      </c>
      <c r="AI232" s="637"/>
      <c r="AJ232" s="628">
        <v>0</v>
      </c>
      <c r="AK232" s="547">
        <f>AJ232/VPI!R232</f>
        <v>0</v>
      </c>
      <c r="AL232" s="548">
        <f t="shared" si="15"/>
        <v>33199</v>
      </c>
      <c r="AM232" s="547">
        <f>AL232/VPI!R232</f>
        <v>0.45371975094456235</v>
      </c>
      <c r="AN232" s="628">
        <v>33199</v>
      </c>
      <c r="AO232" s="637"/>
      <c r="AP232" s="629">
        <v>15.715541187125192</v>
      </c>
      <c r="AR232" s="630">
        <v>0</v>
      </c>
    </row>
    <row r="233" spans="1:1476" x14ac:dyDescent="0.25">
      <c r="A233" s="608">
        <v>5803</v>
      </c>
      <c r="B233" s="609" t="s">
        <v>314</v>
      </c>
      <c r="C233" s="610">
        <v>977790.53</v>
      </c>
      <c r="D233" s="610">
        <v>129383.97</v>
      </c>
      <c r="E233" s="610"/>
      <c r="F233" s="611"/>
      <c r="G233" s="610">
        <v>5822.5</v>
      </c>
      <c r="H233" s="610">
        <v>754.9</v>
      </c>
      <c r="I233" s="610"/>
      <c r="J233" s="610">
        <v>25407.47</v>
      </c>
      <c r="K233" s="610"/>
      <c r="L233" s="610">
        <v>111048.45</v>
      </c>
      <c r="M233" s="434">
        <f t="shared" si="12"/>
        <v>1250207.8199999998</v>
      </c>
      <c r="N233" s="612">
        <v>1523.85</v>
      </c>
      <c r="O233" s="612">
        <v>112264.8</v>
      </c>
      <c r="P233" s="612">
        <v>15440.25</v>
      </c>
      <c r="Q233" s="612">
        <v>-336.85</v>
      </c>
      <c r="R233" s="612">
        <v>7576.4</v>
      </c>
      <c r="S233" s="610">
        <v>687.37</v>
      </c>
      <c r="T233" s="543">
        <f t="shared" si="13"/>
        <v>1387363.64</v>
      </c>
      <c r="U233" s="575">
        <v>-23277.01</v>
      </c>
      <c r="V233" s="612"/>
      <c r="W233" s="612">
        <v>-540.85</v>
      </c>
      <c r="X233" s="624">
        <v>74</v>
      </c>
      <c r="Y233" s="631">
        <v>1</v>
      </c>
      <c r="Z233" s="628">
        <f>VLOOKUP(A233,'[2]2022 toutes communes'!$B$9:$D$317,3,FALSE)</f>
        <v>632</v>
      </c>
      <c r="AA233" s="617"/>
      <c r="AB233" s="618">
        <v>18386</v>
      </c>
      <c r="AC233" s="547">
        <f>AB233/VPI!R233</f>
        <v>1.1090886965758238</v>
      </c>
      <c r="AD233" s="548">
        <f t="shared" si="14"/>
        <v>92187</v>
      </c>
      <c r="AE233" s="547">
        <f>AD233/VPI!R233</f>
        <v>5.5609463543585047</v>
      </c>
      <c r="AF233" s="618">
        <v>110573</v>
      </c>
      <c r="AG233" s="618">
        <v>24457</v>
      </c>
      <c r="AH233" s="618">
        <v>99180</v>
      </c>
      <c r="AI233" s="637"/>
      <c r="AJ233" s="628">
        <v>0</v>
      </c>
      <c r="AK233" s="547">
        <f>AJ233/VPI!R233</f>
        <v>0</v>
      </c>
      <c r="AL233" s="548">
        <f t="shared" si="15"/>
        <v>50569</v>
      </c>
      <c r="AM233" s="547">
        <f>AL233/VPI!R233</f>
        <v>3.0504463340119021</v>
      </c>
      <c r="AN233" s="628">
        <v>50569</v>
      </c>
      <c r="AO233" s="637"/>
      <c r="AP233" s="629">
        <v>10.405914266366604</v>
      </c>
      <c r="AR233" s="630">
        <v>0</v>
      </c>
    </row>
    <row r="234" spans="1:1476" x14ac:dyDescent="0.25">
      <c r="A234" s="608">
        <v>5804</v>
      </c>
      <c r="B234" s="609" t="s">
        <v>347</v>
      </c>
      <c r="C234" s="610">
        <v>2537631.9300000002</v>
      </c>
      <c r="D234" s="610">
        <v>344855.25</v>
      </c>
      <c r="E234" s="610"/>
      <c r="F234" s="611"/>
      <c r="G234" s="610">
        <v>19246.3</v>
      </c>
      <c r="H234" s="610">
        <v>718.95</v>
      </c>
      <c r="I234" s="610"/>
      <c r="J234" s="610">
        <v>45799.15</v>
      </c>
      <c r="K234" s="610">
        <v>3988.3</v>
      </c>
      <c r="L234" s="610">
        <v>281979.34999999998</v>
      </c>
      <c r="M234" s="434">
        <f t="shared" si="12"/>
        <v>3234219.23</v>
      </c>
      <c r="N234" s="612">
        <v>14036.3</v>
      </c>
      <c r="O234" s="612">
        <v>11126.8</v>
      </c>
      <c r="P234" s="612">
        <v>130076.3</v>
      </c>
      <c r="Q234" s="612">
        <v>3920.01</v>
      </c>
      <c r="R234" s="612">
        <v>58763.35</v>
      </c>
      <c r="S234" s="610">
        <v>2086.4699999999998</v>
      </c>
      <c r="T234" s="543">
        <f t="shared" si="13"/>
        <v>3454228.4599999995</v>
      </c>
      <c r="U234" s="575">
        <v>-57096.959999999999</v>
      </c>
      <c r="V234" s="612"/>
      <c r="W234" s="612">
        <v>-1791.86</v>
      </c>
      <c r="X234" s="624">
        <v>70.5</v>
      </c>
      <c r="Y234" s="631">
        <v>1</v>
      </c>
      <c r="Z234" s="628">
        <f>VLOOKUP(A234,'[2]2022 toutes communes'!$B$9:$D$317,3,FALSE)</f>
        <v>1565</v>
      </c>
      <c r="AA234" s="617"/>
      <c r="AB234" s="618">
        <v>56469</v>
      </c>
      <c r="AC234" s="547">
        <f>AB234/VPI!R234</f>
        <v>1.2513809878211295</v>
      </c>
      <c r="AD234" s="548">
        <f t="shared" si="14"/>
        <v>528776</v>
      </c>
      <c r="AE234" s="547">
        <f>AD234/VPI!R234</f>
        <v>11.717937863537616</v>
      </c>
      <c r="AF234" s="618">
        <v>585245</v>
      </c>
      <c r="AG234" s="618">
        <v>62129</v>
      </c>
      <c r="AH234" s="618">
        <v>141160</v>
      </c>
      <c r="AI234" s="637"/>
      <c r="AJ234" s="628">
        <v>0</v>
      </c>
      <c r="AK234" s="547">
        <f>AJ234/VPI!R234</f>
        <v>0</v>
      </c>
      <c r="AL234" s="548">
        <f t="shared" si="15"/>
        <v>181502</v>
      </c>
      <c r="AM234" s="547">
        <f>AL234/VPI!R234</f>
        <v>4.022174149560124</v>
      </c>
      <c r="AN234" s="628">
        <v>181502</v>
      </c>
      <c r="AO234" s="637"/>
      <c r="AP234" s="629">
        <v>10.681123475194399</v>
      </c>
      <c r="AR234" s="630">
        <v>0</v>
      </c>
    </row>
    <row r="235" spans="1:1476" x14ac:dyDescent="0.25">
      <c r="A235" s="608">
        <v>5805</v>
      </c>
      <c r="B235" s="609" t="s">
        <v>349</v>
      </c>
      <c r="C235" s="610">
        <v>8984314.5099999998</v>
      </c>
      <c r="D235" s="610">
        <v>1221248.8600000001</v>
      </c>
      <c r="E235" s="610"/>
      <c r="F235" s="610"/>
      <c r="G235" s="610">
        <v>423963.2</v>
      </c>
      <c r="H235" s="610">
        <v>56806.25</v>
      </c>
      <c r="I235" s="610">
        <v>74370.649999999994</v>
      </c>
      <c r="J235" s="610">
        <v>203413.32</v>
      </c>
      <c r="K235" s="610">
        <v>64003.6</v>
      </c>
      <c r="L235" s="610">
        <v>1174988.7</v>
      </c>
      <c r="M235" s="434">
        <f t="shared" si="12"/>
        <v>12203109.089999998</v>
      </c>
      <c r="N235" s="610">
        <v>146218.9</v>
      </c>
      <c r="O235" s="610">
        <v>79895.5</v>
      </c>
      <c r="P235" s="610">
        <v>406511.9</v>
      </c>
      <c r="Q235" s="610">
        <v>18132.93</v>
      </c>
      <c r="R235" s="610">
        <v>420023.15</v>
      </c>
      <c r="S235" s="610">
        <v>50242.879999999997</v>
      </c>
      <c r="T235" s="543">
        <f t="shared" si="13"/>
        <v>13324134.35</v>
      </c>
      <c r="U235" s="610">
        <v>-118672.78</v>
      </c>
      <c r="V235" s="610"/>
      <c r="W235" s="610">
        <v>-4816.6099999999997</v>
      </c>
      <c r="X235" s="610">
        <v>69</v>
      </c>
      <c r="Y235" s="633">
        <v>1.1000000000000001</v>
      </c>
      <c r="Z235" s="628">
        <f>VLOOKUP(A235,'[2]2022 toutes communes'!$B$9:$D$317,3,FALSE)</f>
        <v>6119</v>
      </c>
      <c r="AA235" s="634"/>
      <c r="AB235" s="635">
        <v>448694</v>
      </c>
      <c r="AC235" s="547">
        <f>AB235/VPI!R235</f>
        <v>2.57116746269068</v>
      </c>
      <c r="AD235" s="548">
        <f t="shared" si="14"/>
        <v>1217464</v>
      </c>
      <c r="AE235" s="547">
        <f>AD235/VPI!R235</f>
        <v>6.976478009060175</v>
      </c>
      <c r="AF235" s="635">
        <v>1666158</v>
      </c>
      <c r="AG235" s="635">
        <v>591060</v>
      </c>
      <c r="AH235" s="635">
        <v>763796</v>
      </c>
      <c r="AI235" s="634"/>
      <c r="AJ235" s="610">
        <v>0</v>
      </c>
      <c r="AK235" s="547">
        <f>AJ235/VPI!R235</f>
        <v>0</v>
      </c>
      <c r="AL235" s="548">
        <f t="shared" si="15"/>
        <v>62909</v>
      </c>
      <c r="AM235" s="547">
        <f>AL235/VPI!R235</f>
        <v>0.36048971885161823</v>
      </c>
      <c r="AN235" s="628">
        <v>62909</v>
      </c>
      <c r="AO235" s="634"/>
      <c r="AP235" s="629">
        <v>4.76</v>
      </c>
      <c r="AQ235" s="610"/>
      <c r="AR235" s="630">
        <v>0</v>
      </c>
    </row>
    <row r="236" spans="1:1476" x14ac:dyDescent="0.25">
      <c r="A236" s="608">
        <v>5806</v>
      </c>
      <c r="B236" s="609" t="s">
        <v>374</v>
      </c>
      <c r="C236" s="610">
        <v>5975832.5899999999</v>
      </c>
      <c r="D236" s="610">
        <v>718321.18</v>
      </c>
      <c r="E236" s="610"/>
      <c r="F236" s="611"/>
      <c r="G236" s="610">
        <v>99147.9</v>
      </c>
      <c r="H236" s="610">
        <v>6418.35</v>
      </c>
      <c r="I236" s="610">
        <v>53357.25</v>
      </c>
      <c r="J236" s="610">
        <v>100414.72</v>
      </c>
      <c r="K236" s="610">
        <v>25727.55</v>
      </c>
      <c r="L236" s="610">
        <v>578527.15</v>
      </c>
      <c r="M236" s="434">
        <f t="shared" si="12"/>
        <v>7557746.6899999995</v>
      </c>
      <c r="N236" s="612">
        <v>34602.65</v>
      </c>
      <c r="O236" s="612">
        <v>112064.7</v>
      </c>
      <c r="P236" s="612">
        <v>248123.25</v>
      </c>
      <c r="Q236" s="612">
        <v>2128.75</v>
      </c>
      <c r="R236" s="612">
        <v>362969.35</v>
      </c>
      <c r="S236" s="610">
        <v>11032.22</v>
      </c>
      <c r="T236" s="543">
        <f t="shared" si="13"/>
        <v>8328667.6099999994</v>
      </c>
      <c r="U236" s="575">
        <v>-53150.83</v>
      </c>
      <c r="V236" s="612"/>
      <c r="W236" s="612">
        <v>-372.8</v>
      </c>
      <c r="X236" s="624">
        <v>73</v>
      </c>
      <c r="Y236" s="631">
        <v>1</v>
      </c>
      <c r="Z236" s="628">
        <f>VLOOKUP(A236,'[2]2022 toutes communes'!$B$9:$D$317,3,FALSE)</f>
        <v>3110</v>
      </c>
      <c r="AA236" s="617"/>
      <c r="AB236" s="618">
        <v>286758</v>
      </c>
      <c r="AC236" s="547">
        <f>AB236/VPI!R236</f>
        <v>2.784656725858397</v>
      </c>
      <c r="AD236" s="548">
        <f t="shared" si="14"/>
        <v>547144</v>
      </c>
      <c r="AE236" s="547">
        <f>AD236/VPI!R236</f>
        <v>5.3132195775290203</v>
      </c>
      <c r="AF236" s="618">
        <v>833902</v>
      </c>
      <c r="AG236" s="618">
        <v>179934</v>
      </c>
      <c r="AH236" s="618">
        <v>487279</v>
      </c>
      <c r="AI236" s="637"/>
      <c r="AJ236" s="628">
        <v>0</v>
      </c>
      <c r="AK236" s="547">
        <f>AJ236/VPI!R236</f>
        <v>0</v>
      </c>
      <c r="AL236" s="548">
        <f t="shared" si="15"/>
        <v>1699</v>
      </c>
      <c r="AM236" s="547">
        <f>AL236/VPI!R236</f>
        <v>1.6498691500266484E-2</v>
      </c>
      <c r="AN236" s="628">
        <v>1699</v>
      </c>
      <c r="AO236" s="637"/>
      <c r="AP236" s="629">
        <v>12.37818528868133</v>
      </c>
      <c r="AR236" s="630">
        <v>0</v>
      </c>
    </row>
    <row r="237" spans="1:1476" s="632" customFormat="1" x14ac:dyDescent="0.25">
      <c r="A237" s="608">
        <v>5812</v>
      </c>
      <c r="B237" s="609" t="s">
        <v>315</v>
      </c>
      <c r="C237" s="610">
        <v>225989.22</v>
      </c>
      <c r="D237" s="610">
        <v>26768.09</v>
      </c>
      <c r="E237" s="610"/>
      <c r="F237" s="611"/>
      <c r="G237" s="610">
        <v>1354.65</v>
      </c>
      <c r="H237" s="610">
        <v>413.55</v>
      </c>
      <c r="I237" s="610"/>
      <c r="J237" s="610">
        <v>3612.06</v>
      </c>
      <c r="K237" s="610">
        <v>490.75</v>
      </c>
      <c r="L237" s="610">
        <v>18467</v>
      </c>
      <c r="M237" s="434">
        <f t="shared" si="12"/>
        <v>277095.31999999995</v>
      </c>
      <c r="N237" s="612">
        <v>0</v>
      </c>
      <c r="O237" s="612">
        <v>2178</v>
      </c>
      <c r="P237" s="612">
        <v>13310</v>
      </c>
      <c r="Q237" s="612"/>
      <c r="R237" s="612">
        <v>30753.7</v>
      </c>
      <c r="S237" s="610">
        <v>184.79</v>
      </c>
      <c r="T237" s="543">
        <f t="shared" si="13"/>
        <v>323521.80999999994</v>
      </c>
      <c r="U237" s="575">
        <v>-71.84</v>
      </c>
      <c r="V237" s="612"/>
      <c r="W237" s="612">
        <v>-59.45</v>
      </c>
      <c r="X237" s="624">
        <v>77</v>
      </c>
      <c r="Y237" s="631">
        <v>0.8</v>
      </c>
      <c r="Z237" s="628">
        <f>VLOOKUP(A237,'[2]2022 toutes communes'!$B$9:$D$317,3,FALSE)</f>
        <v>169</v>
      </c>
      <c r="AA237" s="617"/>
      <c r="AB237" s="618">
        <v>13747</v>
      </c>
      <c r="AC237" s="547">
        <f>AB237/VPI!R237</f>
        <v>3.756736495520018</v>
      </c>
      <c r="AD237" s="548">
        <f t="shared" si="14"/>
        <v>24076</v>
      </c>
      <c r="AE237" s="547">
        <f>AD237/VPI!R237</f>
        <v>6.5794128076045642</v>
      </c>
      <c r="AF237" s="618">
        <v>37823</v>
      </c>
      <c r="AG237" s="618">
        <v>6450</v>
      </c>
      <c r="AH237" s="618">
        <v>26527</v>
      </c>
      <c r="AI237" s="637"/>
      <c r="AJ237" s="628">
        <v>67</v>
      </c>
      <c r="AK237" s="547">
        <f>AJ237/VPI!R237</f>
        <v>1.8309547188465933E-2</v>
      </c>
      <c r="AL237" s="548">
        <f t="shared" si="15"/>
        <v>14588</v>
      </c>
      <c r="AM237" s="547">
        <f>AL237/VPI!R237</f>
        <v>3.9865623042588214</v>
      </c>
      <c r="AN237" s="628">
        <v>14655</v>
      </c>
      <c r="AO237" s="637"/>
      <c r="AP237" s="629">
        <v>-9.5838895694061215</v>
      </c>
      <c r="AQ237" s="575"/>
      <c r="AR237" s="630">
        <v>0</v>
      </c>
      <c r="AS237" s="575"/>
      <c r="AT237" s="575"/>
      <c r="AU237" s="575"/>
      <c r="AV237" s="575"/>
      <c r="AW237" s="575"/>
      <c r="AX237" s="575"/>
      <c r="AY237" s="575"/>
      <c r="AZ237" s="575"/>
      <c r="BA237" s="575"/>
      <c r="BB237" s="575"/>
      <c r="BC237" s="575"/>
      <c r="BD237" s="575"/>
      <c r="BE237" s="575"/>
      <c r="BF237" s="575"/>
      <c r="BG237" s="575"/>
      <c r="BH237" s="575"/>
      <c r="BI237" s="575"/>
      <c r="BJ237" s="575"/>
      <c r="BK237" s="575"/>
      <c r="BL237" s="575"/>
      <c r="BM237" s="575"/>
      <c r="BN237" s="575"/>
      <c r="BO237" s="575"/>
      <c r="BP237" s="575"/>
      <c r="BQ237" s="575"/>
      <c r="BR237" s="575"/>
      <c r="BS237" s="575"/>
      <c r="BT237" s="575"/>
      <c r="BU237" s="575"/>
      <c r="BV237" s="575"/>
      <c r="BW237" s="575"/>
      <c r="BX237" s="575"/>
      <c r="BY237" s="575"/>
      <c r="BZ237" s="575"/>
      <c r="CA237" s="575"/>
      <c r="CB237" s="575"/>
      <c r="CC237" s="575"/>
      <c r="CD237" s="575"/>
      <c r="CE237" s="575"/>
      <c r="CF237" s="575"/>
      <c r="CG237" s="575"/>
      <c r="CH237" s="575"/>
      <c r="CI237" s="575"/>
      <c r="CJ237" s="575"/>
      <c r="CK237" s="575"/>
      <c r="CL237" s="575"/>
      <c r="CM237" s="575"/>
      <c r="CN237" s="575"/>
      <c r="CO237" s="575"/>
      <c r="CP237" s="575"/>
      <c r="CQ237" s="575"/>
      <c r="CR237" s="575"/>
      <c r="CS237" s="575"/>
      <c r="CT237" s="575"/>
      <c r="CU237" s="575"/>
      <c r="CV237" s="575"/>
      <c r="CW237" s="575"/>
      <c r="CX237" s="575"/>
      <c r="CY237" s="575"/>
      <c r="CZ237" s="575"/>
      <c r="DA237" s="575"/>
      <c r="DB237" s="575"/>
      <c r="DC237" s="575"/>
      <c r="DD237" s="575"/>
      <c r="DE237" s="575"/>
      <c r="DF237" s="575"/>
      <c r="DG237" s="575"/>
      <c r="DH237" s="575"/>
      <c r="DI237" s="575"/>
      <c r="DJ237" s="575"/>
      <c r="DK237" s="575"/>
      <c r="DL237" s="575"/>
      <c r="DM237" s="575"/>
      <c r="DN237" s="575"/>
      <c r="DO237" s="575"/>
      <c r="DP237" s="575"/>
      <c r="DQ237" s="575"/>
      <c r="DR237" s="575"/>
      <c r="DS237" s="575"/>
      <c r="DT237" s="575"/>
      <c r="DU237" s="575"/>
      <c r="DV237" s="575"/>
      <c r="DW237" s="575"/>
      <c r="DX237" s="575"/>
      <c r="DY237" s="575"/>
      <c r="DZ237" s="575"/>
      <c r="EA237" s="575"/>
      <c r="EB237" s="575"/>
      <c r="EC237" s="575"/>
      <c r="ED237" s="575"/>
      <c r="EE237" s="575"/>
      <c r="EF237" s="575"/>
      <c r="EG237" s="575"/>
      <c r="EH237" s="575"/>
      <c r="EI237" s="575"/>
      <c r="EJ237" s="575"/>
      <c r="EK237" s="575"/>
      <c r="EL237" s="575"/>
      <c r="EM237" s="575"/>
      <c r="EN237" s="575"/>
      <c r="EO237" s="575"/>
      <c r="EP237" s="575"/>
      <c r="EQ237" s="575"/>
      <c r="ER237" s="575"/>
      <c r="ES237" s="575"/>
      <c r="ET237" s="575"/>
      <c r="EU237" s="575"/>
      <c r="EV237" s="575"/>
      <c r="EW237" s="575"/>
      <c r="EX237" s="575"/>
      <c r="EY237" s="575"/>
      <c r="EZ237" s="575"/>
      <c r="FA237" s="575"/>
      <c r="FB237" s="575"/>
      <c r="FC237" s="575"/>
      <c r="FD237" s="575"/>
      <c r="FE237" s="575"/>
      <c r="FF237" s="575"/>
      <c r="FG237" s="575"/>
      <c r="FH237" s="575"/>
      <c r="FI237" s="575"/>
      <c r="FJ237" s="575"/>
      <c r="FK237" s="575"/>
      <c r="FL237" s="575"/>
      <c r="FM237" s="575"/>
      <c r="FN237" s="575"/>
      <c r="FO237" s="575"/>
      <c r="FP237" s="575"/>
      <c r="FQ237" s="575"/>
      <c r="FR237" s="575"/>
      <c r="FS237" s="575"/>
      <c r="FT237" s="575"/>
      <c r="FU237" s="575"/>
      <c r="FV237" s="575"/>
      <c r="FW237" s="575"/>
      <c r="FX237" s="575"/>
      <c r="FY237" s="575"/>
      <c r="FZ237" s="575"/>
      <c r="GA237" s="575"/>
      <c r="GB237" s="575"/>
      <c r="GC237" s="575"/>
      <c r="GD237" s="575"/>
      <c r="GE237" s="575"/>
      <c r="GF237" s="575"/>
      <c r="GG237" s="575"/>
      <c r="GH237" s="575"/>
      <c r="GI237" s="575"/>
      <c r="GJ237" s="575"/>
      <c r="GK237" s="575"/>
      <c r="GL237" s="575"/>
      <c r="GM237" s="575"/>
      <c r="GN237" s="575"/>
      <c r="GO237" s="575"/>
      <c r="GP237" s="575"/>
      <c r="GQ237" s="575"/>
      <c r="GR237" s="575"/>
      <c r="GS237" s="575"/>
      <c r="GT237" s="575"/>
      <c r="GU237" s="575"/>
      <c r="GV237" s="575"/>
      <c r="GW237" s="575"/>
      <c r="GX237" s="575"/>
      <c r="GY237" s="575"/>
      <c r="GZ237" s="575"/>
      <c r="HA237" s="575"/>
      <c r="HB237" s="575"/>
      <c r="HC237" s="575"/>
      <c r="HD237" s="575"/>
      <c r="HE237" s="575"/>
      <c r="HF237" s="575"/>
      <c r="HG237" s="575"/>
      <c r="HH237" s="575"/>
      <c r="HI237" s="575"/>
      <c r="HJ237" s="575"/>
      <c r="HK237" s="575"/>
      <c r="HL237" s="575"/>
      <c r="HM237" s="575"/>
      <c r="HN237" s="575"/>
      <c r="HO237" s="575"/>
      <c r="HP237" s="575"/>
      <c r="HQ237" s="575"/>
      <c r="HR237" s="575"/>
      <c r="HS237" s="575"/>
      <c r="HT237" s="575"/>
      <c r="HU237" s="575"/>
      <c r="HV237" s="575"/>
      <c r="HW237" s="575"/>
      <c r="HX237" s="575"/>
      <c r="HY237" s="575"/>
      <c r="HZ237" s="575"/>
      <c r="IA237" s="575"/>
      <c r="IB237" s="575"/>
      <c r="IC237" s="575"/>
      <c r="ID237" s="575"/>
      <c r="IE237" s="575"/>
      <c r="IF237" s="575"/>
      <c r="IG237" s="575"/>
      <c r="IH237" s="575"/>
      <c r="II237" s="575"/>
      <c r="IJ237" s="575"/>
      <c r="IK237" s="575"/>
      <c r="IL237" s="575"/>
      <c r="IM237" s="575"/>
      <c r="IN237" s="575"/>
      <c r="IO237" s="575"/>
      <c r="IP237" s="575"/>
      <c r="IQ237" s="575"/>
      <c r="IR237" s="575"/>
      <c r="IS237" s="575"/>
      <c r="IT237" s="575"/>
      <c r="IU237" s="575"/>
      <c r="IV237" s="575"/>
      <c r="IW237" s="575"/>
      <c r="IX237" s="575"/>
      <c r="IY237" s="575"/>
      <c r="IZ237" s="575"/>
      <c r="JA237" s="575"/>
      <c r="JB237" s="575"/>
      <c r="JC237" s="575"/>
      <c r="JD237" s="575"/>
      <c r="JE237" s="575"/>
      <c r="JF237" s="575"/>
      <c r="JG237" s="575"/>
      <c r="JH237" s="575"/>
      <c r="JI237" s="575"/>
      <c r="JJ237" s="575"/>
      <c r="JK237" s="575"/>
      <c r="JL237" s="575"/>
      <c r="JM237" s="575"/>
      <c r="JN237" s="575"/>
      <c r="JO237" s="575"/>
      <c r="JP237" s="575"/>
      <c r="JQ237" s="575"/>
      <c r="JR237" s="575"/>
      <c r="JS237" s="575"/>
      <c r="JT237" s="575"/>
      <c r="JU237" s="575"/>
      <c r="JV237" s="575"/>
      <c r="JW237" s="575"/>
      <c r="JX237" s="575"/>
      <c r="JY237" s="575"/>
      <c r="JZ237" s="575"/>
      <c r="KA237" s="575"/>
      <c r="KB237" s="575"/>
      <c r="KC237" s="575"/>
      <c r="KD237" s="575"/>
      <c r="KE237" s="575"/>
      <c r="KF237" s="575"/>
      <c r="KG237" s="575"/>
      <c r="KH237" s="575"/>
      <c r="KI237" s="575"/>
      <c r="KJ237" s="575"/>
      <c r="KK237" s="575"/>
      <c r="KL237" s="575"/>
      <c r="KM237" s="575"/>
      <c r="KN237" s="575"/>
      <c r="KO237" s="575"/>
      <c r="KP237" s="575"/>
      <c r="KQ237" s="575"/>
      <c r="KR237" s="575"/>
      <c r="KS237" s="575"/>
      <c r="KT237" s="575"/>
      <c r="KU237" s="575"/>
      <c r="KV237" s="575"/>
      <c r="KW237" s="575"/>
      <c r="KX237" s="575"/>
      <c r="KY237" s="575"/>
      <c r="KZ237" s="575"/>
      <c r="LA237" s="575"/>
      <c r="LB237" s="575"/>
      <c r="LC237" s="575"/>
      <c r="LD237" s="575"/>
      <c r="LE237" s="575"/>
      <c r="LF237" s="575"/>
      <c r="LG237" s="575"/>
      <c r="LH237" s="575"/>
      <c r="LI237" s="575"/>
      <c r="LJ237" s="575"/>
      <c r="LK237" s="575"/>
      <c r="LL237" s="575"/>
      <c r="LM237" s="575"/>
      <c r="LN237" s="575"/>
      <c r="LO237" s="575"/>
      <c r="LP237" s="575"/>
      <c r="LQ237" s="575"/>
      <c r="LR237" s="575"/>
      <c r="LS237" s="575"/>
      <c r="LT237" s="575"/>
      <c r="LU237" s="575"/>
      <c r="LV237" s="575"/>
      <c r="LW237" s="575"/>
      <c r="LX237" s="575"/>
      <c r="LY237" s="575"/>
      <c r="LZ237" s="575"/>
      <c r="MA237" s="575"/>
      <c r="MB237" s="575"/>
      <c r="MC237" s="575"/>
      <c r="MD237" s="575"/>
      <c r="ME237" s="575"/>
      <c r="MF237" s="575"/>
      <c r="MG237" s="575"/>
      <c r="MH237" s="575"/>
      <c r="MI237" s="575"/>
      <c r="MJ237" s="575"/>
      <c r="MK237" s="575"/>
      <c r="ML237" s="575"/>
      <c r="MM237" s="575"/>
      <c r="MN237" s="575"/>
      <c r="MO237" s="575"/>
      <c r="MP237" s="575"/>
      <c r="MQ237" s="575"/>
      <c r="MR237" s="575"/>
      <c r="MS237" s="575"/>
      <c r="MT237" s="575"/>
      <c r="MU237" s="575"/>
      <c r="MV237" s="575"/>
      <c r="MW237" s="575"/>
      <c r="MX237" s="575"/>
      <c r="MY237" s="575"/>
      <c r="MZ237" s="575"/>
      <c r="NA237" s="575"/>
      <c r="NB237" s="575"/>
      <c r="NC237" s="575"/>
      <c r="ND237" s="575"/>
      <c r="NE237" s="575"/>
      <c r="NF237" s="575"/>
      <c r="NG237" s="575"/>
      <c r="NH237" s="575"/>
      <c r="NI237" s="575"/>
      <c r="NJ237" s="575"/>
      <c r="NK237" s="575"/>
      <c r="NL237" s="575"/>
      <c r="NM237" s="575"/>
      <c r="NN237" s="575"/>
      <c r="NO237" s="575"/>
      <c r="NP237" s="575"/>
      <c r="NQ237" s="575"/>
      <c r="NR237" s="575"/>
      <c r="NS237" s="575"/>
      <c r="NT237" s="575"/>
      <c r="NU237" s="575"/>
      <c r="NV237" s="575"/>
      <c r="NW237" s="575"/>
      <c r="NX237" s="575"/>
      <c r="NY237" s="575"/>
      <c r="NZ237" s="575"/>
      <c r="OA237" s="575"/>
      <c r="OB237" s="575"/>
      <c r="OC237" s="575"/>
      <c r="OD237" s="575"/>
      <c r="OE237" s="575"/>
      <c r="OF237" s="575"/>
      <c r="OG237" s="575"/>
      <c r="OH237" s="575"/>
      <c r="OI237" s="575"/>
      <c r="OJ237" s="575"/>
      <c r="OK237" s="575"/>
      <c r="OL237" s="575"/>
      <c r="OM237" s="575"/>
      <c r="ON237" s="575"/>
      <c r="OO237" s="575"/>
      <c r="OP237" s="575"/>
      <c r="OQ237" s="575"/>
      <c r="OR237" s="575"/>
      <c r="OS237" s="575"/>
      <c r="OT237" s="575"/>
      <c r="OU237" s="575"/>
      <c r="OV237" s="575"/>
      <c r="OW237" s="575"/>
      <c r="OX237" s="575"/>
      <c r="OY237" s="575"/>
      <c r="OZ237" s="575"/>
      <c r="PA237" s="575"/>
      <c r="PB237" s="575"/>
      <c r="PC237" s="575"/>
      <c r="PD237" s="575"/>
      <c r="PE237" s="575"/>
      <c r="PF237" s="575"/>
      <c r="PG237" s="575"/>
      <c r="PH237" s="575"/>
      <c r="PI237" s="575"/>
      <c r="PJ237" s="575"/>
      <c r="PK237" s="575"/>
      <c r="PL237" s="575"/>
      <c r="PM237" s="575"/>
      <c r="PN237" s="575"/>
      <c r="PO237" s="575"/>
      <c r="PP237" s="575"/>
      <c r="PQ237" s="575"/>
      <c r="PR237" s="575"/>
      <c r="PS237" s="575"/>
      <c r="PT237" s="575"/>
      <c r="PU237" s="575"/>
      <c r="PV237" s="575"/>
      <c r="PW237" s="575"/>
      <c r="PX237" s="575"/>
      <c r="PY237" s="575"/>
      <c r="PZ237" s="575"/>
      <c r="QA237" s="575"/>
      <c r="QB237" s="575"/>
      <c r="QC237" s="575"/>
      <c r="QD237" s="575"/>
      <c r="QE237" s="575"/>
      <c r="QF237" s="575"/>
      <c r="QG237" s="575"/>
      <c r="QH237" s="575"/>
      <c r="QI237" s="575"/>
      <c r="QJ237" s="575"/>
      <c r="QK237" s="575"/>
      <c r="QL237" s="575"/>
      <c r="QM237" s="575"/>
      <c r="QN237" s="575"/>
      <c r="QO237" s="575"/>
      <c r="QP237" s="575"/>
      <c r="QQ237" s="575"/>
      <c r="QR237" s="575"/>
      <c r="QS237" s="575"/>
      <c r="QT237" s="575"/>
      <c r="QU237" s="575"/>
      <c r="QV237" s="575"/>
      <c r="QW237" s="575"/>
      <c r="QX237" s="575"/>
      <c r="QY237" s="575"/>
      <c r="QZ237" s="575"/>
      <c r="RA237" s="575"/>
      <c r="RB237" s="575"/>
      <c r="RC237" s="575"/>
      <c r="RD237" s="575"/>
      <c r="RE237" s="575"/>
      <c r="RF237" s="575"/>
      <c r="RG237" s="575"/>
      <c r="RH237" s="575"/>
      <c r="RI237" s="575"/>
      <c r="RJ237" s="575"/>
      <c r="RK237" s="575"/>
      <c r="RL237" s="575"/>
      <c r="RM237" s="575"/>
      <c r="RN237" s="575"/>
      <c r="RO237" s="575"/>
      <c r="RP237" s="575"/>
      <c r="RQ237" s="575"/>
      <c r="RR237" s="575"/>
      <c r="RS237" s="575"/>
      <c r="RT237" s="575"/>
      <c r="RU237" s="575"/>
      <c r="RV237" s="575"/>
      <c r="RW237" s="575"/>
      <c r="RX237" s="575"/>
      <c r="RY237" s="575"/>
      <c r="RZ237" s="575"/>
      <c r="SA237" s="575"/>
      <c r="SB237" s="575"/>
      <c r="SC237" s="575"/>
      <c r="SD237" s="575"/>
      <c r="SE237" s="575"/>
      <c r="SF237" s="575"/>
      <c r="SG237" s="575"/>
      <c r="SH237" s="575"/>
      <c r="SI237" s="575"/>
      <c r="SJ237" s="575"/>
      <c r="SK237" s="575"/>
      <c r="SL237" s="575"/>
      <c r="SM237" s="575"/>
      <c r="SN237" s="575"/>
      <c r="SO237" s="575"/>
      <c r="SP237" s="575"/>
      <c r="SQ237" s="575"/>
      <c r="SR237" s="575"/>
      <c r="SS237" s="575"/>
      <c r="ST237" s="575"/>
      <c r="SU237" s="575"/>
      <c r="SV237" s="575"/>
      <c r="SW237" s="575"/>
      <c r="SX237" s="575"/>
      <c r="SY237" s="575"/>
      <c r="SZ237" s="575"/>
      <c r="TA237" s="575"/>
      <c r="TB237" s="575"/>
      <c r="TC237" s="575"/>
      <c r="TD237" s="575"/>
      <c r="TE237" s="575"/>
      <c r="TF237" s="575"/>
      <c r="TG237" s="575"/>
      <c r="TH237" s="575"/>
      <c r="TI237" s="575"/>
      <c r="TJ237" s="575"/>
      <c r="TK237" s="575"/>
      <c r="TL237" s="575"/>
      <c r="TM237" s="575"/>
      <c r="TN237" s="575"/>
      <c r="TO237" s="575"/>
      <c r="TP237" s="575"/>
      <c r="TQ237" s="575"/>
      <c r="TR237" s="575"/>
      <c r="TS237" s="575"/>
      <c r="TT237" s="575"/>
      <c r="TU237" s="575"/>
      <c r="TV237" s="575"/>
      <c r="TW237" s="575"/>
      <c r="TX237" s="575"/>
      <c r="TY237" s="575"/>
      <c r="TZ237" s="575"/>
      <c r="UA237" s="575"/>
      <c r="UB237" s="575"/>
      <c r="UC237" s="575"/>
      <c r="UD237" s="575"/>
      <c r="UE237" s="575"/>
      <c r="UF237" s="575"/>
      <c r="UG237" s="575"/>
      <c r="UH237" s="575"/>
      <c r="UI237" s="575"/>
      <c r="UJ237" s="575"/>
      <c r="UK237" s="575"/>
      <c r="UL237" s="575"/>
      <c r="UM237" s="575"/>
      <c r="UN237" s="575"/>
      <c r="UO237" s="575"/>
      <c r="UP237" s="575"/>
      <c r="UQ237" s="575"/>
      <c r="UR237" s="575"/>
      <c r="US237" s="575"/>
      <c r="UT237" s="575"/>
      <c r="UU237" s="575"/>
      <c r="UV237" s="575"/>
      <c r="UW237" s="575"/>
      <c r="UX237" s="575"/>
      <c r="UY237" s="575"/>
      <c r="UZ237" s="575"/>
      <c r="VA237" s="575"/>
      <c r="VB237" s="575"/>
      <c r="VC237" s="575"/>
      <c r="VD237" s="575"/>
      <c r="VE237" s="575"/>
      <c r="VF237" s="575"/>
      <c r="VG237" s="575"/>
      <c r="VH237" s="575"/>
      <c r="VI237" s="575"/>
      <c r="VJ237" s="575"/>
      <c r="VK237" s="575"/>
      <c r="VL237" s="575"/>
      <c r="VM237" s="575"/>
      <c r="VN237" s="575"/>
      <c r="VO237" s="575"/>
      <c r="VP237" s="575"/>
      <c r="VQ237" s="575"/>
      <c r="VR237" s="575"/>
      <c r="VS237" s="575"/>
      <c r="VT237" s="575"/>
      <c r="VU237" s="575"/>
      <c r="VV237" s="575"/>
      <c r="VW237" s="575"/>
      <c r="VX237" s="575"/>
      <c r="VY237" s="575"/>
      <c r="VZ237" s="575"/>
      <c r="WA237" s="575"/>
      <c r="WB237" s="575"/>
      <c r="WC237" s="575"/>
      <c r="WD237" s="575"/>
      <c r="WE237" s="575"/>
      <c r="WF237" s="575"/>
      <c r="WG237" s="575"/>
      <c r="WH237" s="575"/>
      <c r="WI237" s="575"/>
      <c r="WJ237" s="575"/>
      <c r="WK237" s="575"/>
      <c r="WL237" s="575"/>
      <c r="WM237" s="575"/>
      <c r="WN237" s="575"/>
      <c r="WO237" s="575"/>
      <c r="WP237" s="575"/>
      <c r="WQ237" s="575"/>
      <c r="WR237" s="575"/>
      <c r="WS237" s="575"/>
      <c r="WT237" s="575"/>
      <c r="WU237" s="575"/>
      <c r="WV237" s="575"/>
      <c r="WW237" s="575"/>
      <c r="WX237" s="575"/>
      <c r="WY237" s="575"/>
      <c r="WZ237" s="575"/>
      <c r="XA237" s="575"/>
      <c r="XB237" s="575"/>
      <c r="XC237" s="575"/>
      <c r="XD237" s="575"/>
      <c r="XE237" s="575"/>
      <c r="XF237" s="575"/>
      <c r="XG237" s="575"/>
      <c r="XH237" s="575"/>
      <c r="XI237" s="575"/>
      <c r="XJ237" s="575"/>
      <c r="XK237" s="575"/>
      <c r="XL237" s="575"/>
      <c r="XM237" s="575"/>
      <c r="XN237" s="575"/>
      <c r="XO237" s="575"/>
      <c r="XP237" s="575"/>
      <c r="XQ237" s="575"/>
      <c r="XR237" s="575"/>
      <c r="XS237" s="575"/>
      <c r="XT237" s="575"/>
      <c r="XU237" s="575"/>
      <c r="XV237" s="575"/>
      <c r="XW237" s="575"/>
      <c r="XX237" s="575"/>
      <c r="XY237" s="575"/>
      <c r="XZ237" s="575"/>
      <c r="YA237" s="575"/>
      <c r="YB237" s="575"/>
      <c r="YC237" s="575"/>
      <c r="YD237" s="575"/>
      <c r="YE237" s="575"/>
      <c r="YF237" s="575"/>
      <c r="YG237" s="575"/>
      <c r="YH237" s="575"/>
      <c r="YI237" s="575"/>
      <c r="YJ237" s="575"/>
      <c r="YK237" s="575"/>
      <c r="YL237" s="575"/>
      <c r="YM237" s="575"/>
      <c r="YN237" s="575"/>
      <c r="YO237" s="575"/>
      <c r="YP237" s="575"/>
      <c r="YQ237" s="575"/>
      <c r="YR237" s="575"/>
      <c r="YS237" s="575"/>
      <c r="YT237" s="575"/>
      <c r="YU237" s="575"/>
      <c r="YV237" s="575"/>
      <c r="YW237" s="575"/>
      <c r="YX237" s="575"/>
      <c r="YY237" s="575"/>
      <c r="YZ237" s="575"/>
      <c r="ZA237" s="575"/>
      <c r="ZB237" s="575"/>
      <c r="ZC237" s="575"/>
      <c r="ZD237" s="575"/>
      <c r="ZE237" s="575"/>
      <c r="ZF237" s="575"/>
      <c r="ZG237" s="575"/>
      <c r="ZH237" s="575"/>
      <c r="ZI237" s="575"/>
      <c r="ZJ237" s="575"/>
      <c r="ZK237" s="575"/>
      <c r="ZL237" s="575"/>
      <c r="ZM237" s="575"/>
      <c r="ZN237" s="575"/>
      <c r="ZO237" s="575"/>
      <c r="ZP237" s="575"/>
      <c r="ZQ237" s="575"/>
      <c r="ZR237" s="575"/>
      <c r="ZS237" s="575"/>
      <c r="ZT237" s="575"/>
      <c r="ZU237" s="575"/>
      <c r="ZV237" s="575"/>
      <c r="ZW237" s="575"/>
      <c r="ZX237" s="575"/>
      <c r="ZY237" s="575"/>
      <c r="ZZ237" s="575"/>
      <c r="AAA237" s="575"/>
      <c r="AAB237" s="575"/>
      <c r="AAC237" s="575"/>
      <c r="AAD237" s="575"/>
      <c r="AAE237" s="575"/>
      <c r="AAF237" s="575"/>
      <c r="AAG237" s="575"/>
      <c r="AAH237" s="575"/>
      <c r="AAI237" s="575"/>
      <c r="AAJ237" s="575"/>
      <c r="AAK237" s="575"/>
      <c r="AAL237" s="575"/>
      <c r="AAM237" s="575"/>
      <c r="AAN237" s="575"/>
      <c r="AAO237" s="575"/>
      <c r="AAP237" s="575"/>
      <c r="AAQ237" s="575"/>
      <c r="AAR237" s="575"/>
      <c r="AAS237" s="575"/>
      <c r="AAT237" s="575"/>
      <c r="AAU237" s="575"/>
      <c r="AAV237" s="575"/>
      <c r="AAW237" s="575"/>
      <c r="AAX237" s="575"/>
      <c r="AAY237" s="575"/>
      <c r="AAZ237" s="575"/>
      <c r="ABA237" s="575"/>
      <c r="ABB237" s="575"/>
      <c r="ABC237" s="575"/>
      <c r="ABD237" s="575"/>
      <c r="ABE237" s="575"/>
      <c r="ABF237" s="575"/>
      <c r="ABG237" s="575"/>
      <c r="ABH237" s="575"/>
      <c r="ABI237" s="575"/>
      <c r="ABJ237" s="575"/>
      <c r="ABK237" s="575"/>
      <c r="ABL237" s="575"/>
      <c r="ABM237" s="575"/>
      <c r="ABN237" s="575"/>
      <c r="ABO237" s="575"/>
      <c r="ABP237" s="575"/>
      <c r="ABQ237" s="575"/>
      <c r="ABR237" s="575"/>
      <c r="ABS237" s="575"/>
      <c r="ABT237" s="575"/>
      <c r="ABU237" s="575"/>
      <c r="ABV237" s="575"/>
      <c r="ABW237" s="575"/>
      <c r="ABX237" s="575"/>
      <c r="ABY237" s="575"/>
      <c r="ABZ237" s="575"/>
      <c r="ACA237" s="575"/>
      <c r="ACB237" s="575"/>
      <c r="ACC237" s="575"/>
      <c r="ACD237" s="575"/>
      <c r="ACE237" s="575"/>
      <c r="ACF237" s="575"/>
      <c r="ACG237" s="575"/>
      <c r="ACH237" s="575"/>
      <c r="ACI237" s="575"/>
      <c r="ACJ237" s="575"/>
      <c r="ACK237" s="575"/>
      <c r="ACL237" s="575"/>
      <c r="ACM237" s="575"/>
      <c r="ACN237" s="575"/>
      <c r="ACO237" s="575"/>
      <c r="ACP237" s="575"/>
      <c r="ACQ237" s="575"/>
      <c r="ACR237" s="575"/>
      <c r="ACS237" s="575"/>
      <c r="ACT237" s="575"/>
      <c r="ACU237" s="575"/>
      <c r="ACV237" s="575"/>
      <c r="ACW237" s="575"/>
      <c r="ACX237" s="575"/>
      <c r="ACY237" s="575"/>
      <c r="ACZ237" s="575"/>
      <c r="ADA237" s="575"/>
      <c r="ADB237" s="575"/>
      <c r="ADC237" s="575"/>
      <c r="ADD237" s="575"/>
      <c r="ADE237" s="575"/>
      <c r="ADF237" s="575"/>
      <c r="ADG237" s="575"/>
      <c r="ADH237" s="575"/>
      <c r="ADI237" s="575"/>
      <c r="ADJ237" s="575"/>
      <c r="ADK237" s="575"/>
      <c r="ADL237" s="575"/>
      <c r="ADM237" s="575"/>
      <c r="ADN237" s="575"/>
      <c r="ADO237" s="575"/>
      <c r="ADP237" s="575"/>
      <c r="ADQ237" s="575"/>
      <c r="ADR237" s="575"/>
      <c r="ADS237" s="575"/>
      <c r="ADT237" s="575"/>
      <c r="ADU237" s="575"/>
      <c r="ADV237" s="575"/>
      <c r="ADW237" s="575"/>
      <c r="ADX237" s="575"/>
      <c r="ADY237" s="575"/>
      <c r="ADZ237" s="575"/>
      <c r="AEA237" s="575"/>
      <c r="AEB237" s="575"/>
      <c r="AEC237" s="575"/>
      <c r="AED237" s="575"/>
      <c r="AEE237" s="575"/>
      <c r="AEF237" s="575"/>
      <c r="AEG237" s="575"/>
      <c r="AEH237" s="575"/>
      <c r="AEI237" s="575"/>
      <c r="AEJ237" s="575"/>
      <c r="AEK237" s="575"/>
      <c r="AEL237" s="575"/>
      <c r="AEM237" s="575"/>
      <c r="AEN237" s="575"/>
      <c r="AEO237" s="575"/>
      <c r="AEP237" s="575"/>
      <c r="AEQ237" s="575"/>
      <c r="AER237" s="575"/>
      <c r="AES237" s="575"/>
      <c r="AET237" s="575"/>
      <c r="AEU237" s="575"/>
      <c r="AEV237" s="575"/>
      <c r="AEW237" s="575"/>
      <c r="AEX237" s="575"/>
      <c r="AEY237" s="575"/>
      <c r="AEZ237" s="575"/>
      <c r="AFA237" s="575"/>
      <c r="AFB237" s="575"/>
      <c r="AFC237" s="575"/>
      <c r="AFD237" s="575"/>
      <c r="AFE237" s="575"/>
      <c r="AFF237" s="575"/>
      <c r="AFG237" s="575"/>
      <c r="AFH237" s="575"/>
      <c r="AFI237" s="575"/>
      <c r="AFJ237" s="575"/>
      <c r="AFK237" s="575"/>
      <c r="AFL237" s="575"/>
      <c r="AFM237" s="575"/>
      <c r="AFN237" s="575"/>
      <c r="AFO237" s="575"/>
      <c r="AFP237" s="575"/>
      <c r="AFQ237" s="575"/>
      <c r="AFR237" s="575"/>
      <c r="AFS237" s="575"/>
      <c r="AFT237" s="575"/>
      <c r="AFU237" s="575"/>
      <c r="AFV237" s="575"/>
      <c r="AFW237" s="575"/>
      <c r="AFX237" s="575"/>
      <c r="AFY237" s="575"/>
      <c r="AFZ237" s="575"/>
      <c r="AGA237" s="575"/>
      <c r="AGB237" s="575"/>
      <c r="AGC237" s="575"/>
      <c r="AGD237" s="575"/>
      <c r="AGE237" s="575"/>
      <c r="AGF237" s="575"/>
      <c r="AGG237" s="575"/>
      <c r="AGH237" s="575"/>
      <c r="AGI237" s="575"/>
      <c r="AGJ237" s="575"/>
      <c r="AGK237" s="575"/>
      <c r="AGL237" s="575"/>
      <c r="AGM237" s="575"/>
      <c r="AGN237" s="575"/>
      <c r="AGO237" s="575"/>
      <c r="AGP237" s="575"/>
      <c r="AGQ237" s="575"/>
      <c r="AGR237" s="575"/>
      <c r="AGS237" s="575"/>
      <c r="AGT237" s="575"/>
      <c r="AGU237" s="575"/>
      <c r="AGV237" s="575"/>
      <c r="AGW237" s="575"/>
      <c r="AGX237" s="575"/>
      <c r="AGY237" s="575"/>
      <c r="AGZ237" s="575"/>
      <c r="AHA237" s="575"/>
      <c r="AHB237" s="575"/>
      <c r="AHC237" s="575"/>
      <c r="AHD237" s="575"/>
      <c r="AHE237" s="575"/>
      <c r="AHF237" s="575"/>
      <c r="AHG237" s="575"/>
      <c r="AHH237" s="575"/>
      <c r="AHI237" s="575"/>
      <c r="AHJ237" s="575"/>
      <c r="AHK237" s="575"/>
      <c r="AHL237" s="575"/>
      <c r="AHM237" s="575"/>
      <c r="AHN237" s="575"/>
      <c r="AHO237" s="575"/>
      <c r="AHP237" s="575"/>
      <c r="AHQ237" s="575"/>
      <c r="AHR237" s="575"/>
      <c r="AHS237" s="575"/>
      <c r="AHT237" s="575"/>
      <c r="AHU237" s="575"/>
      <c r="AHV237" s="575"/>
      <c r="AHW237" s="575"/>
      <c r="AHX237" s="575"/>
      <c r="AHY237" s="575"/>
      <c r="AHZ237" s="575"/>
      <c r="AIA237" s="575"/>
      <c r="AIB237" s="575"/>
      <c r="AIC237" s="575"/>
      <c r="AID237" s="575"/>
      <c r="AIE237" s="575"/>
      <c r="AIF237" s="575"/>
      <c r="AIG237" s="575"/>
      <c r="AIH237" s="575"/>
      <c r="AII237" s="575"/>
      <c r="AIJ237" s="575"/>
      <c r="AIK237" s="575"/>
      <c r="AIL237" s="575"/>
      <c r="AIM237" s="575"/>
      <c r="AIN237" s="575"/>
      <c r="AIO237" s="575"/>
      <c r="AIP237" s="575"/>
      <c r="AIQ237" s="575"/>
      <c r="AIR237" s="575"/>
      <c r="AIS237" s="575"/>
      <c r="AIT237" s="575"/>
      <c r="AIU237" s="575"/>
      <c r="AIV237" s="575"/>
      <c r="AIW237" s="575"/>
      <c r="AIX237" s="575"/>
      <c r="AIY237" s="575"/>
      <c r="AIZ237" s="575"/>
      <c r="AJA237" s="575"/>
      <c r="AJB237" s="575"/>
      <c r="AJC237" s="575"/>
      <c r="AJD237" s="575"/>
      <c r="AJE237" s="575"/>
      <c r="AJF237" s="575"/>
      <c r="AJG237" s="575"/>
      <c r="AJH237" s="575"/>
      <c r="AJI237" s="575"/>
      <c r="AJJ237" s="575"/>
      <c r="AJK237" s="575"/>
      <c r="AJL237" s="575"/>
      <c r="AJM237" s="575"/>
      <c r="AJN237" s="575"/>
      <c r="AJO237" s="575"/>
      <c r="AJP237" s="575"/>
      <c r="AJQ237" s="575"/>
      <c r="AJR237" s="575"/>
      <c r="AJS237" s="575"/>
      <c r="AJT237" s="575"/>
      <c r="AJU237" s="575"/>
      <c r="AJV237" s="575"/>
      <c r="AJW237" s="575"/>
      <c r="AJX237" s="575"/>
      <c r="AJY237" s="575"/>
      <c r="AJZ237" s="575"/>
      <c r="AKA237" s="575"/>
      <c r="AKB237" s="575"/>
      <c r="AKC237" s="575"/>
      <c r="AKD237" s="575"/>
      <c r="AKE237" s="575"/>
      <c r="AKF237" s="575"/>
      <c r="AKG237" s="575"/>
      <c r="AKH237" s="575"/>
      <c r="AKI237" s="575"/>
      <c r="AKJ237" s="575"/>
      <c r="AKK237" s="575"/>
      <c r="AKL237" s="575"/>
      <c r="AKM237" s="575"/>
      <c r="AKN237" s="575"/>
      <c r="AKO237" s="575"/>
      <c r="AKP237" s="575"/>
      <c r="AKQ237" s="575"/>
      <c r="AKR237" s="575"/>
      <c r="AKS237" s="575"/>
      <c r="AKT237" s="575"/>
      <c r="AKU237" s="575"/>
      <c r="AKV237" s="575"/>
      <c r="AKW237" s="575"/>
      <c r="AKX237" s="575"/>
      <c r="AKY237" s="575"/>
      <c r="AKZ237" s="575"/>
      <c r="ALA237" s="575"/>
      <c r="ALB237" s="575"/>
      <c r="ALC237" s="575"/>
      <c r="ALD237" s="575"/>
      <c r="ALE237" s="575"/>
      <c r="ALF237" s="575"/>
      <c r="ALG237" s="575"/>
      <c r="ALH237" s="575"/>
      <c r="ALI237" s="575"/>
      <c r="ALJ237" s="575"/>
      <c r="ALK237" s="575"/>
      <c r="ALL237" s="575"/>
      <c r="ALM237" s="575"/>
      <c r="ALN237" s="575"/>
      <c r="ALO237" s="575"/>
      <c r="ALP237" s="575"/>
      <c r="ALQ237" s="575"/>
      <c r="ALR237" s="575"/>
      <c r="ALS237" s="575"/>
      <c r="ALT237" s="575"/>
      <c r="ALU237" s="575"/>
      <c r="ALV237" s="575"/>
      <c r="ALW237" s="575"/>
      <c r="ALX237" s="575"/>
      <c r="ALY237" s="575"/>
      <c r="ALZ237" s="575"/>
      <c r="AMA237" s="575"/>
      <c r="AMB237" s="575"/>
      <c r="AMC237" s="575"/>
      <c r="AMD237" s="575"/>
      <c r="AME237" s="575"/>
      <c r="AMF237" s="575"/>
      <c r="AMG237" s="575"/>
      <c r="AMH237" s="575"/>
      <c r="AMI237" s="575"/>
      <c r="AMJ237" s="575"/>
      <c r="AMK237" s="575"/>
      <c r="AML237" s="575"/>
      <c r="AMM237" s="575"/>
      <c r="AMN237" s="575"/>
      <c r="AMO237" s="575"/>
      <c r="AMP237" s="575"/>
      <c r="AMQ237" s="575"/>
      <c r="AMR237" s="575"/>
      <c r="AMS237" s="575"/>
      <c r="AMT237" s="575"/>
      <c r="AMU237" s="575"/>
      <c r="AMV237" s="575"/>
      <c r="AMW237" s="575"/>
      <c r="AMX237" s="575"/>
      <c r="AMY237" s="575"/>
      <c r="AMZ237" s="575"/>
      <c r="ANA237" s="575"/>
      <c r="ANB237" s="575"/>
      <c r="ANC237" s="575"/>
      <c r="AND237" s="575"/>
      <c r="ANE237" s="575"/>
      <c r="ANF237" s="575"/>
      <c r="ANG237" s="575"/>
      <c r="ANH237" s="575"/>
      <c r="ANI237" s="575"/>
      <c r="ANJ237" s="575"/>
      <c r="ANK237" s="575"/>
      <c r="ANL237" s="575"/>
      <c r="ANM237" s="575"/>
      <c r="ANN237" s="575"/>
      <c r="ANO237" s="575"/>
      <c r="ANP237" s="575"/>
      <c r="ANQ237" s="575"/>
      <c r="ANR237" s="575"/>
      <c r="ANS237" s="575"/>
      <c r="ANT237" s="575"/>
      <c r="ANU237" s="575"/>
      <c r="ANV237" s="575"/>
      <c r="ANW237" s="575"/>
      <c r="ANX237" s="575"/>
      <c r="ANY237" s="575"/>
      <c r="ANZ237" s="575"/>
      <c r="AOA237" s="575"/>
      <c r="AOB237" s="575"/>
      <c r="AOC237" s="575"/>
      <c r="AOD237" s="575"/>
      <c r="AOE237" s="575"/>
      <c r="AOF237" s="575"/>
      <c r="AOG237" s="575"/>
      <c r="AOH237" s="575"/>
      <c r="AOI237" s="575"/>
      <c r="AOJ237" s="575"/>
      <c r="AOK237" s="575"/>
      <c r="AOL237" s="575"/>
      <c r="AOM237" s="575"/>
      <c r="AON237" s="575"/>
      <c r="AOO237" s="575"/>
      <c r="AOP237" s="575"/>
      <c r="AOQ237" s="575"/>
      <c r="AOR237" s="575"/>
      <c r="AOS237" s="575"/>
      <c r="AOT237" s="575"/>
      <c r="AOU237" s="575"/>
      <c r="AOV237" s="575"/>
      <c r="AOW237" s="575"/>
      <c r="AOX237" s="575"/>
      <c r="AOY237" s="575"/>
      <c r="AOZ237" s="575"/>
      <c r="APA237" s="575"/>
      <c r="APB237" s="575"/>
      <c r="APC237" s="575"/>
      <c r="APD237" s="575"/>
      <c r="APE237" s="575"/>
      <c r="APF237" s="575"/>
      <c r="APG237" s="575"/>
      <c r="APH237" s="575"/>
      <c r="API237" s="575"/>
      <c r="APJ237" s="575"/>
      <c r="APK237" s="575"/>
      <c r="APL237" s="575"/>
      <c r="APM237" s="575"/>
      <c r="APN237" s="575"/>
      <c r="APO237" s="575"/>
      <c r="APP237" s="575"/>
      <c r="APQ237" s="575"/>
      <c r="APR237" s="575"/>
      <c r="APS237" s="575"/>
      <c r="APT237" s="575"/>
      <c r="APU237" s="575"/>
      <c r="APV237" s="575"/>
      <c r="APW237" s="575"/>
      <c r="APX237" s="575"/>
      <c r="APY237" s="575"/>
      <c r="APZ237" s="575"/>
      <c r="AQA237" s="575"/>
      <c r="AQB237" s="575"/>
      <c r="AQC237" s="575"/>
      <c r="AQD237" s="575"/>
      <c r="AQE237" s="575"/>
      <c r="AQF237" s="575"/>
      <c r="AQG237" s="575"/>
      <c r="AQH237" s="575"/>
      <c r="AQI237" s="575"/>
      <c r="AQJ237" s="575"/>
      <c r="AQK237" s="575"/>
      <c r="AQL237" s="575"/>
      <c r="AQM237" s="575"/>
      <c r="AQN237" s="575"/>
      <c r="AQO237" s="575"/>
      <c r="AQP237" s="575"/>
      <c r="AQQ237" s="575"/>
      <c r="AQR237" s="575"/>
      <c r="AQS237" s="575"/>
      <c r="AQT237" s="575"/>
      <c r="AQU237" s="575"/>
      <c r="AQV237" s="575"/>
      <c r="AQW237" s="575"/>
      <c r="AQX237" s="575"/>
      <c r="AQY237" s="575"/>
      <c r="AQZ237" s="575"/>
      <c r="ARA237" s="575"/>
      <c r="ARB237" s="575"/>
      <c r="ARC237" s="575"/>
      <c r="ARD237" s="575"/>
      <c r="ARE237" s="575"/>
      <c r="ARF237" s="575"/>
      <c r="ARG237" s="575"/>
      <c r="ARH237" s="575"/>
      <c r="ARI237" s="575"/>
      <c r="ARJ237" s="575"/>
      <c r="ARK237" s="575"/>
      <c r="ARL237" s="575"/>
      <c r="ARM237" s="575"/>
      <c r="ARN237" s="575"/>
      <c r="ARO237" s="575"/>
      <c r="ARP237" s="575"/>
      <c r="ARQ237" s="575"/>
      <c r="ARR237" s="575"/>
      <c r="ARS237" s="575"/>
      <c r="ART237" s="575"/>
      <c r="ARU237" s="575"/>
      <c r="ARV237" s="575"/>
      <c r="ARW237" s="575"/>
      <c r="ARX237" s="575"/>
      <c r="ARY237" s="575"/>
      <c r="ARZ237" s="575"/>
      <c r="ASA237" s="575"/>
      <c r="ASB237" s="575"/>
      <c r="ASC237" s="575"/>
      <c r="ASD237" s="575"/>
      <c r="ASE237" s="575"/>
      <c r="ASF237" s="575"/>
      <c r="ASG237" s="575"/>
      <c r="ASH237" s="575"/>
      <c r="ASI237" s="575"/>
      <c r="ASJ237" s="575"/>
      <c r="ASK237" s="575"/>
      <c r="ASL237" s="575"/>
      <c r="ASM237" s="575"/>
      <c r="ASN237" s="575"/>
      <c r="ASO237" s="575"/>
      <c r="ASP237" s="575"/>
      <c r="ASQ237" s="575"/>
      <c r="ASR237" s="575"/>
      <c r="ASS237" s="575"/>
      <c r="AST237" s="575"/>
      <c r="ASU237" s="575"/>
      <c r="ASV237" s="575"/>
      <c r="ASW237" s="575"/>
      <c r="ASX237" s="575"/>
      <c r="ASY237" s="575"/>
      <c r="ASZ237" s="575"/>
      <c r="ATA237" s="575"/>
      <c r="ATB237" s="575"/>
      <c r="ATC237" s="575"/>
      <c r="ATD237" s="575"/>
      <c r="ATE237" s="575"/>
      <c r="ATF237" s="575"/>
      <c r="ATG237" s="575"/>
      <c r="ATH237" s="575"/>
      <c r="ATI237" s="575"/>
      <c r="ATJ237" s="575"/>
      <c r="ATK237" s="575"/>
      <c r="ATL237" s="575"/>
      <c r="ATM237" s="575"/>
      <c r="ATN237" s="575"/>
      <c r="ATO237" s="575"/>
      <c r="ATP237" s="575"/>
      <c r="ATQ237" s="575"/>
      <c r="ATR237" s="575"/>
      <c r="ATS237" s="575"/>
      <c r="ATT237" s="575"/>
      <c r="ATU237" s="575"/>
      <c r="ATV237" s="575"/>
      <c r="ATW237" s="575"/>
      <c r="ATX237" s="575"/>
      <c r="ATY237" s="575"/>
      <c r="ATZ237" s="575"/>
      <c r="AUA237" s="575"/>
      <c r="AUB237" s="575"/>
      <c r="AUC237" s="575"/>
      <c r="AUD237" s="575"/>
      <c r="AUE237" s="575"/>
      <c r="AUF237" s="575"/>
      <c r="AUG237" s="575"/>
      <c r="AUH237" s="575"/>
      <c r="AUI237" s="575"/>
      <c r="AUJ237" s="575"/>
      <c r="AUK237" s="575"/>
      <c r="AUL237" s="575"/>
      <c r="AUM237" s="575"/>
      <c r="AUN237" s="575"/>
      <c r="AUO237" s="575"/>
      <c r="AUP237" s="575"/>
      <c r="AUQ237" s="575"/>
      <c r="AUR237" s="575"/>
      <c r="AUS237" s="575"/>
      <c r="AUT237" s="575"/>
      <c r="AUU237" s="575"/>
      <c r="AUV237" s="575"/>
      <c r="AUW237" s="575"/>
      <c r="AUX237" s="575"/>
      <c r="AUY237" s="575"/>
      <c r="AUZ237" s="575"/>
      <c r="AVA237" s="575"/>
      <c r="AVB237" s="575"/>
      <c r="AVC237" s="575"/>
      <c r="AVD237" s="575"/>
      <c r="AVE237" s="575"/>
      <c r="AVF237" s="575"/>
      <c r="AVG237" s="575"/>
      <c r="AVH237" s="575"/>
      <c r="AVI237" s="575"/>
      <c r="AVJ237" s="575"/>
      <c r="AVK237" s="575"/>
      <c r="AVL237" s="575"/>
      <c r="AVM237" s="575"/>
      <c r="AVN237" s="575"/>
      <c r="AVO237" s="575"/>
      <c r="AVP237" s="575"/>
      <c r="AVQ237" s="575"/>
      <c r="AVR237" s="575"/>
      <c r="AVS237" s="575"/>
      <c r="AVT237" s="575"/>
      <c r="AVU237" s="575"/>
      <c r="AVV237" s="575"/>
      <c r="AVW237" s="575"/>
      <c r="AVX237" s="575"/>
      <c r="AVY237" s="575"/>
      <c r="AVZ237" s="575"/>
      <c r="AWA237" s="575"/>
      <c r="AWB237" s="575"/>
      <c r="AWC237" s="575"/>
      <c r="AWD237" s="575"/>
      <c r="AWE237" s="575"/>
      <c r="AWF237" s="575"/>
      <c r="AWG237" s="575"/>
      <c r="AWH237" s="575"/>
      <c r="AWI237" s="575"/>
      <c r="AWJ237" s="575"/>
      <c r="AWK237" s="575"/>
      <c r="AWL237" s="575"/>
      <c r="AWM237" s="575"/>
      <c r="AWN237" s="575"/>
      <c r="AWO237" s="575"/>
      <c r="AWP237" s="575"/>
      <c r="AWQ237" s="575"/>
      <c r="AWR237" s="575"/>
      <c r="AWS237" s="575"/>
      <c r="AWT237" s="575"/>
      <c r="AWU237" s="575"/>
      <c r="AWV237" s="575"/>
      <c r="AWW237" s="575"/>
      <c r="AWX237" s="575"/>
      <c r="AWY237" s="575"/>
      <c r="AWZ237" s="575"/>
      <c r="AXA237" s="575"/>
      <c r="AXB237" s="575"/>
      <c r="AXC237" s="575"/>
      <c r="AXD237" s="575"/>
      <c r="AXE237" s="575"/>
      <c r="AXF237" s="575"/>
      <c r="AXG237" s="575"/>
      <c r="AXH237" s="575"/>
      <c r="AXI237" s="575"/>
      <c r="AXJ237" s="575"/>
      <c r="AXK237" s="575"/>
      <c r="AXL237" s="575"/>
      <c r="AXM237" s="575"/>
      <c r="AXN237" s="575"/>
      <c r="AXO237" s="575"/>
      <c r="AXP237" s="575"/>
      <c r="AXQ237" s="575"/>
      <c r="AXR237" s="575"/>
      <c r="AXS237" s="575"/>
      <c r="AXT237" s="575"/>
      <c r="AXU237" s="575"/>
      <c r="AXV237" s="575"/>
      <c r="AXW237" s="575"/>
      <c r="AXX237" s="575"/>
      <c r="AXY237" s="575"/>
      <c r="AXZ237" s="575"/>
      <c r="AYA237" s="575"/>
      <c r="AYB237" s="575"/>
      <c r="AYC237" s="575"/>
      <c r="AYD237" s="575"/>
      <c r="AYE237" s="575"/>
      <c r="AYF237" s="575"/>
      <c r="AYG237" s="575"/>
      <c r="AYH237" s="575"/>
      <c r="AYI237" s="575"/>
      <c r="AYJ237" s="575"/>
      <c r="AYK237" s="575"/>
      <c r="AYL237" s="575"/>
      <c r="AYM237" s="575"/>
      <c r="AYN237" s="575"/>
      <c r="AYO237" s="575"/>
      <c r="AYP237" s="575"/>
      <c r="AYQ237" s="575"/>
      <c r="AYR237" s="575"/>
      <c r="AYS237" s="575"/>
      <c r="AYT237" s="575"/>
      <c r="AYU237" s="575"/>
      <c r="AYV237" s="575"/>
      <c r="AYW237" s="575"/>
      <c r="AYX237" s="575"/>
      <c r="AYY237" s="575"/>
      <c r="AYZ237" s="575"/>
      <c r="AZA237" s="575"/>
      <c r="AZB237" s="575"/>
      <c r="AZC237" s="575"/>
      <c r="AZD237" s="575"/>
      <c r="AZE237" s="575"/>
      <c r="AZF237" s="575"/>
      <c r="AZG237" s="575"/>
      <c r="AZH237" s="575"/>
      <c r="AZI237" s="575"/>
      <c r="AZJ237" s="575"/>
      <c r="AZK237" s="575"/>
      <c r="AZL237" s="575"/>
      <c r="AZM237" s="575"/>
      <c r="AZN237" s="575"/>
      <c r="AZO237" s="575"/>
      <c r="AZP237" s="575"/>
      <c r="AZQ237" s="575"/>
      <c r="AZR237" s="575"/>
      <c r="AZS237" s="575"/>
      <c r="AZT237" s="575"/>
      <c r="AZU237" s="575"/>
      <c r="AZV237" s="575"/>
      <c r="AZW237" s="575"/>
      <c r="AZX237" s="575"/>
      <c r="AZY237" s="575"/>
      <c r="AZZ237" s="575"/>
      <c r="BAA237" s="575"/>
      <c r="BAB237" s="575"/>
      <c r="BAC237" s="575"/>
      <c r="BAD237" s="575"/>
      <c r="BAE237" s="575"/>
      <c r="BAF237" s="575"/>
      <c r="BAG237" s="575"/>
      <c r="BAH237" s="575"/>
      <c r="BAI237" s="575"/>
      <c r="BAJ237" s="575"/>
      <c r="BAK237" s="575"/>
      <c r="BAL237" s="575"/>
      <c r="BAM237" s="575"/>
      <c r="BAN237" s="575"/>
      <c r="BAO237" s="575"/>
      <c r="BAP237" s="575"/>
      <c r="BAQ237" s="575"/>
      <c r="BAR237" s="575"/>
      <c r="BAS237" s="575"/>
      <c r="BAT237" s="575"/>
      <c r="BAU237" s="575"/>
      <c r="BAV237" s="575"/>
      <c r="BAW237" s="575"/>
      <c r="BAX237" s="575"/>
      <c r="BAY237" s="575"/>
      <c r="BAZ237" s="575"/>
      <c r="BBA237" s="575"/>
      <c r="BBB237" s="575"/>
      <c r="BBC237" s="575"/>
      <c r="BBD237" s="575"/>
      <c r="BBE237" s="575"/>
      <c r="BBF237" s="575"/>
      <c r="BBG237" s="575"/>
      <c r="BBH237" s="575"/>
      <c r="BBI237" s="575"/>
      <c r="BBJ237" s="575"/>
      <c r="BBK237" s="575"/>
      <c r="BBL237" s="575"/>
      <c r="BBM237" s="575"/>
      <c r="BBN237" s="575"/>
      <c r="BBO237" s="575"/>
      <c r="BBP237" s="575"/>
      <c r="BBQ237" s="575"/>
      <c r="BBR237" s="575"/>
      <c r="BBS237" s="575"/>
      <c r="BBT237" s="575"/>
      <c r="BBU237" s="575"/>
      <c r="BBV237" s="575"/>
      <c r="BBW237" s="575"/>
      <c r="BBX237" s="575"/>
      <c r="BBY237" s="575"/>
      <c r="BBZ237" s="575"/>
      <c r="BCA237" s="575"/>
      <c r="BCB237" s="575"/>
      <c r="BCC237" s="575"/>
      <c r="BCD237" s="575"/>
      <c r="BCE237" s="575"/>
      <c r="BCF237" s="575"/>
      <c r="BCG237" s="575"/>
      <c r="BCH237" s="575"/>
      <c r="BCI237" s="575"/>
      <c r="BCJ237" s="575"/>
      <c r="BCK237" s="575"/>
      <c r="BCL237" s="575"/>
      <c r="BCM237" s="575"/>
      <c r="BCN237" s="575"/>
      <c r="BCO237" s="575"/>
      <c r="BCP237" s="575"/>
      <c r="BCQ237" s="575"/>
      <c r="BCR237" s="575"/>
      <c r="BCS237" s="575"/>
      <c r="BCT237" s="575"/>
      <c r="BCU237" s="575"/>
      <c r="BCV237" s="575"/>
      <c r="BCW237" s="575"/>
      <c r="BCX237" s="575"/>
      <c r="BCY237" s="575"/>
      <c r="BCZ237" s="575"/>
      <c r="BDA237" s="575"/>
      <c r="BDB237" s="575"/>
      <c r="BDC237" s="575"/>
      <c r="BDD237" s="575"/>
      <c r="BDE237" s="575"/>
      <c r="BDF237" s="575"/>
      <c r="BDG237" s="575"/>
      <c r="BDH237" s="575"/>
      <c r="BDI237" s="575"/>
      <c r="BDJ237" s="575"/>
      <c r="BDK237" s="575"/>
      <c r="BDL237" s="575"/>
      <c r="BDM237" s="575"/>
      <c r="BDN237" s="575"/>
      <c r="BDO237" s="575"/>
      <c r="BDP237" s="575"/>
      <c r="BDQ237" s="575"/>
      <c r="BDR237" s="575"/>
      <c r="BDS237" s="575"/>
      <c r="BDT237" s="575"/>
    </row>
    <row r="238" spans="1:1476" x14ac:dyDescent="0.25">
      <c r="A238" s="608">
        <v>5813</v>
      </c>
      <c r="B238" s="609" t="s">
        <v>316</v>
      </c>
      <c r="C238" s="610">
        <v>885361.52</v>
      </c>
      <c r="D238" s="610">
        <v>120363.28</v>
      </c>
      <c r="E238" s="610"/>
      <c r="F238" s="611">
        <v>3290</v>
      </c>
      <c r="G238" s="610">
        <v>99666</v>
      </c>
      <c r="H238" s="610">
        <v>-118.6</v>
      </c>
      <c r="I238" s="610"/>
      <c r="J238" s="610">
        <v>10013.49</v>
      </c>
      <c r="K238" s="610"/>
      <c r="L238" s="610">
        <v>115502.2</v>
      </c>
      <c r="M238" s="434">
        <f t="shared" si="12"/>
        <v>1234077.8899999999</v>
      </c>
      <c r="N238" s="612">
        <v>0</v>
      </c>
      <c r="O238" s="612">
        <v>36.299999999999997</v>
      </c>
      <c r="P238" s="612">
        <v>76010.399999999994</v>
      </c>
      <c r="Q238" s="612">
        <v>5003.75</v>
      </c>
      <c r="R238" s="612">
        <v>87520.05</v>
      </c>
      <c r="S238" s="610">
        <v>10403.209999999999</v>
      </c>
      <c r="T238" s="543">
        <f t="shared" si="13"/>
        <v>1413051.5999999999</v>
      </c>
      <c r="U238" s="575">
        <v>-31566.49</v>
      </c>
      <c r="V238" s="612"/>
      <c r="W238" s="612">
        <v>0</v>
      </c>
      <c r="X238" s="624">
        <v>68.5</v>
      </c>
      <c r="Y238" s="631">
        <v>1.2</v>
      </c>
      <c r="Z238" s="628">
        <f>VLOOKUP(A238,'[2]2022 toutes communes'!$B$9:$D$317,3,FALSE)</f>
        <v>522</v>
      </c>
      <c r="AA238" s="617"/>
      <c r="AB238" s="618">
        <v>201567</v>
      </c>
      <c r="AC238" s="547">
        <f>AB238/VPI!R238</f>
        <v>11.518902295541952</v>
      </c>
      <c r="AD238" s="548">
        <f t="shared" si="14"/>
        <v>98388</v>
      </c>
      <c r="AE238" s="547">
        <f>AD238/VPI!R238</f>
        <v>5.6225560684724263</v>
      </c>
      <c r="AF238" s="618">
        <v>299955</v>
      </c>
      <c r="AG238" s="618">
        <v>28970</v>
      </c>
      <c r="AH238" s="618">
        <v>37542</v>
      </c>
      <c r="AI238" s="637"/>
      <c r="AJ238" s="628">
        <v>0</v>
      </c>
      <c r="AK238" s="547">
        <f>AJ238/VPI!R238</f>
        <v>0</v>
      </c>
      <c r="AL238" s="548">
        <f t="shared" si="15"/>
        <v>5589</v>
      </c>
      <c r="AM238" s="547">
        <f>AL238/VPI!R238</f>
        <v>0.31939327831333486</v>
      </c>
      <c r="AN238" s="628">
        <v>5589</v>
      </c>
      <c r="AO238" s="637"/>
      <c r="AP238" s="629">
        <v>15.423649306347688</v>
      </c>
      <c r="AR238" s="630">
        <v>0</v>
      </c>
    </row>
    <row r="239" spans="1:1476" x14ac:dyDescent="0.25">
      <c r="A239" s="608">
        <v>5816</v>
      </c>
      <c r="B239" s="609" t="s">
        <v>5</v>
      </c>
      <c r="C239" s="610">
        <v>3433666.84</v>
      </c>
      <c r="D239" s="610">
        <v>374255.79</v>
      </c>
      <c r="E239" s="610"/>
      <c r="F239" s="611"/>
      <c r="G239" s="610">
        <v>156734.04999999999</v>
      </c>
      <c r="H239" s="610">
        <v>14051.6</v>
      </c>
      <c r="I239" s="610"/>
      <c r="J239" s="610">
        <v>167122.35</v>
      </c>
      <c r="K239" s="610">
        <v>39104.400000000001</v>
      </c>
      <c r="L239" s="610">
        <v>287646.65000000002</v>
      </c>
      <c r="M239" s="434">
        <f t="shared" si="12"/>
        <v>4472581.68</v>
      </c>
      <c r="N239" s="612">
        <v>25586.25</v>
      </c>
      <c r="O239" s="612">
        <v>22123.9</v>
      </c>
      <c r="P239" s="612">
        <v>310702.34999999998</v>
      </c>
      <c r="Q239" s="612">
        <v>-12056.37</v>
      </c>
      <c r="R239" s="612">
        <v>83617.399999999994</v>
      </c>
      <c r="S239" s="610">
        <v>17847.98</v>
      </c>
      <c r="T239" s="543">
        <f t="shared" si="13"/>
        <v>4920403.1900000004</v>
      </c>
      <c r="U239" s="575">
        <v>-100909.65</v>
      </c>
      <c r="V239" s="612"/>
      <c r="W239" s="612">
        <v>-170.93</v>
      </c>
      <c r="X239" s="624">
        <v>68.5</v>
      </c>
      <c r="Y239" s="631">
        <v>0.7</v>
      </c>
      <c r="Z239" s="628">
        <f>VLOOKUP(A239,'[2]2022 toutes communes'!$B$9:$D$317,3,FALSE)</f>
        <v>2856</v>
      </c>
      <c r="AA239" s="617"/>
      <c r="AB239" s="618">
        <v>89320</v>
      </c>
      <c r="AC239" s="547">
        <f>AB239/VPI!R239</f>
        <v>1.3594767351130725</v>
      </c>
      <c r="AD239" s="548">
        <f t="shared" si="14"/>
        <v>419116</v>
      </c>
      <c r="AE239" s="547">
        <f>AD239/VPI!R239</f>
        <v>6.3790690921814877</v>
      </c>
      <c r="AF239" s="618">
        <v>508436</v>
      </c>
      <c r="AG239" s="618">
        <v>259740</v>
      </c>
      <c r="AH239" s="618">
        <v>207650</v>
      </c>
      <c r="AI239" s="637"/>
      <c r="AJ239" s="628">
        <v>0</v>
      </c>
      <c r="AK239" s="547">
        <f>AJ239/VPI!R239</f>
        <v>0</v>
      </c>
      <c r="AL239" s="548">
        <f t="shared" si="15"/>
        <v>15745</v>
      </c>
      <c r="AM239" s="547">
        <f>AL239/VPI!R239</f>
        <v>0.23964354225655313</v>
      </c>
      <c r="AN239" s="628">
        <v>15745</v>
      </c>
      <c r="AO239" s="637"/>
      <c r="AP239" s="629">
        <v>0.93090117389282034</v>
      </c>
      <c r="AR239" s="630">
        <v>0</v>
      </c>
    </row>
    <row r="240" spans="1:1476" x14ac:dyDescent="0.25">
      <c r="A240" s="608">
        <v>5817</v>
      </c>
      <c r="B240" s="609" t="s">
        <v>6</v>
      </c>
      <c r="C240" s="610">
        <v>1536085.07</v>
      </c>
      <c r="D240" s="610">
        <v>164942.04</v>
      </c>
      <c r="E240" s="610"/>
      <c r="F240" s="611">
        <v>5780</v>
      </c>
      <c r="G240" s="610">
        <v>29457.599999999999</v>
      </c>
      <c r="H240" s="610">
        <v>853.15</v>
      </c>
      <c r="I240" s="610"/>
      <c r="J240" s="610">
        <v>39594.879999999997</v>
      </c>
      <c r="K240" s="610">
        <v>4344.6499999999996</v>
      </c>
      <c r="L240" s="610">
        <v>135951.20000000001</v>
      </c>
      <c r="M240" s="434">
        <f t="shared" si="12"/>
        <v>1917008.5899999999</v>
      </c>
      <c r="N240" s="612">
        <v>4888.55</v>
      </c>
      <c r="O240" s="612"/>
      <c r="P240" s="612">
        <v>76165.2</v>
      </c>
      <c r="Q240" s="612">
        <v>47850.87</v>
      </c>
      <c r="R240" s="612">
        <v>119442.5</v>
      </c>
      <c r="S240" s="610">
        <v>3167.63</v>
      </c>
      <c r="T240" s="543">
        <f t="shared" si="13"/>
        <v>2168523.34</v>
      </c>
      <c r="U240" s="575">
        <v>-63071.83</v>
      </c>
      <c r="V240" s="612"/>
      <c r="W240" s="612">
        <v>-63.3</v>
      </c>
      <c r="X240" s="624">
        <v>73.5</v>
      </c>
      <c r="Y240" s="631">
        <v>1</v>
      </c>
      <c r="Z240" s="628">
        <f>VLOOKUP(A240,'[2]2022 toutes communes'!$B$9:$D$317,3,FALSE)</f>
        <v>1001</v>
      </c>
      <c r="AA240" s="617"/>
      <c r="AB240" s="618">
        <v>83777</v>
      </c>
      <c r="AC240" s="547">
        <f>AB240/VPI!R240</f>
        <v>3.2325242739750975</v>
      </c>
      <c r="AD240" s="548">
        <f t="shared" si="14"/>
        <v>123775</v>
      </c>
      <c r="AE240" s="547">
        <f>AD240/VPI!R240</f>
        <v>4.7758417228030092</v>
      </c>
      <c r="AF240" s="618">
        <v>207552</v>
      </c>
      <c r="AG240" s="618">
        <v>37673</v>
      </c>
      <c r="AH240" s="618">
        <v>75539</v>
      </c>
      <c r="AI240" s="637"/>
      <c r="AJ240" s="628">
        <v>0</v>
      </c>
      <c r="AK240" s="547">
        <f>AJ240/VPI!R240</f>
        <v>0</v>
      </c>
      <c r="AL240" s="548">
        <f t="shared" si="15"/>
        <v>72484</v>
      </c>
      <c r="AM240" s="547">
        <f>AL240/VPI!R240</f>
        <v>2.796785388290473</v>
      </c>
      <c r="AN240" s="628">
        <v>72484</v>
      </c>
      <c r="AO240" s="637"/>
      <c r="AP240" s="629">
        <v>5.5769047828215514</v>
      </c>
      <c r="AR240" s="630">
        <v>0</v>
      </c>
    </row>
    <row r="241" spans="1:1476" x14ac:dyDescent="0.25">
      <c r="A241" s="608">
        <v>5819</v>
      </c>
      <c r="B241" s="609" t="s">
        <v>7</v>
      </c>
      <c r="C241" s="610">
        <v>435952.67</v>
      </c>
      <c r="D241" s="610">
        <v>160815.45000000001</v>
      </c>
      <c r="E241" s="610"/>
      <c r="F241" s="611"/>
      <c r="G241" s="610">
        <v>16448.05</v>
      </c>
      <c r="H241" s="610">
        <v>4773.8</v>
      </c>
      <c r="I241" s="610"/>
      <c r="J241" s="610">
        <v>18058.77</v>
      </c>
      <c r="K241" s="610">
        <v>2089.35</v>
      </c>
      <c r="L241" s="610">
        <v>91883.55</v>
      </c>
      <c r="M241" s="434">
        <f t="shared" si="12"/>
        <v>730021.64000000013</v>
      </c>
      <c r="N241" s="612">
        <v>5775.65</v>
      </c>
      <c r="O241" s="612"/>
      <c r="P241" s="612">
        <v>72006</v>
      </c>
      <c r="Q241" s="612">
        <v>1369.25</v>
      </c>
      <c r="R241" s="612">
        <v>106425.65</v>
      </c>
      <c r="S241" s="610">
        <v>2217.79</v>
      </c>
      <c r="T241" s="543">
        <f t="shared" si="13"/>
        <v>917815.98000000021</v>
      </c>
      <c r="U241" s="575">
        <v>-24581.52</v>
      </c>
      <c r="V241" s="612"/>
      <c r="W241" s="612">
        <v>-0.01</v>
      </c>
      <c r="X241" s="624">
        <v>69</v>
      </c>
      <c r="Y241" s="631">
        <v>1</v>
      </c>
      <c r="Z241" s="628">
        <f>VLOOKUP(A241,'[2]2022 toutes communes'!$B$9:$D$317,3,FALSE)</f>
        <v>414</v>
      </c>
      <c r="AA241" s="617"/>
      <c r="AB241" s="618">
        <v>56438</v>
      </c>
      <c r="AC241" s="547">
        <f>AB241/VPI!R241</f>
        <v>5.4923453918513552</v>
      </c>
      <c r="AD241" s="548">
        <f t="shared" si="14"/>
        <v>54352</v>
      </c>
      <c r="AE241" s="547">
        <f>AD241/VPI!R241</f>
        <v>5.2893432924254027</v>
      </c>
      <c r="AF241" s="618">
        <v>110790</v>
      </c>
      <c r="AG241" s="618">
        <v>38837</v>
      </c>
      <c r="AH241" s="618">
        <v>69880</v>
      </c>
      <c r="AI241" s="637"/>
      <c r="AJ241" s="628">
        <v>0</v>
      </c>
      <c r="AK241" s="547">
        <f>AJ241/VPI!R241</f>
        <v>0</v>
      </c>
      <c r="AL241" s="548">
        <f t="shared" si="15"/>
        <v>0</v>
      </c>
      <c r="AM241" s="547">
        <f>AL241/VPI!R241</f>
        <v>0</v>
      </c>
      <c r="AN241" s="628">
        <v>0</v>
      </c>
      <c r="AO241" s="637"/>
      <c r="AP241" s="629">
        <v>7.6061940100530867</v>
      </c>
      <c r="AR241" s="630">
        <v>0</v>
      </c>
    </row>
    <row r="242" spans="1:1476" x14ac:dyDescent="0.25">
      <c r="A242" s="608">
        <v>5821</v>
      </c>
      <c r="B242" s="609" t="s">
        <v>8</v>
      </c>
      <c r="C242" s="610">
        <v>462205.01</v>
      </c>
      <c r="D242" s="610">
        <v>75295.070000000007</v>
      </c>
      <c r="E242" s="610"/>
      <c r="F242" s="611">
        <v>2190</v>
      </c>
      <c r="G242" s="610">
        <v>4531.25</v>
      </c>
      <c r="H242" s="610">
        <v>462.2</v>
      </c>
      <c r="I242" s="610"/>
      <c r="J242" s="610">
        <v>10203.67</v>
      </c>
      <c r="K242" s="610">
        <v>1305</v>
      </c>
      <c r="L242" s="610">
        <v>53715.199999999997</v>
      </c>
      <c r="M242" s="434">
        <f t="shared" si="12"/>
        <v>609907.4</v>
      </c>
      <c r="N242" s="612">
        <v>0</v>
      </c>
      <c r="O242" s="612"/>
      <c r="P242" s="612">
        <v>32995.4</v>
      </c>
      <c r="Q242" s="612"/>
      <c r="R242" s="612">
        <v>47550.25</v>
      </c>
      <c r="S242" s="610">
        <v>521.84</v>
      </c>
      <c r="T242" s="543">
        <f t="shared" si="13"/>
        <v>690974.89</v>
      </c>
      <c r="U242" s="575">
        <v>-7359.76</v>
      </c>
      <c r="V242" s="612"/>
      <c r="W242" s="612">
        <v>0</v>
      </c>
      <c r="X242" s="624">
        <v>72</v>
      </c>
      <c r="Y242" s="631">
        <v>1</v>
      </c>
      <c r="Z242" s="628">
        <f>VLOOKUP(A242,'[2]2022 toutes communes'!$B$9:$D$317,3,FALSE)</f>
        <v>387</v>
      </c>
      <c r="AA242" s="617"/>
      <c r="AB242" s="618">
        <v>21572</v>
      </c>
      <c r="AC242" s="547">
        <f>AB242/VPI!R242</f>
        <v>2.5754644390228463</v>
      </c>
      <c r="AD242" s="548">
        <f t="shared" si="14"/>
        <v>58870</v>
      </c>
      <c r="AE242" s="547">
        <f>AD242/VPI!R242</f>
        <v>7.0284438867640908</v>
      </c>
      <c r="AF242" s="618">
        <v>80442</v>
      </c>
      <c r="AG242" s="618">
        <v>13970</v>
      </c>
      <c r="AH242" s="618">
        <v>34166</v>
      </c>
      <c r="AI242" s="637"/>
      <c r="AJ242" s="628">
        <v>0</v>
      </c>
      <c r="AK242" s="547">
        <f>AJ242/VPI!R242</f>
        <v>0</v>
      </c>
      <c r="AL242" s="548">
        <f t="shared" si="15"/>
        <v>0</v>
      </c>
      <c r="AM242" s="547">
        <f>AL242/VPI!R242</f>
        <v>0</v>
      </c>
      <c r="AN242" s="628">
        <v>0</v>
      </c>
      <c r="AO242" s="637"/>
      <c r="AP242" s="629">
        <v>0.29917918232189084</v>
      </c>
      <c r="AR242" s="630">
        <v>0</v>
      </c>
    </row>
    <row r="243" spans="1:1476" s="632" customFormat="1" x14ac:dyDescent="0.25">
      <c r="A243" s="608">
        <v>5822</v>
      </c>
      <c r="B243" s="609" t="s">
        <v>9</v>
      </c>
      <c r="C243" s="610">
        <v>11870066.470000001</v>
      </c>
      <c r="D243" s="610">
        <v>1504329.29</v>
      </c>
      <c r="E243" s="610"/>
      <c r="F243" s="611"/>
      <c r="G243" s="610">
        <v>1161164.95</v>
      </c>
      <c r="H243" s="610">
        <v>71608</v>
      </c>
      <c r="I243" s="610"/>
      <c r="J243" s="610">
        <v>766046.68</v>
      </c>
      <c r="K243" s="610">
        <v>194676.8</v>
      </c>
      <c r="L243" s="610">
        <v>1555520.9</v>
      </c>
      <c r="M243" s="434">
        <f t="shared" si="12"/>
        <v>17123413.09</v>
      </c>
      <c r="N243" s="612">
        <v>423703.7</v>
      </c>
      <c r="O243" s="612">
        <v>252622.7</v>
      </c>
      <c r="P243" s="612">
        <v>947002.85</v>
      </c>
      <c r="Q243" s="612">
        <v>127056.52</v>
      </c>
      <c r="R243" s="612">
        <v>591608.44999999995</v>
      </c>
      <c r="S243" s="610">
        <v>128831.1</v>
      </c>
      <c r="T243" s="543">
        <f t="shared" si="13"/>
        <v>19594238.41</v>
      </c>
      <c r="U243" s="575">
        <v>-818205.67</v>
      </c>
      <c r="V243" s="612"/>
      <c r="W243" s="612">
        <v>-1463.71</v>
      </c>
      <c r="X243" s="624">
        <v>73</v>
      </c>
      <c r="Y243" s="631">
        <v>1</v>
      </c>
      <c r="Z243" s="628">
        <f>VLOOKUP(A243,'[2]2022 toutes communes'!$B$9:$D$317,3,FALSE)</f>
        <v>10372</v>
      </c>
      <c r="AA243" s="617"/>
      <c r="AB243" s="618">
        <v>422838</v>
      </c>
      <c r="AC243" s="547">
        <f>AB243/VPI!R243</f>
        <v>1.8640012802748791</v>
      </c>
      <c r="AD243" s="548">
        <f t="shared" si="14"/>
        <v>1636004</v>
      </c>
      <c r="AE243" s="547">
        <f>AD243/VPI!R243</f>
        <v>7.2120139404093839</v>
      </c>
      <c r="AF243" s="618">
        <v>2058842</v>
      </c>
      <c r="AG243" s="618">
        <v>1318006</v>
      </c>
      <c r="AH243" s="618">
        <v>694975</v>
      </c>
      <c r="AI243" s="637"/>
      <c r="AJ243" s="628">
        <v>0</v>
      </c>
      <c r="AK243" s="547">
        <f>AJ243/VPI!R243</f>
        <v>0</v>
      </c>
      <c r="AL243" s="548">
        <f t="shared" si="15"/>
        <v>144853</v>
      </c>
      <c r="AM243" s="547">
        <f>AL243/VPI!R243</f>
        <v>0.63855703000122277</v>
      </c>
      <c r="AN243" s="628">
        <v>144853</v>
      </c>
      <c r="AO243" s="637"/>
      <c r="AP243" s="629">
        <v>-13.904021071596492</v>
      </c>
      <c r="AQ243" s="575"/>
      <c r="AR243" s="630">
        <v>0</v>
      </c>
      <c r="AS243" s="575"/>
      <c r="AT243" s="575"/>
      <c r="AU243" s="575"/>
      <c r="AV243" s="575"/>
      <c r="AW243" s="575"/>
      <c r="AX243" s="575"/>
      <c r="AY243" s="575"/>
      <c r="AZ243" s="575"/>
      <c r="BA243" s="575"/>
      <c r="BB243" s="575"/>
      <c r="BC243" s="575"/>
      <c r="BD243" s="575"/>
      <c r="BE243" s="575"/>
      <c r="BF243" s="575"/>
      <c r="BG243" s="575"/>
      <c r="BH243" s="575"/>
      <c r="BI243" s="575"/>
      <c r="BJ243" s="575"/>
      <c r="BK243" s="575"/>
      <c r="BL243" s="575"/>
      <c r="BM243" s="575"/>
      <c r="BN243" s="575"/>
      <c r="BO243" s="575"/>
      <c r="BP243" s="575"/>
      <c r="BQ243" s="575"/>
      <c r="BR243" s="575"/>
      <c r="BS243" s="575"/>
      <c r="BT243" s="575"/>
      <c r="BU243" s="575"/>
      <c r="BV243" s="575"/>
      <c r="BW243" s="575"/>
      <c r="BX243" s="575"/>
      <c r="BY243" s="575"/>
      <c r="BZ243" s="575"/>
      <c r="CA243" s="575"/>
      <c r="CB243" s="575"/>
      <c r="CC243" s="575"/>
      <c r="CD243" s="575"/>
      <c r="CE243" s="575"/>
      <c r="CF243" s="575"/>
      <c r="CG243" s="575"/>
      <c r="CH243" s="575"/>
      <c r="CI243" s="575"/>
      <c r="CJ243" s="575"/>
      <c r="CK243" s="575"/>
      <c r="CL243" s="575"/>
      <c r="CM243" s="575"/>
      <c r="CN243" s="575"/>
      <c r="CO243" s="575"/>
      <c r="CP243" s="575"/>
      <c r="CQ243" s="575"/>
      <c r="CR243" s="575"/>
      <c r="CS243" s="575"/>
      <c r="CT243" s="575"/>
      <c r="CU243" s="575"/>
      <c r="CV243" s="575"/>
      <c r="CW243" s="575"/>
      <c r="CX243" s="575"/>
      <c r="CY243" s="575"/>
      <c r="CZ243" s="575"/>
      <c r="DA243" s="575"/>
      <c r="DB243" s="575"/>
      <c r="DC243" s="575"/>
      <c r="DD243" s="575"/>
      <c r="DE243" s="575"/>
      <c r="DF243" s="575"/>
      <c r="DG243" s="575"/>
      <c r="DH243" s="575"/>
      <c r="DI243" s="575"/>
      <c r="DJ243" s="575"/>
      <c r="DK243" s="575"/>
      <c r="DL243" s="575"/>
      <c r="DM243" s="575"/>
      <c r="DN243" s="575"/>
      <c r="DO243" s="575"/>
      <c r="DP243" s="575"/>
      <c r="DQ243" s="575"/>
      <c r="DR243" s="575"/>
      <c r="DS243" s="575"/>
      <c r="DT243" s="575"/>
      <c r="DU243" s="575"/>
      <c r="DV243" s="575"/>
      <c r="DW243" s="575"/>
      <c r="DX243" s="575"/>
      <c r="DY243" s="575"/>
      <c r="DZ243" s="575"/>
      <c r="EA243" s="575"/>
      <c r="EB243" s="575"/>
      <c r="EC243" s="575"/>
      <c r="ED243" s="575"/>
      <c r="EE243" s="575"/>
      <c r="EF243" s="575"/>
      <c r="EG243" s="575"/>
      <c r="EH243" s="575"/>
      <c r="EI243" s="575"/>
      <c r="EJ243" s="575"/>
      <c r="EK243" s="575"/>
      <c r="EL243" s="575"/>
      <c r="EM243" s="575"/>
      <c r="EN243" s="575"/>
      <c r="EO243" s="575"/>
      <c r="EP243" s="575"/>
      <c r="EQ243" s="575"/>
      <c r="ER243" s="575"/>
      <c r="ES243" s="575"/>
      <c r="ET243" s="575"/>
      <c r="EU243" s="575"/>
      <c r="EV243" s="575"/>
      <c r="EW243" s="575"/>
      <c r="EX243" s="575"/>
      <c r="EY243" s="575"/>
      <c r="EZ243" s="575"/>
      <c r="FA243" s="575"/>
      <c r="FB243" s="575"/>
      <c r="FC243" s="575"/>
      <c r="FD243" s="575"/>
      <c r="FE243" s="575"/>
      <c r="FF243" s="575"/>
      <c r="FG243" s="575"/>
      <c r="FH243" s="575"/>
      <c r="FI243" s="575"/>
      <c r="FJ243" s="575"/>
      <c r="FK243" s="575"/>
      <c r="FL243" s="575"/>
      <c r="FM243" s="575"/>
      <c r="FN243" s="575"/>
      <c r="FO243" s="575"/>
      <c r="FP243" s="575"/>
      <c r="FQ243" s="575"/>
      <c r="FR243" s="575"/>
      <c r="FS243" s="575"/>
      <c r="FT243" s="575"/>
      <c r="FU243" s="575"/>
      <c r="FV243" s="575"/>
      <c r="FW243" s="575"/>
      <c r="FX243" s="575"/>
      <c r="FY243" s="575"/>
      <c r="FZ243" s="575"/>
      <c r="GA243" s="575"/>
      <c r="GB243" s="575"/>
      <c r="GC243" s="575"/>
      <c r="GD243" s="575"/>
      <c r="GE243" s="575"/>
      <c r="GF243" s="575"/>
      <c r="GG243" s="575"/>
      <c r="GH243" s="575"/>
      <c r="GI243" s="575"/>
      <c r="GJ243" s="575"/>
      <c r="GK243" s="575"/>
      <c r="GL243" s="575"/>
      <c r="GM243" s="575"/>
      <c r="GN243" s="575"/>
      <c r="GO243" s="575"/>
      <c r="GP243" s="575"/>
      <c r="GQ243" s="575"/>
      <c r="GR243" s="575"/>
      <c r="GS243" s="575"/>
      <c r="GT243" s="575"/>
      <c r="GU243" s="575"/>
      <c r="GV243" s="575"/>
      <c r="GW243" s="575"/>
      <c r="GX243" s="575"/>
      <c r="GY243" s="575"/>
      <c r="GZ243" s="575"/>
      <c r="HA243" s="575"/>
      <c r="HB243" s="575"/>
      <c r="HC243" s="575"/>
      <c r="HD243" s="575"/>
      <c r="HE243" s="575"/>
      <c r="HF243" s="575"/>
      <c r="HG243" s="575"/>
      <c r="HH243" s="575"/>
      <c r="HI243" s="575"/>
      <c r="HJ243" s="575"/>
      <c r="HK243" s="575"/>
      <c r="HL243" s="575"/>
      <c r="HM243" s="575"/>
      <c r="HN243" s="575"/>
      <c r="HO243" s="575"/>
      <c r="HP243" s="575"/>
      <c r="HQ243" s="575"/>
      <c r="HR243" s="575"/>
      <c r="HS243" s="575"/>
      <c r="HT243" s="575"/>
      <c r="HU243" s="575"/>
      <c r="HV243" s="575"/>
      <c r="HW243" s="575"/>
      <c r="HX243" s="575"/>
      <c r="HY243" s="575"/>
      <c r="HZ243" s="575"/>
      <c r="IA243" s="575"/>
      <c r="IB243" s="575"/>
      <c r="IC243" s="575"/>
      <c r="ID243" s="575"/>
      <c r="IE243" s="575"/>
      <c r="IF243" s="575"/>
      <c r="IG243" s="575"/>
      <c r="IH243" s="575"/>
      <c r="II243" s="575"/>
      <c r="IJ243" s="575"/>
      <c r="IK243" s="575"/>
      <c r="IL243" s="575"/>
      <c r="IM243" s="575"/>
      <c r="IN243" s="575"/>
      <c r="IO243" s="575"/>
      <c r="IP243" s="575"/>
      <c r="IQ243" s="575"/>
      <c r="IR243" s="575"/>
      <c r="IS243" s="575"/>
      <c r="IT243" s="575"/>
      <c r="IU243" s="575"/>
      <c r="IV243" s="575"/>
      <c r="IW243" s="575"/>
      <c r="IX243" s="575"/>
      <c r="IY243" s="575"/>
      <c r="IZ243" s="575"/>
      <c r="JA243" s="575"/>
      <c r="JB243" s="575"/>
      <c r="JC243" s="575"/>
      <c r="JD243" s="575"/>
      <c r="JE243" s="575"/>
      <c r="JF243" s="575"/>
      <c r="JG243" s="575"/>
      <c r="JH243" s="575"/>
      <c r="JI243" s="575"/>
      <c r="JJ243" s="575"/>
      <c r="JK243" s="575"/>
      <c r="JL243" s="575"/>
      <c r="JM243" s="575"/>
      <c r="JN243" s="575"/>
      <c r="JO243" s="575"/>
      <c r="JP243" s="575"/>
      <c r="JQ243" s="575"/>
      <c r="JR243" s="575"/>
      <c r="JS243" s="575"/>
      <c r="JT243" s="575"/>
      <c r="JU243" s="575"/>
      <c r="JV243" s="575"/>
      <c r="JW243" s="575"/>
      <c r="JX243" s="575"/>
      <c r="JY243" s="575"/>
      <c r="JZ243" s="575"/>
      <c r="KA243" s="575"/>
      <c r="KB243" s="575"/>
      <c r="KC243" s="575"/>
      <c r="KD243" s="575"/>
      <c r="KE243" s="575"/>
      <c r="KF243" s="575"/>
      <c r="KG243" s="575"/>
      <c r="KH243" s="575"/>
      <c r="KI243" s="575"/>
      <c r="KJ243" s="575"/>
      <c r="KK243" s="575"/>
      <c r="KL243" s="575"/>
      <c r="KM243" s="575"/>
      <c r="KN243" s="575"/>
      <c r="KO243" s="575"/>
      <c r="KP243" s="575"/>
      <c r="KQ243" s="575"/>
      <c r="KR243" s="575"/>
      <c r="KS243" s="575"/>
      <c r="KT243" s="575"/>
      <c r="KU243" s="575"/>
      <c r="KV243" s="575"/>
      <c r="KW243" s="575"/>
      <c r="KX243" s="575"/>
      <c r="KY243" s="575"/>
      <c r="KZ243" s="575"/>
      <c r="LA243" s="575"/>
      <c r="LB243" s="575"/>
      <c r="LC243" s="575"/>
      <c r="LD243" s="575"/>
      <c r="LE243" s="575"/>
      <c r="LF243" s="575"/>
      <c r="LG243" s="575"/>
      <c r="LH243" s="575"/>
      <c r="LI243" s="575"/>
      <c r="LJ243" s="575"/>
      <c r="LK243" s="575"/>
      <c r="LL243" s="575"/>
      <c r="LM243" s="575"/>
      <c r="LN243" s="575"/>
      <c r="LO243" s="575"/>
      <c r="LP243" s="575"/>
      <c r="LQ243" s="575"/>
      <c r="LR243" s="575"/>
      <c r="LS243" s="575"/>
      <c r="LT243" s="575"/>
      <c r="LU243" s="575"/>
      <c r="LV243" s="575"/>
      <c r="LW243" s="575"/>
      <c r="LX243" s="575"/>
      <c r="LY243" s="575"/>
      <c r="LZ243" s="575"/>
      <c r="MA243" s="575"/>
      <c r="MB243" s="575"/>
      <c r="MC243" s="575"/>
      <c r="MD243" s="575"/>
      <c r="ME243" s="575"/>
      <c r="MF243" s="575"/>
      <c r="MG243" s="575"/>
      <c r="MH243" s="575"/>
      <c r="MI243" s="575"/>
      <c r="MJ243" s="575"/>
      <c r="MK243" s="575"/>
      <c r="ML243" s="575"/>
      <c r="MM243" s="575"/>
      <c r="MN243" s="575"/>
      <c r="MO243" s="575"/>
      <c r="MP243" s="575"/>
      <c r="MQ243" s="575"/>
      <c r="MR243" s="575"/>
      <c r="MS243" s="575"/>
      <c r="MT243" s="575"/>
      <c r="MU243" s="575"/>
      <c r="MV243" s="575"/>
      <c r="MW243" s="575"/>
      <c r="MX243" s="575"/>
      <c r="MY243" s="575"/>
      <c r="MZ243" s="575"/>
      <c r="NA243" s="575"/>
      <c r="NB243" s="575"/>
      <c r="NC243" s="575"/>
      <c r="ND243" s="575"/>
      <c r="NE243" s="575"/>
      <c r="NF243" s="575"/>
      <c r="NG243" s="575"/>
      <c r="NH243" s="575"/>
      <c r="NI243" s="575"/>
      <c r="NJ243" s="575"/>
      <c r="NK243" s="575"/>
      <c r="NL243" s="575"/>
      <c r="NM243" s="575"/>
      <c r="NN243" s="575"/>
      <c r="NO243" s="575"/>
      <c r="NP243" s="575"/>
      <c r="NQ243" s="575"/>
      <c r="NR243" s="575"/>
      <c r="NS243" s="575"/>
      <c r="NT243" s="575"/>
      <c r="NU243" s="575"/>
      <c r="NV243" s="575"/>
      <c r="NW243" s="575"/>
      <c r="NX243" s="575"/>
      <c r="NY243" s="575"/>
      <c r="NZ243" s="575"/>
      <c r="OA243" s="575"/>
      <c r="OB243" s="575"/>
      <c r="OC243" s="575"/>
      <c r="OD243" s="575"/>
      <c r="OE243" s="575"/>
      <c r="OF243" s="575"/>
      <c r="OG243" s="575"/>
      <c r="OH243" s="575"/>
      <c r="OI243" s="575"/>
      <c r="OJ243" s="575"/>
      <c r="OK243" s="575"/>
      <c r="OL243" s="575"/>
      <c r="OM243" s="575"/>
      <c r="ON243" s="575"/>
      <c r="OO243" s="575"/>
      <c r="OP243" s="575"/>
      <c r="OQ243" s="575"/>
      <c r="OR243" s="575"/>
      <c r="OS243" s="575"/>
      <c r="OT243" s="575"/>
      <c r="OU243" s="575"/>
      <c r="OV243" s="575"/>
      <c r="OW243" s="575"/>
      <c r="OX243" s="575"/>
      <c r="OY243" s="575"/>
      <c r="OZ243" s="575"/>
      <c r="PA243" s="575"/>
      <c r="PB243" s="575"/>
      <c r="PC243" s="575"/>
      <c r="PD243" s="575"/>
      <c r="PE243" s="575"/>
      <c r="PF243" s="575"/>
      <c r="PG243" s="575"/>
      <c r="PH243" s="575"/>
      <c r="PI243" s="575"/>
      <c r="PJ243" s="575"/>
      <c r="PK243" s="575"/>
      <c r="PL243" s="575"/>
      <c r="PM243" s="575"/>
      <c r="PN243" s="575"/>
      <c r="PO243" s="575"/>
      <c r="PP243" s="575"/>
      <c r="PQ243" s="575"/>
      <c r="PR243" s="575"/>
      <c r="PS243" s="575"/>
      <c r="PT243" s="575"/>
      <c r="PU243" s="575"/>
      <c r="PV243" s="575"/>
      <c r="PW243" s="575"/>
      <c r="PX243" s="575"/>
      <c r="PY243" s="575"/>
      <c r="PZ243" s="575"/>
      <c r="QA243" s="575"/>
      <c r="QB243" s="575"/>
      <c r="QC243" s="575"/>
      <c r="QD243" s="575"/>
      <c r="QE243" s="575"/>
      <c r="QF243" s="575"/>
      <c r="QG243" s="575"/>
      <c r="QH243" s="575"/>
      <c r="QI243" s="575"/>
      <c r="QJ243" s="575"/>
      <c r="QK243" s="575"/>
      <c r="QL243" s="575"/>
      <c r="QM243" s="575"/>
      <c r="QN243" s="575"/>
      <c r="QO243" s="575"/>
      <c r="QP243" s="575"/>
      <c r="QQ243" s="575"/>
      <c r="QR243" s="575"/>
      <c r="QS243" s="575"/>
      <c r="QT243" s="575"/>
      <c r="QU243" s="575"/>
      <c r="QV243" s="575"/>
      <c r="QW243" s="575"/>
      <c r="QX243" s="575"/>
      <c r="QY243" s="575"/>
      <c r="QZ243" s="575"/>
      <c r="RA243" s="575"/>
      <c r="RB243" s="575"/>
      <c r="RC243" s="575"/>
      <c r="RD243" s="575"/>
      <c r="RE243" s="575"/>
      <c r="RF243" s="575"/>
      <c r="RG243" s="575"/>
      <c r="RH243" s="575"/>
      <c r="RI243" s="575"/>
      <c r="RJ243" s="575"/>
      <c r="RK243" s="575"/>
      <c r="RL243" s="575"/>
      <c r="RM243" s="575"/>
      <c r="RN243" s="575"/>
      <c r="RO243" s="575"/>
      <c r="RP243" s="575"/>
      <c r="RQ243" s="575"/>
      <c r="RR243" s="575"/>
      <c r="RS243" s="575"/>
      <c r="RT243" s="575"/>
      <c r="RU243" s="575"/>
      <c r="RV243" s="575"/>
      <c r="RW243" s="575"/>
      <c r="RX243" s="575"/>
      <c r="RY243" s="575"/>
      <c r="RZ243" s="575"/>
      <c r="SA243" s="575"/>
      <c r="SB243" s="575"/>
      <c r="SC243" s="575"/>
      <c r="SD243" s="575"/>
      <c r="SE243" s="575"/>
      <c r="SF243" s="575"/>
      <c r="SG243" s="575"/>
      <c r="SH243" s="575"/>
      <c r="SI243" s="575"/>
      <c r="SJ243" s="575"/>
      <c r="SK243" s="575"/>
      <c r="SL243" s="575"/>
      <c r="SM243" s="575"/>
      <c r="SN243" s="575"/>
      <c r="SO243" s="575"/>
      <c r="SP243" s="575"/>
      <c r="SQ243" s="575"/>
      <c r="SR243" s="575"/>
      <c r="SS243" s="575"/>
      <c r="ST243" s="575"/>
      <c r="SU243" s="575"/>
      <c r="SV243" s="575"/>
      <c r="SW243" s="575"/>
      <c r="SX243" s="575"/>
      <c r="SY243" s="575"/>
      <c r="SZ243" s="575"/>
      <c r="TA243" s="575"/>
      <c r="TB243" s="575"/>
      <c r="TC243" s="575"/>
      <c r="TD243" s="575"/>
      <c r="TE243" s="575"/>
      <c r="TF243" s="575"/>
      <c r="TG243" s="575"/>
      <c r="TH243" s="575"/>
      <c r="TI243" s="575"/>
      <c r="TJ243" s="575"/>
      <c r="TK243" s="575"/>
      <c r="TL243" s="575"/>
      <c r="TM243" s="575"/>
      <c r="TN243" s="575"/>
      <c r="TO243" s="575"/>
      <c r="TP243" s="575"/>
      <c r="TQ243" s="575"/>
      <c r="TR243" s="575"/>
      <c r="TS243" s="575"/>
      <c r="TT243" s="575"/>
      <c r="TU243" s="575"/>
      <c r="TV243" s="575"/>
      <c r="TW243" s="575"/>
      <c r="TX243" s="575"/>
      <c r="TY243" s="575"/>
      <c r="TZ243" s="575"/>
      <c r="UA243" s="575"/>
      <c r="UB243" s="575"/>
      <c r="UC243" s="575"/>
      <c r="UD243" s="575"/>
      <c r="UE243" s="575"/>
      <c r="UF243" s="575"/>
      <c r="UG243" s="575"/>
      <c r="UH243" s="575"/>
      <c r="UI243" s="575"/>
      <c r="UJ243" s="575"/>
      <c r="UK243" s="575"/>
      <c r="UL243" s="575"/>
      <c r="UM243" s="575"/>
      <c r="UN243" s="575"/>
      <c r="UO243" s="575"/>
      <c r="UP243" s="575"/>
      <c r="UQ243" s="575"/>
      <c r="UR243" s="575"/>
      <c r="US243" s="575"/>
      <c r="UT243" s="575"/>
      <c r="UU243" s="575"/>
      <c r="UV243" s="575"/>
      <c r="UW243" s="575"/>
      <c r="UX243" s="575"/>
      <c r="UY243" s="575"/>
      <c r="UZ243" s="575"/>
      <c r="VA243" s="575"/>
      <c r="VB243" s="575"/>
      <c r="VC243" s="575"/>
      <c r="VD243" s="575"/>
      <c r="VE243" s="575"/>
      <c r="VF243" s="575"/>
      <c r="VG243" s="575"/>
      <c r="VH243" s="575"/>
      <c r="VI243" s="575"/>
      <c r="VJ243" s="575"/>
      <c r="VK243" s="575"/>
      <c r="VL243" s="575"/>
      <c r="VM243" s="575"/>
      <c r="VN243" s="575"/>
      <c r="VO243" s="575"/>
      <c r="VP243" s="575"/>
      <c r="VQ243" s="575"/>
      <c r="VR243" s="575"/>
      <c r="VS243" s="575"/>
      <c r="VT243" s="575"/>
      <c r="VU243" s="575"/>
      <c r="VV243" s="575"/>
      <c r="VW243" s="575"/>
      <c r="VX243" s="575"/>
      <c r="VY243" s="575"/>
      <c r="VZ243" s="575"/>
      <c r="WA243" s="575"/>
      <c r="WB243" s="575"/>
      <c r="WC243" s="575"/>
      <c r="WD243" s="575"/>
      <c r="WE243" s="575"/>
      <c r="WF243" s="575"/>
      <c r="WG243" s="575"/>
      <c r="WH243" s="575"/>
      <c r="WI243" s="575"/>
      <c r="WJ243" s="575"/>
      <c r="WK243" s="575"/>
      <c r="WL243" s="575"/>
      <c r="WM243" s="575"/>
      <c r="WN243" s="575"/>
      <c r="WO243" s="575"/>
      <c r="WP243" s="575"/>
      <c r="WQ243" s="575"/>
      <c r="WR243" s="575"/>
      <c r="WS243" s="575"/>
      <c r="WT243" s="575"/>
      <c r="WU243" s="575"/>
      <c r="WV243" s="575"/>
      <c r="WW243" s="575"/>
      <c r="WX243" s="575"/>
      <c r="WY243" s="575"/>
      <c r="WZ243" s="575"/>
      <c r="XA243" s="575"/>
      <c r="XB243" s="575"/>
      <c r="XC243" s="575"/>
      <c r="XD243" s="575"/>
      <c r="XE243" s="575"/>
      <c r="XF243" s="575"/>
      <c r="XG243" s="575"/>
      <c r="XH243" s="575"/>
      <c r="XI243" s="575"/>
      <c r="XJ243" s="575"/>
      <c r="XK243" s="575"/>
      <c r="XL243" s="575"/>
      <c r="XM243" s="575"/>
      <c r="XN243" s="575"/>
      <c r="XO243" s="575"/>
      <c r="XP243" s="575"/>
      <c r="XQ243" s="575"/>
      <c r="XR243" s="575"/>
      <c r="XS243" s="575"/>
      <c r="XT243" s="575"/>
      <c r="XU243" s="575"/>
      <c r="XV243" s="575"/>
      <c r="XW243" s="575"/>
      <c r="XX243" s="575"/>
      <c r="XY243" s="575"/>
      <c r="XZ243" s="575"/>
      <c r="YA243" s="575"/>
      <c r="YB243" s="575"/>
      <c r="YC243" s="575"/>
      <c r="YD243" s="575"/>
      <c r="YE243" s="575"/>
      <c r="YF243" s="575"/>
      <c r="YG243" s="575"/>
      <c r="YH243" s="575"/>
      <c r="YI243" s="575"/>
      <c r="YJ243" s="575"/>
      <c r="YK243" s="575"/>
      <c r="YL243" s="575"/>
      <c r="YM243" s="575"/>
      <c r="YN243" s="575"/>
      <c r="YO243" s="575"/>
      <c r="YP243" s="575"/>
      <c r="YQ243" s="575"/>
      <c r="YR243" s="575"/>
      <c r="YS243" s="575"/>
      <c r="YT243" s="575"/>
      <c r="YU243" s="575"/>
      <c r="YV243" s="575"/>
      <c r="YW243" s="575"/>
      <c r="YX243" s="575"/>
      <c r="YY243" s="575"/>
      <c r="YZ243" s="575"/>
      <c r="ZA243" s="575"/>
      <c r="ZB243" s="575"/>
      <c r="ZC243" s="575"/>
      <c r="ZD243" s="575"/>
      <c r="ZE243" s="575"/>
      <c r="ZF243" s="575"/>
      <c r="ZG243" s="575"/>
      <c r="ZH243" s="575"/>
      <c r="ZI243" s="575"/>
      <c r="ZJ243" s="575"/>
      <c r="ZK243" s="575"/>
      <c r="ZL243" s="575"/>
      <c r="ZM243" s="575"/>
      <c r="ZN243" s="575"/>
      <c r="ZO243" s="575"/>
      <c r="ZP243" s="575"/>
      <c r="ZQ243" s="575"/>
      <c r="ZR243" s="575"/>
      <c r="ZS243" s="575"/>
      <c r="ZT243" s="575"/>
      <c r="ZU243" s="575"/>
      <c r="ZV243" s="575"/>
      <c r="ZW243" s="575"/>
      <c r="ZX243" s="575"/>
      <c r="ZY243" s="575"/>
      <c r="ZZ243" s="575"/>
      <c r="AAA243" s="575"/>
      <c r="AAB243" s="575"/>
      <c r="AAC243" s="575"/>
      <c r="AAD243" s="575"/>
      <c r="AAE243" s="575"/>
      <c r="AAF243" s="575"/>
      <c r="AAG243" s="575"/>
      <c r="AAH243" s="575"/>
      <c r="AAI243" s="575"/>
      <c r="AAJ243" s="575"/>
      <c r="AAK243" s="575"/>
      <c r="AAL243" s="575"/>
      <c r="AAM243" s="575"/>
      <c r="AAN243" s="575"/>
      <c r="AAO243" s="575"/>
      <c r="AAP243" s="575"/>
      <c r="AAQ243" s="575"/>
      <c r="AAR243" s="575"/>
      <c r="AAS243" s="575"/>
      <c r="AAT243" s="575"/>
      <c r="AAU243" s="575"/>
      <c r="AAV243" s="575"/>
      <c r="AAW243" s="575"/>
      <c r="AAX243" s="575"/>
      <c r="AAY243" s="575"/>
      <c r="AAZ243" s="575"/>
      <c r="ABA243" s="575"/>
      <c r="ABB243" s="575"/>
      <c r="ABC243" s="575"/>
      <c r="ABD243" s="575"/>
      <c r="ABE243" s="575"/>
      <c r="ABF243" s="575"/>
      <c r="ABG243" s="575"/>
      <c r="ABH243" s="575"/>
      <c r="ABI243" s="575"/>
      <c r="ABJ243" s="575"/>
      <c r="ABK243" s="575"/>
      <c r="ABL243" s="575"/>
      <c r="ABM243" s="575"/>
      <c r="ABN243" s="575"/>
      <c r="ABO243" s="575"/>
      <c r="ABP243" s="575"/>
      <c r="ABQ243" s="575"/>
      <c r="ABR243" s="575"/>
      <c r="ABS243" s="575"/>
      <c r="ABT243" s="575"/>
      <c r="ABU243" s="575"/>
      <c r="ABV243" s="575"/>
      <c r="ABW243" s="575"/>
      <c r="ABX243" s="575"/>
      <c r="ABY243" s="575"/>
      <c r="ABZ243" s="575"/>
      <c r="ACA243" s="575"/>
      <c r="ACB243" s="575"/>
      <c r="ACC243" s="575"/>
      <c r="ACD243" s="575"/>
      <c r="ACE243" s="575"/>
      <c r="ACF243" s="575"/>
      <c r="ACG243" s="575"/>
      <c r="ACH243" s="575"/>
      <c r="ACI243" s="575"/>
      <c r="ACJ243" s="575"/>
      <c r="ACK243" s="575"/>
      <c r="ACL243" s="575"/>
      <c r="ACM243" s="575"/>
      <c r="ACN243" s="575"/>
      <c r="ACO243" s="575"/>
      <c r="ACP243" s="575"/>
      <c r="ACQ243" s="575"/>
      <c r="ACR243" s="575"/>
      <c r="ACS243" s="575"/>
      <c r="ACT243" s="575"/>
      <c r="ACU243" s="575"/>
      <c r="ACV243" s="575"/>
      <c r="ACW243" s="575"/>
      <c r="ACX243" s="575"/>
      <c r="ACY243" s="575"/>
      <c r="ACZ243" s="575"/>
      <c r="ADA243" s="575"/>
      <c r="ADB243" s="575"/>
      <c r="ADC243" s="575"/>
      <c r="ADD243" s="575"/>
      <c r="ADE243" s="575"/>
      <c r="ADF243" s="575"/>
      <c r="ADG243" s="575"/>
      <c r="ADH243" s="575"/>
      <c r="ADI243" s="575"/>
      <c r="ADJ243" s="575"/>
      <c r="ADK243" s="575"/>
      <c r="ADL243" s="575"/>
      <c r="ADM243" s="575"/>
      <c r="ADN243" s="575"/>
      <c r="ADO243" s="575"/>
      <c r="ADP243" s="575"/>
      <c r="ADQ243" s="575"/>
      <c r="ADR243" s="575"/>
      <c r="ADS243" s="575"/>
      <c r="ADT243" s="575"/>
      <c r="ADU243" s="575"/>
      <c r="ADV243" s="575"/>
      <c r="ADW243" s="575"/>
      <c r="ADX243" s="575"/>
      <c r="ADY243" s="575"/>
      <c r="ADZ243" s="575"/>
      <c r="AEA243" s="575"/>
      <c r="AEB243" s="575"/>
      <c r="AEC243" s="575"/>
      <c r="AED243" s="575"/>
      <c r="AEE243" s="575"/>
      <c r="AEF243" s="575"/>
      <c r="AEG243" s="575"/>
      <c r="AEH243" s="575"/>
      <c r="AEI243" s="575"/>
      <c r="AEJ243" s="575"/>
      <c r="AEK243" s="575"/>
      <c r="AEL243" s="575"/>
      <c r="AEM243" s="575"/>
      <c r="AEN243" s="575"/>
      <c r="AEO243" s="575"/>
      <c r="AEP243" s="575"/>
      <c r="AEQ243" s="575"/>
      <c r="AER243" s="575"/>
      <c r="AES243" s="575"/>
      <c r="AET243" s="575"/>
      <c r="AEU243" s="575"/>
      <c r="AEV243" s="575"/>
      <c r="AEW243" s="575"/>
      <c r="AEX243" s="575"/>
      <c r="AEY243" s="575"/>
      <c r="AEZ243" s="575"/>
      <c r="AFA243" s="575"/>
      <c r="AFB243" s="575"/>
      <c r="AFC243" s="575"/>
      <c r="AFD243" s="575"/>
      <c r="AFE243" s="575"/>
      <c r="AFF243" s="575"/>
      <c r="AFG243" s="575"/>
      <c r="AFH243" s="575"/>
      <c r="AFI243" s="575"/>
      <c r="AFJ243" s="575"/>
      <c r="AFK243" s="575"/>
      <c r="AFL243" s="575"/>
      <c r="AFM243" s="575"/>
      <c r="AFN243" s="575"/>
      <c r="AFO243" s="575"/>
      <c r="AFP243" s="575"/>
      <c r="AFQ243" s="575"/>
      <c r="AFR243" s="575"/>
      <c r="AFS243" s="575"/>
      <c r="AFT243" s="575"/>
      <c r="AFU243" s="575"/>
      <c r="AFV243" s="575"/>
      <c r="AFW243" s="575"/>
      <c r="AFX243" s="575"/>
      <c r="AFY243" s="575"/>
      <c r="AFZ243" s="575"/>
      <c r="AGA243" s="575"/>
      <c r="AGB243" s="575"/>
      <c r="AGC243" s="575"/>
      <c r="AGD243" s="575"/>
      <c r="AGE243" s="575"/>
      <c r="AGF243" s="575"/>
      <c r="AGG243" s="575"/>
      <c r="AGH243" s="575"/>
      <c r="AGI243" s="575"/>
      <c r="AGJ243" s="575"/>
      <c r="AGK243" s="575"/>
      <c r="AGL243" s="575"/>
      <c r="AGM243" s="575"/>
      <c r="AGN243" s="575"/>
      <c r="AGO243" s="575"/>
      <c r="AGP243" s="575"/>
      <c r="AGQ243" s="575"/>
      <c r="AGR243" s="575"/>
      <c r="AGS243" s="575"/>
      <c r="AGT243" s="575"/>
      <c r="AGU243" s="575"/>
      <c r="AGV243" s="575"/>
      <c r="AGW243" s="575"/>
      <c r="AGX243" s="575"/>
      <c r="AGY243" s="575"/>
      <c r="AGZ243" s="575"/>
      <c r="AHA243" s="575"/>
      <c r="AHB243" s="575"/>
      <c r="AHC243" s="575"/>
      <c r="AHD243" s="575"/>
      <c r="AHE243" s="575"/>
      <c r="AHF243" s="575"/>
      <c r="AHG243" s="575"/>
      <c r="AHH243" s="575"/>
      <c r="AHI243" s="575"/>
      <c r="AHJ243" s="575"/>
      <c r="AHK243" s="575"/>
      <c r="AHL243" s="575"/>
      <c r="AHM243" s="575"/>
      <c r="AHN243" s="575"/>
      <c r="AHO243" s="575"/>
      <c r="AHP243" s="575"/>
      <c r="AHQ243" s="575"/>
      <c r="AHR243" s="575"/>
      <c r="AHS243" s="575"/>
      <c r="AHT243" s="575"/>
      <c r="AHU243" s="575"/>
      <c r="AHV243" s="575"/>
      <c r="AHW243" s="575"/>
      <c r="AHX243" s="575"/>
      <c r="AHY243" s="575"/>
      <c r="AHZ243" s="575"/>
      <c r="AIA243" s="575"/>
      <c r="AIB243" s="575"/>
      <c r="AIC243" s="575"/>
      <c r="AID243" s="575"/>
      <c r="AIE243" s="575"/>
      <c r="AIF243" s="575"/>
      <c r="AIG243" s="575"/>
      <c r="AIH243" s="575"/>
      <c r="AII243" s="575"/>
      <c r="AIJ243" s="575"/>
      <c r="AIK243" s="575"/>
      <c r="AIL243" s="575"/>
      <c r="AIM243" s="575"/>
      <c r="AIN243" s="575"/>
      <c r="AIO243" s="575"/>
      <c r="AIP243" s="575"/>
      <c r="AIQ243" s="575"/>
      <c r="AIR243" s="575"/>
      <c r="AIS243" s="575"/>
      <c r="AIT243" s="575"/>
      <c r="AIU243" s="575"/>
      <c r="AIV243" s="575"/>
      <c r="AIW243" s="575"/>
      <c r="AIX243" s="575"/>
      <c r="AIY243" s="575"/>
      <c r="AIZ243" s="575"/>
      <c r="AJA243" s="575"/>
      <c r="AJB243" s="575"/>
      <c r="AJC243" s="575"/>
      <c r="AJD243" s="575"/>
      <c r="AJE243" s="575"/>
      <c r="AJF243" s="575"/>
      <c r="AJG243" s="575"/>
      <c r="AJH243" s="575"/>
      <c r="AJI243" s="575"/>
      <c r="AJJ243" s="575"/>
      <c r="AJK243" s="575"/>
      <c r="AJL243" s="575"/>
      <c r="AJM243" s="575"/>
      <c r="AJN243" s="575"/>
      <c r="AJO243" s="575"/>
      <c r="AJP243" s="575"/>
      <c r="AJQ243" s="575"/>
      <c r="AJR243" s="575"/>
      <c r="AJS243" s="575"/>
      <c r="AJT243" s="575"/>
      <c r="AJU243" s="575"/>
      <c r="AJV243" s="575"/>
      <c r="AJW243" s="575"/>
      <c r="AJX243" s="575"/>
      <c r="AJY243" s="575"/>
      <c r="AJZ243" s="575"/>
      <c r="AKA243" s="575"/>
      <c r="AKB243" s="575"/>
      <c r="AKC243" s="575"/>
      <c r="AKD243" s="575"/>
      <c r="AKE243" s="575"/>
      <c r="AKF243" s="575"/>
      <c r="AKG243" s="575"/>
      <c r="AKH243" s="575"/>
      <c r="AKI243" s="575"/>
      <c r="AKJ243" s="575"/>
      <c r="AKK243" s="575"/>
      <c r="AKL243" s="575"/>
      <c r="AKM243" s="575"/>
      <c r="AKN243" s="575"/>
      <c r="AKO243" s="575"/>
      <c r="AKP243" s="575"/>
      <c r="AKQ243" s="575"/>
      <c r="AKR243" s="575"/>
      <c r="AKS243" s="575"/>
      <c r="AKT243" s="575"/>
      <c r="AKU243" s="575"/>
      <c r="AKV243" s="575"/>
      <c r="AKW243" s="575"/>
      <c r="AKX243" s="575"/>
      <c r="AKY243" s="575"/>
      <c r="AKZ243" s="575"/>
      <c r="ALA243" s="575"/>
      <c r="ALB243" s="575"/>
      <c r="ALC243" s="575"/>
      <c r="ALD243" s="575"/>
      <c r="ALE243" s="575"/>
      <c r="ALF243" s="575"/>
      <c r="ALG243" s="575"/>
      <c r="ALH243" s="575"/>
      <c r="ALI243" s="575"/>
      <c r="ALJ243" s="575"/>
      <c r="ALK243" s="575"/>
      <c r="ALL243" s="575"/>
      <c r="ALM243" s="575"/>
      <c r="ALN243" s="575"/>
      <c r="ALO243" s="575"/>
      <c r="ALP243" s="575"/>
      <c r="ALQ243" s="575"/>
      <c r="ALR243" s="575"/>
      <c r="ALS243" s="575"/>
      <c r="ALT243" s="575"/>
      <c r="ALU243" s="575"/>
      <c r="ALV243" s="575"/>
      <c r="ALW243" s="575"/>
      <c r="ALX243" s="575"/>
      <c r="ALY243" s="575"/>
      <c r="ALZ243" s="575"/>
      <c r="AMA243" s="575"/>
      <c r="AMB243" s="575"/>
      <c r="AMC243" s="575"/>
      <c r="AMD243" s="575"/>
      <c r="AME243" s="575"/>
      <c r="AMF243" s="575"/>
      <c r="AMG243" s="575"/>
      <c r="AMH243" s="575"/>
      <c r="AMI243" s="575"/>
      <c r="AMJ243" s="575"/>
      <c r="AMK243" s="575"/>
      <c r="AML243" s="575"/>
      <c r="AMM243" s="575"/>
      <c r="AMN243" s="575"/>
      <c r="AMO243" s="575"/>
      <c r="AMP243" s="575"/>
      <c r="AMQ243" s="575"/>
      <c r="AMR243" s="575"/>
      <c r="AMS243" s="575"/>
      <c r="AMT243" s="575"/>
      <c r="AMU243" s="575"/>
      <c r="AMV243" s="575"/>
      <c r="AMW243" s="575"/>
      <c r="AMX243" s="575"/>
      <c r="AMY243" s="575"/>
      <c r="AMZ243" s="575"/>
      <c r="ANA243" s="575"/>
      <c r="ANB243" s="575"/>
      <c r="ANC243" s="575"/>
      <c r="AND243" s="575"/>
      <c r="ANE243" s="575"/>
      <c r="ANF243" s="575"/>
      <c r="ANG243" s="575"/>
      <c r="ANH243" s="575"/>
      <c r="ANI243" s="575"/>
      <c r="ANJ243" s="575"/>
      <c r="ANK243" s="575"/>
      <c r="ANL243" s="575"/>
      <c r="ANM243" s="575"/>
      <c r="ANN243" s="575"/>
      <c r="ANO243" s="575"/>
      <c r="ANP243" s="575"/>
      <c r="ANQ243" s="575"/>
      <c r="ANR243" s="575"/>
      <c r="ANS243" s="575"/>
      <c r="ANT243" s="575"/>
      <c r="ANU243" s="575"/>
      <c r="ANV243" s="575"/>
      <c r="ANW243" s="575"/>
      <c r="ANX243" s="575"/>
      <c r="ANY243" s="575"/>
      <c r="ANZ243" s="575"/>
      <c r="AOA243" s="575"/>
      <c r="AOB243" s="575"/>
      <c r="AOC243" s="575"/>
      <c r="AOD243" s="575"/>
      <c r="AOE243" s="575"/>
      <c r="AOF243" s="575"/>
      <c r="AOG243" s="575"/>
      <c r="AOH243" s="575"/>
      <c r="AOI243" s="575"/>
      <c r="AOJ243" s="575"/>
      <c r="AOK243" s="575"/>
      <c r="AOL243" s="575"/>
      <c r="AOM243" s="575"/>
      <c r="AON243" s="575"/>
      <c r="AOO243" s="575"/>
      <c r="AOP243" s="575"/>
      <c r="AOQ243" s="575"/>
      <c r="AOR243" s="575"/>
      <c r="AOS243" s="575"/>
      <c r="AOT243" s="575"/>
      <c r="AOU243" s="575"/>
      <c r="AOV243" s="575"/>
      <c r="AOW243" s="575"/>
      <c r="AOX243" s="575"/>
      <c r="AOY243" s="575"/>
      <c r="AOZ243" s="575"/>
      <c r="APA243" s="575"/>
      <c r="APB243" s="575"/>
      <c r="APC243" s="575"/>
      <c r="APD243" s="575"/>
      <c r="APE243" s="575"/>
      <c r="APF243" s="575"/>
      <c r="APG243" s="575"/>
      <c r="APH243" s="575"/>
      <c r="API243" s="575"/>
      <c r="APJ243" s="575"/>
      <c r="APK243" s="575"/>
      <c r="APL243" s="575"/>
      <c r="APM243" s="575"/>
      <c r="APN243" s="575"/>
      <c r="APO243" s="575"/>
      <c r="APP243" s="575"/>
      <c r="APQ243" s="575"/>
      <c r="APR243" s="575"/>
      <c r="APS243" s="575"/>
      <c r="APT243" s="575"/>
      <c r="APU243" s="575"/>
      <c r="APV243" s="575"/>
      <c r="APW243" s="575"/>
      <c r="APX243" s="575"/>
      <c r="APY243" s="575"/>
      <c r="APZ243" s="575"/>
      <c r="AQA243" s="575"/>
      <c r="AQB243" s="575"/>
      <c r="AQC243" s="575"/>
      <c r="AQD243" s="575"/>
      <c r="AQE243" s="575"/>
      <c r="AQF243" s="575"/>
      <c r="AQG243" s="575"/>
      <c r="AQH243" s="575"/>
      <c r="AQI243" s="575"/>
      <c r="AQJ243" s="575"/>
      <c r="AQK243" s="575"/>
      <c r="AQL243" s="575"/>
      <c r="AQM243" s="575"/>
      <c r="AQN243" s="575"/>
      <c r="AQO243" s="575"/>
      <c r="AQP243" s="575"/>
      <c r="AQQ243" s="575"/>
      <c r="AQR243" s="575"/>
      <c r="AQS243" s="575"/>
      <c r="AQT243" s="575"/>
      <c r="AQU243" s="575"/>
      <c r="AQV243" s="575"/>
      <c r="AQW243" s="575"/>
      <c r="AQX243" s="575"/>
      <c r="AQY243" s="575"/>
      <c r="AQZ243" s="575"/>
      <c r="ARA243" s="575"/>
      <c r="ARB243" s="575"/>
      <c r="ARC243" s="575"/>
      <c r="ARD243" s="575"/>
      <c r="ARE243" s="575"/>
      <c r="ARF243" s="575"/>
      <c r="ARG243" s="575"/>
      <c r="ARH243" s="575"/>
      <c r="ARI243" s="575"/>
      <c r="ARJ243" s="575"/>
      <c r="ARK243" s="575"/>
      <c r="ARL243" s="575"/>
      <c r="ARM243" s="575"/>
      <c r="ARN243" s="575"/>
      <c r="ARO243" s="575"/>
      <c r="ARP243" s="575"/>
      <c r="ARQ243" s="575"/>
      <c r="ARR243" s="575"/>
      <c r="ARS243" s="575"/>
      <c r="ART243" s="575"/>
      <c r="ARU243" s="575"/>
      <c r="ARV243" s="575"/>
      <c r="ARW243" s="575"/>
      <c r="ARX243" s="575"/>
      <c r="ARY243" s="575"/>
      <c r="ARZ243" s="575"/>
      <c r="ASA243" s="575"/>
      <c r="ASB243" s="575"/>
      <c r="ASC243" s="575"/>
      <c r="ASD243" s="575"/>
      <c r="ASE243" s="575"/>
      <c r="ASF243" s="575"/>
      <c r="ASG243" s="575"/>
      <c r="ASH243" s="575"/>
      <c r="ASI243" s="575"/>
      <c r="ASJ243" s="575"/>
      <c r="ASK243" s="575"/>
      <c r="ASL243" s="575"/>
      <c r="ASM243" s="575"/>
      <c r="ASN243" s="575"/>
      <c r="ASO243" s="575"/>
      <c r="ASP243" s="575"/>
      <c r="ASQ243" s="575"/>
      <c r="ASR243" s="575"/>
      <c r="ASS243" s="575"/>
      <c r="AST243" s="575"/>
      <c r="ASU243" s="575"/>
      <c r="ASV243" s="575"/>
      <c r="ASW243" s="575"/>
      <c r="ASX243" s="575"/>
      <c r="ASY243" s="575"/>
      <c r="ASZ243" s="575"/>
      <c r="ATA243" s="575"/>
      <c r="ATB243" s="575"/>
      <c r="ATC243" s="575"/>
      <c r="ATD243" s="575"/>
      <c r="ATE243" s="575"/>
      <c r="ATF243" s="575"/>
      <c r="ATG243" s="575"/>
      <c r="ATH243" s="575"/>
      <c r="ATI243" s="575"/>
      <c r="ATJ243" s="575"/>
      <c r="ATK243" s="575"/>
      <c r="ATL243" s="575"/>
      <c r="ATM243" s="575"/>
      <c r="ATN243" s="575"/>
      <c r="ATO243" s="575"/>
      <c r="ATP243" s="575"/>
      <c r="ATQ243" s="575"/>
      <c r="ATR243" s="575"/>
      <c r="ATS243" s="575"/>
      <c r="ATT243" s="575"/>
      <c r="ATU243" s="575"/>
      <c r="ATV243" s="575"/>
      <c r="ATW243" s="575"/>
      <c r="ATX243" s="575"/>
      <c r="ATY243" s="575"/>
      <c r="ATZ243" s="575"/>
      <c r="AUA243" s="575"/>
      <c r="AUB243" s="575"/>
      <c r="AUC243" s="575"/>
      <c r="AUD243" s="575"/>
      <c r="AUE243" s="575"/>
      <c r="AUF243" s="575"/>
      <c r="AUG243" s="575"/>
      <c r="AUH243" s="575"/>
      <c r="AUI243" s="575"/>
      <c r="AUJ243" s="575"/>
      <c r="AUK243" s="575"/>
      <c r="AUL243" s="575"/>
      <c r="AUM243" s="575"/>
      <c r="AUN243" s="575"/>
      <c r="AUO243" s="575"/>
      <c r="AUP243" s="575"/>
      <c r="AUQ243" s="575"/>
      <c r="AUR243" s="575"/>
      <c r="AUS243" s="575"/>
      <c r="AUT243" s="575"/>
      <c r="AUU243" s="575"/>
      <c r="AUV243" s="575"/>
      <c r="AUW243" s="575"/>
      <c r="AUX243" s="575"/>
      <c r="AUY243" s="575"/>
      <c r="AUZ243" s="575"/>
      <c r="AVA243" s="575"/>
      <c r="AVB243" s="575"/>
      <c r="AVC243" s="575"/>
      <c r="AVD243" s="575"/>
      <c r="AVE243" s="575"/>
      <c r="AVF243" s="575"/>
      <c r="AVG243" s="575"/>
      <c r="AVH243" s="575"/>
      <c r="AVI243" s="575"/>
      <c r="AVJ243" s="575"/>
      <c r="AVK243" s="575"/>
      <c r="AVL243" s="575"/>
      <c r="AVM243" s="575"/>
      <c r="AVN243" s="575"/>
      <c r="AVO243" s="575"/>
      <c r="AVP243" s="575"/>
      <c r="AVQ243" s="575"/>
      <c r="AVR243" s="575"/>
      <c r="AVS243" s="575"/>
      <c r="AVT243" s="575"/>
      <c r="AVU243" s="575"/>
      <c r="AVV243" s="575"/>
      <c r="AVW243" s="575"/>
      <c r="AVX243" s="575"/>
      <c r="AVY243" s="575"/>
      <c r="AVZ243" s="575"/>
      <c r="AWA243" s="575"/>
      <c r="AWB243" s="575"/>
      <c r="AWC243" s="575"/>
      <c r="AWD243" s="575"/>
      <c r="AWE243" s="575"/>
      <c r="AWF243" s="575"/>
      <c r="AWG243" s="575"/>
      <c r="AWH243" s="575"/>
      <c r="AWI243" s="575"/>
      <c r="AWJ243" s="575"/>
      <c r="AWK243" s="575"/>
      <c r="AWL243" s="575"/>
      <c r="AWM243" s="575"/>
      <c r="AWN243" s="575"/>
      <c r="AWO243" s="575"/>
      <c r="AWP243" s="575"/>
      <c r="AWQ243" s="575"/>
      <c r="AWR243" s="575"/>
      <c r="AWS243" s="575"/>
      <c r="AWT243" s="575"/>
      <c r="AWU243" s="575"/>
      <c r="AWV243" s="575"/>
      <c r="AWW243" s="575"/>
      <c r="AWX243" s="575"/>
      <c r="AWY243" s="575"/>
      <c r="AWZ243" s="575"/>
      <c r="AXA243" s="575"/>
      <c r="AXB243" s="575"/>
      <c r="AXC243" s="575"/>
      <c r="AXD243" s="575"/>
      <c r="AXE243" s="575"/>
      <c r="AXF243" s="575"/>
      <c r="AXG243" s="575"/>
      <c r="AXH243" s="575"/>
      <c r="AXI243" s="575"/>
      <c r="AXJ243" s="575"/>
      <c r="AXK243" s="575"/>
      <c r="AXL243" s="575"/>
      <c r="AXM243" s="575"/>
      <c r="AXN243" s="575"/>
      <c r="AXO243" s="575"/>
      <c r="AXP243" s="575"/>
      <c r="AXQ243" s="575"/>
      <c r="AXR243" s="575"/>
      <c r="AXS243" s="575"/>
      <c r="AXT243" s="575"/>
      <c r="AXU243" s="575"/>
      <c r="AXV243" s="575"/>
      <c r="AXW243" s="575"/>
      <c r="AXX243" s="575"/>
      <c r="AXY243" s="575"/>
      <c r="AXZ243" s="575"/>
      <c r="AYA243" s="575"/>
      <c r="AYB243" s="575"/>
      <c r="AYC243" s="575"/>
      <c r="AYD243" s="575"/>
      <c r="AYE243" s="575"/>
      <c r="AYF243" s="575"/>
      <c r="AYG243" s="575"/>
      <c r="AYH243" s="575"/>
      <c r="AYI243" s="575"/>
      <c r="AYJ243" s="575"/>
      <c r="AYK243" s="575"/>
      <c r="AYL243" s="575"/>
      <c r="AYM243" s="575"/>
      <c r="AYN243" s="575"/>
      <c r="AYO243" s="575"/>
      <c r="AYP243" s="575"/>
      <c r="AYQ243" s="575"/>
      <c r="AYR243" s="575"/>
      <c r="AYS243" s="575"/>
      <c r="AYT243" s="575"/>
      <c r="AYU243" s="575"/>
      <c r="AYV243" s="575"/>
      <c r="AYW243" s="575"/>
      <c r="AYX243" s="575"/>
      <c r="AYY243" s="575"/>
      <c r="AYZ243" s="575"/>
      <c r="AZA243" s="575"/>
      <c r="AZB243" s="575"/>
      <c r="AZC243" s="575"/>
      <c r="AZD243" s="575"/>
      <c r="AZE243" s="575"/>
      <c r="AZF243" s="575"/>
      <c r="AZG243" s="575"/>
      <c r="AZH243" s="575"/>
      <c r="AZI243" s="575"/>
      <c r="AZJ243" s="575"/>
      <c r="AZK243" s="575"/>
      <c r="AZL243" s="575"/>
      <c r="AZM243" s="575"/>
      <c r="AZN243" s="575"/>
      <c r="AZO243" s="575"/>
      <c r="AZP243" s="575"/>
      <c r="AZQ243" s="575"/>
      <c r="AZR243" s="575"/>
      <c r="AZS243" s="575"/>
      <c r="AZT243" s="575"/>
      <c r="AZU243" s="575"/>
      <c r="AZV243" s="575"/>
      <c r="AZW243" s="575"/>
      <c r="AZX243" s="575"/>
      <c r="AZY243" s="575"/>
      <c r="AZZ243" s="575"/>
      <c r="BAA243" s="575"/>
      <c r="BAB243" s="575"/>
      <c r="BAC243" s="575"/>
      <c r="BAD243" s="575"/>
      <c r="BAE243" s="575"/>
      <c r="BAF243" s="575"/>
      <c r="BAG243" s="575"/>
      <c r="BAH243" s="575"/>
      <c r="BAI243" s="575"/>
      <c r="BAJ243" s="575"/>
      <c r="BAK243" s="575"/>
      <c r="BAL243" s="575"/>
      <c r="BAM243" s="575"/>
      <c r="BAN243" s="575"/>
      <c r="BAO243" s="575"/>
      <c r="BAP243" s="575"/>
      <c r="BAQ243" s="575"/>
      <c r="BAR243" s="575"/>
      <c r="BAS243" s="575"/>
      <c r="BAT243" s="575"/>
      <c r="BAU243" s="575"/>
      <c r="BAV243" s="575"/>
      <c r="BAW243" s="575"/>
      <c r="BAX243" s="575"/>
      <c r="BAY243" s="575"/>
      <c r="BAZ243" s="575"/>
      <c r="BBA243" s="575"/>
      <c r="BBB243" s="575"/>
      <c r="BBC243" s="575"/>
      <c r="BBD243" s="575"/>
      <c r="BBE243" s="575"/>
      <c r="BBF243" s="575"/>
      <c r="BBG243" s="575"/>
      <c r="BBH243" s="575"/>
      <c r="BBI243" s="575"/>
      <c r="BBJ243" s="575"/>
      <c r="BBK243" s="575"/>
      <c r="BBL243" s="575"/>
      <c r="BBM243" s="575"/>
      <c r="BBN243" s="575"/>
      <c r="BBO243" s="575"/>
      <c r="BBP243" s="575"/>
      <c r="BBQ243" s="575"/>
      <c r="BBR243" s="575"/>
      <c r="BBS243" s="575"/>
      <c r="BBT243" s="575"/>
      <c r="BBU243" s="575"/>
      <c r="BBV243" s="575"/>
      <c r="BBW243" s="575"/>
      <c r="BBX243" s="575"/>
      <c r="BBY243" s="575"/>
      <c r="BBZ243" s="575"/>
      <c r="BCA243" s="575"/>
      <c r="BCB243" s="575"/>
      <c r="BCC243" s="575"/>
      <c r="BCD243" s="575"/>
      <c r="BCE243" s="575"/>
      <c r="BCF243" s="575"/>
      <c r="BCG243" s="575"/>
      <c r="BCH243" s="575"/>
      <c r="BCI243" s="575"/>
      <c r="BCJ243" s="575"/>
      <c r="BCK243" s="575"/>
      <c r="BCL243" s="575"/>
      <c r="BCM243" s="575"/>
      <c r="BCN243" s="575"/>
      <c r="BCO243" s="575"/>
      <c r="BCP243" s="575"/>
      <c r="BCQ243" s="575"/>
      <c r="BCR243" s="575"/>
      <c r="BCS243" s="575"/>
      <c r="BCT243" s="575"/>
      <c r="BCU243" s="575"/>
      <c r="BCV243" s="575"/>
      <c r="BCW243" s="575"/>
      <c r="BCX243" s="575"/>
      <c r="BCY243" s="575"/>
      <c r="BCZ243" s="575"/>
      <c r="BDA243" s="575"/>
      <c r="BDB243" s="575"/>
      <c r="BDC243" s="575"/>
      <c r="BDD243" s="575"/>
      <c r="BDE243" s="575"/>
      <c r="BDF243" s="575"/>
      <c r="BDG243" s="575"/>
      <c r="BDH243" s="575"/>
      <c r="BDI243" s="575"/>
      <c r="BDJ243" s="575"/>
      <c r="BDK243" s="575"/>
      <c r="BDL243" s="575"/>
      <c r="BDM243" s="575"/>
      <c r="BDN243" s="575"/>
      <c r="BDO243" s="575"/>
      <c r="BDP243" s="575"/>
      <c r="BDQ243" s="575"/>
      <c r="BDR243" s="575"/>
      <c r="BDS243" s="575"/>
      <c r="BDT243" s="575"/>
    </row>
    <row r="244" spans="1:1476" s="632" customFormat="1" x14ac:dyDescent="0.25">
      <c r="A244" s="608">
        <v>5827</v>
      </c>
      <c r="B244" s="609" t="s">
        <v>10</v>
      </c>
      <c r="C244" s="610">
        <v>475684.15</v>
      </c>
      <c r="D244" s="610">
        <v>56427.68</v>
      </c>
      <c r="E244" s="610"/>
      <c r="F244" s="611">
        <v>1500</v>
      </c>
      <c r="G244" s="610">
        <v>22677.95</v>
      </c>
      <c r="H244" s="610">
        <v>2429.4499999999998</v>
      </c>
      <c r="I244" s="610"/>
      <c r="J244" s="610">
        <v>9815.5499999999993</v>
      </c>
      <c r="K244" s="610">
        <v>1522.35</v>
      </c>
      <c r="L244" s="610">
        <v>46764.25</v>
      </c>
      <c r="M244" s="434">
        <f t="shared" si="12"/>
        <v>616821.38</v>
      </c>
      <c r="N244" s="612">
        <v>0</v>
      </c>
      <c r="O244" s="612"/>
      <c r="P244" s="612">
        <v>16125.05</v>
      </c>
      <c r="Q244" s="612"/>
      <c r="R244" s="612">
        <v>33148.300000000003</v>
      </c>
      <c r="S244" s="610">
        <v>2623.85</v>
      </c>
      <c r="T244" s="543">
        <f t="shared" si="13"/>
        <v>668718.58000000007</v>
      </c>
      <c r="U244" s="575">
        <v>-17655.27</v>
      </c>
      <c r="V244" s="612"/>
      <c r="W244" s="612">
        <v>0</v>
      </c>
      <c r="X244" s="624">
        <v>78</v>
      </c>
      <c r="Y244" s="631">
        <v>1</v>
      </c>
      <c r="Z244" s="628">
        <f>VLOOKUP(A244,'[2]2022 toutes communes'!$B$9:$D$317,3,FALSE)</f>
        <v>302</v>
      </c>
      <c r="AA244" s="617"/>
      <c r="AB244" s="618">
        <v>45683</v>
      </c>
      <c r="AC244" s="547">
        <f>AB244/VPI!R244</f>
        <v>5.9211257030609143</v>
      </c>
      <c r="AD244" s="548">
        <f t="shared" si="14"/>
        <v>31575</v>
      </c>
      <c r="AE244" s="547">
        <f>AD244/VPI!R244</f>
        <v>4.0925408592725603</v>
      </c>
      <c r="AF244" s="618">
        <v>77258</v>
      </c>
      <c r="AG244" s="618">
        <v>12252</v>
      </c>
      <c r="AH244" s="618">
        <v>13837</v>
      </c>
      <c r="AI244" s="637"/>
      <c r="AJ244" s="628">
        <v>0</v>
      </c>
      <c r="AK244" s="547">
        <f>AJ244/VPI!R244</f>
        <v>0</v>
      </c>
      <c r="AL244" s="548">
        <f t="shared" si="15"/>
        <v>6917</v>
      </c>
      <c r="AM244" s="547">
        <f>AL244/VPI!R244</f>
        <v>0.89653539583810926</v>
      </c>
      <c r="AN244" s="628">
        <v>6917</v>
      </c>
      <c r="AO244" s="637"/>
      <c r="AP244" s="629">
        <v>1.2643892162738712</v>
      </c>
      <c r="AQ244" s="575"/>
      <c r="AR244" s="630">
        <v>0</v>
      </c>
      <c r="AS244" s="575"/>
      <c r="AT244" s="575"/>
      <c r="AU244" s="575"/>
      <c r="AV244" s="575"/>
      <c r="AW244" s="575"/>
      <c r="AX244" s="575"/>
      <c r="AY244" s="575"/>
      <c r="AZ244" s="575"/>
      <c r="BA244" s="575"/>
      <c r="BB244" s="575"/>
      <c r="BC244" s="575"/>
      <c r="BD244" s="575"/>
      <c r="BE244" s="575"/>
      <c r="BF244" s="575"/>
      <c r="BG244" s="575"/>
      <c r="BH244" s="575"/>
      <c r="BI244" s="575"/>
      <c r="BJ244" s="575"/>
      <c r="BK244" s="575"/>
      <c r="BL244" s="575"/>
      <c r="BM244" s="575"/>
      <c r="BN244" s="575"/>
      <c r="BO244" s="575"/>
      <c r="BP244" s="575"/>
      <c r="BQ244" s="575"/>
      <c r="BR244" s="575"/>
      <c r="BS244" s="575"/>
      <c r="BT244" s="575"/>
      <c r="BU244" s="575"/>
      <c r="BV244" s="575"/>
      <c r="BW244" s="575"/>
      <c r="BX244" s="575"/>
      <c r="BY244" s="575"/>
      <c r="BZ244" s="575"/>
      <c r="CA244" s="575"/>
      <c r="CB244" s="575"/>
      <c r="CC244" s="575"/>
      <c r="CD244" s="575"/>
      <c r="CE244" s="575"/>
      <c r="CF244" s="575"/>
      <c r="CG244" s="575"/>
      <c r="CH244" s="575"/>
      <c r="CI244" s="575"/>
      <c r="CJ244" s="575"/>
      <c r="CK244" s="575"/>
      <c r="CL244" s="575"/>
      <c r="CM244" s="575"/>
      <c r="CN244" s="575"/>
      <c r="CO244" s="575"/>
      <c r="CP244" s="575"/>
      <c r="CQ244" s="575"/>
      <c r="CR244" s="575"/>
      <c r="CS244" s="575"/>
      <c r="CT244" s="575"/>
      <c r="CU244" s="575"/>
      <c r="CV244" s="575"/>
      <c r="CW244" s="575"/>
      <c r="CX244" s="575"/>
      <c r="CY244" s="575"/>
      <c r="CZ244" s="575"/>
      <c r="DA244" s="575"/>
      <c r="DB244" s="575"/>
      <c r="DC244" s="575"/>
      <c r="DD244" s="575"/>
      <c r="DE244" s="575"/>
      <c r="DF244" s="575"/>
      <c r="DG244" s="575"/>
      <c r="DH244" s="575"/>
      <c r="DI244" s="575"/>
      <c r="DJ244" s="575"/>
      <c r="DK244" s="575"/>
      <c r="DL244" s="575"/>
      <c r="DM244" s="575"/>
      <c r="DN244" s="575"/>
      <c r="DO244" s="575"/>
      <c r="DP244" s="575"/>
      <c r="DQ244" s="575"/>
      <c r="DR244" s="575"/>
      <c r="DS244" s="575"/>
      <c r="DT244" s="575"/>
      <c r="DU244" s="575"/>
      <c r="DV244" s="575"/>
      <c r="DW244" s="575"/>
      <c r="DX244" s="575"/>
      <c r="DY244" s="575"/>
      <c r="DZ244" s="575"/>
      <c r="EA244" s="575"/>
      <c r="EB244" s="575"/>
      <c r="EC244" s="575"/>
      <c r="ED244" s="575"/>
      <c r="EE244" s="575"/>
      <c r="EF244" s="575"/>
      <c r="EG244" s="575"/>
      <c r="EH244" s="575"/>
      <c r="EI244" s="575"/>
      <c r="EJ244" s="575"/>
      <c r="EK244" s="575"/>
      <c r="EL244" s="575"/>
      <c r="EM244" s="575"/>
      <c r="EN244" s="575"/>
      <c r="EO244" s="575"/>
      <c r="EP244" s="575"/>
      <c r="EQ244" s="575"/>
      <c r="ER244" s="575"/>
      <c r="ES244" s="575"/>
      <c r="ET244" s="575"/>
      <c r="EU244" s="575"/>
      <c r="EV244" s="575"/>
      <c r="EW244" s="575"/>
      <c r="EX244" s="575"/>
      <c r="EY244" s="575"/>
      <c r="EZ244" s="575"/>
      <c r="FA244" s="575"/>
      <c r="FB244" s="575"/>
      <c r="FC244" s="575"/>
      <c r="FD244" s="575"/>
      <c r="FE244" s="575"/>
      <c r="FF244" s="575"/>
      <c r="FG244" s="575"/>
      <c r="FH244" s="575"/>
      <c r="FI244" s="575"/>
      <c r="FJ244" s="575"/>
      <c r="FK244" s="575"/>
      <c r="FL244" s="575"/>
      <c r="FM244" s="575"/>
      <c r="FN244" s="575"/>
      <c r="FO244" s="575"/>
      <c r="FP244" s="575"/>
      <c r="FQ244" s="575"/>
      <c r="FR244" s="575"/>
      <c r="FS244" s="575"/>
      <c r="FT244" s="575"/>
      <c r="FU244" s="575"/>
      <c r="FV244" s="575"/>
      <c r="FW244" s="575"/>
      <c r="FX244" s="575"/>
      <c r="FY244" s="575"/>
      <c r="FZ244" s="575"/>
      <c r="GA244" s="575"/>
      <c r="GB244" s="575"/>
      <c r="GC244" s="575"/>
      <c r="GD244" s="575"/>
      <c r="GE244" s="575"/>
      <c r="GF244" s="575"/>
      <c r="GG244" s="575"/>
      <c r="GH244" s="575"/>
      <c r="GI244" s="575"/>
      <c r="GJ244" s="575"/>
      <c r="GK244" s="575"/>
      <c r="GL244" s="575"/>
      <c r="GM244" s="575"/>
      <c r="GN244" s="575"/>
      <c r="GO244" s="575"/>
      <c r="GP244" s="575"/>
      <c r="GQ244" s="575"/>
      <c r="GR244" s="575"/>
      <c r="GS244" s="575"/>
      <c r="GT244" s="575"/>
      <c r="GU244" s="575"/>
      <c r="GV244" s="575"/>
      <c r="GW244" s="575"/>
      <c r="GX244" s="575"/>
      <c r="GY244" s="575"/>
      <c r="GZ244" s="575"/>
      <c r="HA244" s="575"/>
      <c r="HB244" s="575"/>
      <c r="HC244" s="575"/>
      <c r="HD244" s="575"/>
      <c r="HE244" s="575"/>
      <c r="HF244" s="575"/>
      <c r="HG244" s="575"/>
      <c r="HH244" s="575"/>
      <c r="HI244" s="575"/>
      <c r="HJ244" s="575"/>
      <c r="HK244" s="575"/>
      <c r="HL244" s="575"/>
      <c r="HM244" s="575"/>
      <c r="HN244" s="575"/>
      <c r="HO244" s="575"/>
      <c r="HP244" s="575"/>
      <c r="HQ244" s="575"/>
      <c r="HR244" s="575"/>
      <c r="HS244" s="575"/>
      <c r="HT244" s="575"/>
      <c r="HU244" s="575"/>
      <c r="HV244" s="575"/>
      <c r="HW244" s="575"/>
      <c r="HX244" s="575"/>
      <c r="HY244" s="575"/>
      <c r="HZ244" s="575"/>
      <c r="IA244" s="575"/>
      <c r="IB244" s="575"/>
      <c r="IC244" s="575"/>
      <c r="ID244" s="575"/>
      <c r="IE244" s="575"/>
      <c r="IF244" s="575"/>
      <c r="IG244" s="575"/>
      <c r="IH244" s="575"/>
      <c r="II244" s="575"/>
      <c r="IJ244" s="575"/>
      <c r="IK244" s="575"/>
      <c r="IL244" s="575"/>
      <c r="IM244" s="575"/>
      <c r="IN244" s="575"/>
      <c r="IO244" s="575"/>
      <c r="IP244" s="575"/>
      <c r="IQ244" s="575"/>
      <c r="IR244" s="575"/>
      <c r="IS244" s="575"/>
      <c r="IT244" s="575"/>
      <c r="IU244" s="575"/>
      <c r="IV244" s="575"/>
      <c r="IW244" s="575"/>
      <c r="IX244" s="575"/>
      <c r="IY244" s="575"/>
      <c r="IZ244" s="575"/>
      <c r="JA244" s="575"/>
      <c r="JB244" s="575"/>
      <c r="JC244" s="575"/>
      <c r="JD244" s="575"/>
      <c r="JE244" s="575"/>
      <c r="JF244" s="575"/>
      <c r="JG244" s="575"/>
      <c r="JH244" s="575"/>
      <c r="JI244" s="575"/>
      <c r="JJ244" s="575"/>
      <c r="JK244" s="575"/>
      <c r="JL244" s="575"/>
      <c r="JM244" s="575"/>
      <c r="JN244" s="575"/>
      <c r="JO244" s="575"/>
      <c r="JP244" s="575"/>
      <c r="JQ244" s="575"/>
      <c r="JR244" s="575"/>
      <c r="JS244" s="575"/>
      <c r="JT244" s="575"/>
      <c r="JU244" s="575"/>
      <c r="JV244" s="575"/>
      <c r="JW244" s="575"/>
      <c r="JX244" s="575"/>
      <c r="JY244" s="575"/>
      <c r="JZ244" s="575"/>
      <c r="KA244" s="575"/>
      <c r="KB244" s="575"/>
      <c r="KC244" s="575"/>
      <c r="KD244" s="575"/>
      <c r="KE244" s="575"/>
      <c r="KF244" s="575"/>
      <c r="KG244" s="575"/>
      <c r="KH244" s="575"/>
      <c r="KI244" s="575"/>
      <c r="KJ244" s="575"/>
      <c r="KK244" s="575"/>
      <c r="KL244" s="575"/>
      <c r="KM244" s="575"/>
      <c r="KN244" s="575"/>
      <c r="KO244" s="575"/>
      <c r="KP244" s="575"/>
      <c r="KQ244" s="575"/>
      <c r="KR244" s="575"/>
      <c r="KS244" s="575"/>
      <c r="KT244" s="575"/>
      <c r="KU244" s="575"/>
      <c r="KV244" s="575"/>
      <c r="KW244" s="575"/>
      <c r="KX244" s="575"/>
      <c r="KY244" s="575"/>
      <c r="KZ244" s="575"/>
      <c r="LA244" s="575"/>
      <c r="LB244" s="575"/>
      <c r="LC244" s="575"/>
      <c r="LD244" s="575"/>
      <c r="LE244" s="575"/>
      <c r="LF244" s="575"/>
      <c r="LG244" s="575"/>
      <c r="LH244" s="575"/>
      <c r="LI244" s="575"/>
      <c r="LJ244" s="575"/>
      <c r="LK244" s="575"/>
      <c r="LL244" s="575"/>
      <c r="LM244" s="575"/>
      <c r="LN244" s="575"/>
      <c r="LO244" s="575"/>
      <c r="LP244" s="575"/>
      <c r="LQ244" s="575"/>
      <c r="LR244" s="575"/>
      <c r="LS244" s="575"/>
      <c r="LT244" s="575"/>
      <c r="LU244" s="575"/>
      <c r="LV244" s="575"/>
      <c r="LW244" s="575"/>
      <c r="LX244" s="575"/>
      <c r="LY244" s="575"/>
      <c r="LZ244" s="575"/>
      <c r="MA244" s="575"/>
      <c r="MB244" s="575"/>
      <c r="MC244" s="575"/>
      <c r="MD244" s="575"/>
      <c r="ME244" s="575"/>
      <c r="MF244" s="575"/>
      <c r="MG244" s="575"/>
      <c r="MH244" s="575"/>
      <c r="MI244" s="575"/>
      <c r="MJ244" s="575"/>
      <c r="MK244" s="575"/>
      <c r="ML244" s="575"/>
      <c r="MM244" s="575"/>
      <c r="MN244" s="575"/>
      <c r="MO244" s="575"/>
      <c r="MP244" s="575"/>
      <c r="MQ244" s="575"/>
      <c r="MR244" s="575"/>
      <c r="MS244" s="575"/>
      <c r="MT244" s="575"/>
      <c r="MU244" s="575"/>
      <c r="MV244" s="575"/>
      <c r="MW244" s="575"/>
      <c r="MX244" s="575"/>
      <c r="MY244" s="575"/>
      <c r="MZ244" s="575"/>
      <c r="NA244" s="575"/>
      <c r="NB244" s="575"/>
      <c r="NC244" s="575"/>
      <c r="ND244" s="575"/>
      <c r="NE244" s="575"/>
      <c r="NF244" s="575"/>
      <c r="NG244" s="575"/>
      <c r="NH244" s="575"/>
      <c r="NI244" s="575"/>
      <c r="NJ244" s="575"/>
      <c r="NK244" s="575"/>
      <c r="NL244" s="575"/>
      <c r="NM244" s="575"/>
      <c r="NN244" s="575"/>
      <c r="NO244" s="575"/>
      <c r="NP244" s="575"/>
      <c r="NQ244" s="575"/>
      <c r="NR244" s="575"/>
      <c r="NS244" s="575"/>
      <c r="NT244" s="575"/>
      <c r="NU244" s="575"/>
      <c r="NV244" s="575"/>
      <c r="NW244" s="575"/>
      <c r="NX244" s="575"/>
      <c r="NY244" s="575"/>
      <c r="NZ244" s="575"/>
      <c r="OA244" s="575"/>
      <c r="OB244" s="575"/>
      <c r="OC244" s="575"/>
      <c r="OD244" s="575"/>
      <c r="OE244" s="575"/>
      <c r="OF244" s="575"/>
      <c r="OG244" s="575"/>
      <c r="OH244" s="575"/>
      <c r="OI244" s="575"/>
      <c r="OJ244" s="575"/>
      <c r="OK244" s="575"/>
      <c r="OL244" s="575"/>
      <c r="OM244" s="575"/>
      <c r="ON244" s="575"/>
      <c r="OO244" s="575"/>
      <c r="OP244" s="575"/>
      <c r="OQ244" s="575"/>
      <c r="OR244" s="575"/>
      <c r="OS244" s="575"/>
      <c r="OT244" s="575"/>
      <c r="OU244" s="575"/>
      <c r="OV244" s="575"/>
      <c r="OW244" s="575"/>
      <c r="OX244" s="575"/>
      <c r="OY244" s="575"/>
      <c r="OZ244" s="575"/>
      <c r="PA244" s="575"/>
      <c r="PB244" s="575"/>
      <c r="PC244" s="575"/>
      <c r="PD244" s="575"/>
      <c r="PE244" s="575"/>
      <c r="PF244" s="575"/>
      <c r="PG244" s="575"/>
      <c r="PH244" s="575"/>
      <c r="PI244" s="575"/>
      <c r="PJ244" s="575"/>
      <c r="PK244" s="575"/>
      <c r="PL244" s="575"/>
      <c r="PM244" s="575"/>
      <c r="PN244" s="575"/>
      <c r="PO244" s="575"/>
      <c r="PP244" s="575"/>
      <c r="PQ244" s="575"/>
      <c r="PR244" s="575"/>
      <c r="PS244" s="575"/>
      <c r="PT244" s="575"/>
      <c r="PU244" s="575"/>
      <c r="PV244" s="575"/>
      <c r="PW244" s="575"/>
      <c r="PX244" s="575"/>
      <c r="PY244" s="575"/>
      <c r="PZ244" s="575"/>
      <c r="QA244" s="575"/>
      <c r="QB244" s="575"/>
      <c r="QC244" s="575"/>
      <c r="QD244" s="575"/>
      <c r="QE244" s="575"/>
      <c r="QF244" s="575"/>
      <c r="QG244" s="575"/>
      <c r="QH244" s="575"/>
      <c r="QI244" s="575"/>
      <c r="QJ244" s="575"/>
      <c r="QK244" s="575"/>
      <c r="QL244" s="575"/>
      <c r="QM244" s="575"/>
      <c r="QN244" s="575"/>
      <c r="QO244" s="575"/>
      <c r="QP244" s="575"/>
      <c r="QQ244" s="575"/>
      <c r="QR244" s="575"/>
      <c r="QS244" s="575"/>
      <c r="QT244" s="575"/>
      <c r="QU244" s="575"/>
      <c r="QV244" s="575"/>
      <c r="QW244" s="575"/>
      <c r="QX244" s="575"/>
      <c r="QY244" s="575"/>
      <c r="QZ244" s="575"/>
      <c r="RA244" s="575"/>
      <c r="RB244" s="575"/>
      <c r="RC244" s="575"/>
      <c r="RD244" s="575"/>
      <c r="RE244" s="575"/>
      <c r="RF244" s="575"/>
      <c r="RG244" s="575"/>
      <c r="RH244" s="575"/>
      <c r="RI244" s="575"/>
      <c r="RJ244" s="575"/>
      <c r="RK244" s="575"/>
      <c r="RL244" s="575"/>
      <c r="RM244" s="575"/>
      <c r="RN244" s="575"/>
      <c r="RO244" s="575"/>
      <c r="RP244" s="575"/>
      <c r="RQ244" s="575"/>
      <c r="RR244" s="575"/>
      <c r="RS244" s="575"/>
      <c r="RT244" s="575"/>
      <c r="RU244" s="575"/>
      <c r="RV244" s="575"/>
      <c r="RW244" s="575"/>
      <c r="RX244" s="575"/>
      <c r="RY244" s="575"/>
      <c r="RZ244" s="575"/>
      <c r="SA244" s="575"/>
      <c r="SB244" s="575"/>
      <c r="SC244" s="575"/>
      <c r="SD244" s="575"/>
      <c r="SE244" s="575"/>
      <c r="SF244" s="575"/>
      <c r="SG244" s="575"/>
      <c r="SH244" s="575"/>
      <c r="SI244" s="575"/>
      <c r="SJ244" s="575"/>
      <c r="SK244" s="575"/>
      <c r="SL244" s="575"/>
      <c r="SM244" s="575"/>
      <c r="SN244" s="575"/>
      <c r="SO244" s="575"/>
      <c r="SP244" s="575"/>
      <c r="SQ244" s="575"/>
      <c r="SR244" s="575"/>
      <c r="SS244" s="575"/>
      <c r="ST244" s="575"/>
      <c r="SU244" s="575"/>
      <c r="SV244" s="575"/>
      <c r="SW244" s="575"/>
      <c r="SX244" s="575"/>
      <c r="SY244" s="575"/>
      <c r="SZ244" s="575"/>
      <c r="TA244" s="575"/>
      <c r="TB244" s="575"/>
      <c r="TC244" s="575"/>
      <c r="TD244" s="575"/>
      <c r="TE244" s="575"/>
      <c r="TF244" s="575"/>
      <c r="TG244" s="575"/>
      <c r="TH244" s="575"/>
      <c r="TI244" s="575"/>
      <c r="TJ244" s="575"/>
      <c r="TK244" s="575"/>
      <c r="TL244" s="575"/>
      <c r="TM244" s="575"/>
      <c r="TN244" s="575"/>
      <c r="TO244" s="575"/>
      <c r="TP244" s="575"/>
      <c r="TQ244" s="575"/>
      <c r="TR244" s="575"/>
      <c r="TS244" s="575"/>
      <c r="TT244" s="575"/>
      <c r="TU244" s="575"/>
      <c r="TV244" s="575"/>
      <c r="TW244" s="575"/>
      <c r="TX244" s="575"/>
      <c r="TY244" s="575"/>
      <c r="TZ244" s="575"/>
      <c r="UA244" s="575"/>
      <c r="UB244" s="575"/>
      <c r="UC244" s="575"/>
      <c r="UD244" s="575"/>
      <c r="UE244" s="575"/>
      <c r="UF244" s="575"/>
      <c r="UG244" s="575"/>
      <c r="UH244" s="575"/>
      <c r="UI244" s="575"/>
      <c r="UJ244" s="575"/>
      <c r="UK244" s="575"/>
      <c r="UL244" s="575"/>
      <c r="UM244" s="575"/>
      <c r="UN244" s="575"/>
      <c r="UO244" s="575"/>
      <c r="UP244" s="575"/>
      <c r="UQ244" s="575"/>
      <c r="UR244" s="575"/>
      <c r="US244" s="575"/>
      <c r="UT244" s="575"/>
      <c r="UU244" s="575"/>
      <c r="UV244" s="575"/>
      <c r="UW244" s="575"/>
      <c r="UX244" s="575"/>
      <c r="UY244" s="575"/>
      <c r="UZ244" s="575"/>
      <c r="VA244" s="575"/>
      <c r="VB244" s="575"/>
      <c r="VC244" s="575"/>
      <c r="VD244" s="575"/>
      <c r="VE244" s="575"/>
      <c r="VF244" s="575"/>
      <c r="VG244" s="575"/>
      <c r="VH244" s="575"/>
      <c r="VI244" s="575"/>
      <c r="VJ244" s="575"/>
      <c r="VK244" s="575"/>
      <c r="VL244" s="575"/>
      <c r="VM244" s="575"/>
      <c r="VN244" s="575"/>
      <c r="VO244" s="575"/>
      <c r="VP244" s="575"/>
      <c r="VQ244" s="575"/>
      <c r="VR244" s="575"/>
      <c r="VS244" s="575"/>
      <c r="VT244" s="575"/>
      <c r="VU244" s="575"/>
      <c r="VV244" s="575"/>
      <c r="VW244" s="575"/>
      <c r="VX244" s="575"/>
      <c r="VY244" s="575"/>
      <c r="VZ244" s="575"/>
      <c r="WA244" s="575"/>
      <c r="WB244" s="575"/>
      <c r="WC244" s="575"/>
      <c r="WD244" s="575"/>
      <c r="WE244" s="575"/>
      <c r="WF244" s="575"/>
      <c r="WG244" s="575"/>
      <c r="WH244" s="575"/>
      <c r="WI244" s="575"/>
      <c r="WJ244" s="575"/>
      <c r="WK244" s="575"/>
      <c r="WL244" s="575"/>
      <c r="WM244" s="575"/>
      <c r="WN244" s="575"/>
      <c r="WO244" s="575"/>
      <c r="WP244" s="575"/>
      <c r="WQ244" s="575"/>
      <c r="WR244" s="575"/>
      <c r="WS244" s="575"/>
      <c r="WT244" s="575"/>
      <c r="WU244" s="575"/>
      <c r="WV244" s="575"/>
      <c r="WW244" s="575"/>
      <c r="WX244" s="575"/>
      <c r="WY244" s="575"/>
      <c r="WZ244" s="575"/>
      <c r="XA244" s="575"/>
      <c r="XB244" s="575"/>
      <c r="XC244" s="575"/>
      <c r="XD244" s="575"/>
      <c r="XE244" s="575"/>
      <c r="XF244" s="575"/>
      <c r="XG244" s="575"/>
      <c r="XH244" s="575"/>
      <c r="XI244" s="575"/>
      <c r="XJ244" s="575"/>
      <c r="XK244" s="575"/>
      <c r="XL244" s="575"/>
      <c r="XM244" s="575"/>
      <c r="XN244" s="575"/>
      <c r="XO244" s="575"/>
      <c r="XP244" s="575"/>
      <c r="XQ244" s="575"/>
      <c r="XR244" s="575"/>
      <c r="XS244" s="575"/>
      <c r="XT244" s="575"/>
      <c r="XU244" s="575"/>
      <c r="XV244" s="575"/>
      <c r="XW244" s="575"/>
      <c r="XX244" s="575"/>
      <c r="XY244" s="575"/>
      <c r="XZ244" s="575"/>
      <c r="YA244" s="575"/>
      <c r="YB244" s="575"/>
      <c r="YC244" s="575"/>
      <c r="YD244" s="575"/>
      <c r="YE244" s="575"/>
      <c r="YF244" s="575"/>
      <c r="YG244" s="575"/>
      <c r="YH244" s="575"/>
      <c r="YI244" s="575"/>
      <c r="YJ244" s="575"/>
      <c r="YK244" s="575"/>
      <c r="YL244" s="575"/>
      <c r="YM244" s="575"/>
      <c r="YN244" s="575"/>
      <c r="YO244" s="575"/>
      <c r="YP244" s="575"/>
      <c r="YQ244" s="575"/>
      <c r="YR244" s="575"/>
      <c r="YS244" s="575"/>
      <c r="YT244" s="575"/>
      <c r="YU244" s="575"/>
      <c r="YV244" s="575"/>
      <c r="YW244" s="575"/>
      <c r="YX244" s="575"/>
      <c r="YY244" s="575"/>
      <c r="YZ244" s="575"/>
      <c r="ZA244" s="575"/>
      <c r="ZB244" s="575"/>
      <c r="ZC244" s="575"/>
      <c r="ZD244" s="575"/>
      <c r="ZE244" s="575"/>
      <c r="ZF244" s="575"/>
      <c r="ZG244" s="575"/>
      <c r="ZH244" s="575"/>
      <c r="ZI244" s="575"/>
      <c r="ZJ244" s="575"/>
      <c r="ZK244" s="575"/>
      <c r="ZL244" s="575"/>
      <c r="ZM244" s="575"/>
      <c r="ZN244" s="575"/>
      <c r="ZO244" s="575"/>
      <c r="ZP244" s="575"/>
      <c r="ZQ244" s="575"/>
      <c r="ZR244" s="575"/>
      <c r="ZS244" s="575"/>
      <c r="ZT244" s="575"/>
      <c r="ZU244" s="575"/>
      <c r="ZV244" s="575"/>
      <c r="ZW244" s="575"/>
      <c r="ZX244" s="575"/>
      <c r="ZY244" s="575"/>
      <c r="ZZ244" s="575"/>
      <c r="AAA244" s="575"/>
      <c r="AAB244" s="575"/>
      <c r="AAC244" s="575"/>
      <c r="AAD244" s="575"/>
      <c r="AAE244" s="575"/>
      <c r="AAF244" s="575"/>
      <c r="AAG244" s="575"/>
      <c r="AAH244" s="575"/>
      <c r="AAI244" s="575"/>
      <c r="AAJ244" s="575"/>
      <c r="AAK244" s="575"/>
      <c r="AAL244" s="575"/>
      <c r="AAM244" s="575"/>
      <c r="AAN244" s="575"/>
      <c r="AAO244" s="575"/>
      <c r="AAP244" s="575"/>
      <c r="AAQ244" s="575"/>
      <c r="AAR244" s="575"/>
      <c r="AAS244" s="575"/>
      <c r="AAT244" s="575"/>
      <c r="AAU244" s="575"/>
      <c r="AAV244" s="575"/>
      <c r="AAW244" s="575"/>
      <c r="AAX244" s="575"/>
      <c r="AAY244" s="575"/>
      <c r="AAZ244" s="575"/>
      <c r="ABA244" s="575"/>
      <c r="ABB244" s="575"/>
      <c r="ABC244" s="575"/>
      <c r="ABD244" s="575"/>
      <c r="ABE244" s="575"/>
      <c r="ABF244" s="575"/>
      <c r="ABG244" s="575"/>
      <c r="ABH244" s="575"/>
      <c r="ABI244" s="575"/>
      <c r="ABJ244" s="575"/>
      <c r="ABK244" s="575"/>
      <c r="ABL244" s="575"/>
      <c r="ABM244" s="575"/>
      <c r="ABN244" s="575"/>
      <c r="ABO244" s="575"/>
      <c r="ABP244" s="575"/>
      <c r="ABQ244" s="575"/>
      <c r="ABR244" s="575"/>
      <c r="ABS244" s="575"/>
      <c r="ABT244" s="575"/>
      <c r="ABU244" s="575"/>
      <c r="ABV244" s="575"/>
      <c r="ABW244" s="575"/>
      <c r="ABX244" s="575"/>
      <c r="ABY244" s="575"/>
      <c r="ABZ244" s="575"/>
      <c r="ACA244" s="575"/>
      <c r="ACB244" s="575"/>
      <c r="ACC244" s="575"/>
      <c r="ACD244" s="575"/>
      <c r="ACE244" s="575"/>
      <c r="ACF244" s="575"/>
      <c r="ACG244" s="575"/>
      <c r="ACH244" s="575"/>
      <c r="ACI244" s="575"/>
      <c r="ACJ244" s="575"/>
      <c r="ACK244" s="575"/>
      <c r="ACL244" s="575"/>
      <c r="ACM244" s="575"/>
      <c r="ACN244" s="575"/>
      <c r="ACO244" s="575"/>
      <c r="ACP244" s="575"/>
      <c r="ACQ244" s="575"/>
      <c r="ACR244" s="575"/>
      <c r="ACS244" s="575"/>
      <c r="ACT244" s="575"/>
      <c r="ACU244" s="575"/>
      <c r="ACV244" s="575"/>
      <c r="ACW244" s="575"/>
      <c r="ACX244" s="575"/>
      <c r="ACY244" s="575"/>
      <c r="ACZ244" s="575"/>
      <c r="ADA244" s="575"/>
      <c r="ADB244" s="575"/>
      <c r="ADC244" s="575"/>
      <c r="ADD244" s="575"/>
      <c r="ADE244" s="575"/>
      <c r="ADF244" s="575"/>
      <c r="ADG244" s="575"/>
      <c r="ADH244" s="575"/>
      <c r="ADI244" s="575"/>
      <c r="ADJ244" s="575"/>
      <c r="ADK244" s="575"/>
      <c r="ADL244" s="575"/>
      <c r="ADM244" s="575"/>
      <c r="ADN244" s="575"/>
      <c r="ADO244" s="575"/>
      <c r="ADP244" s="575"/>
      <c r="ADQ244" s="575"/>
      <c r="ADR244" s="575"/>
      <c r="ADS244" s="575"/>
      <c r="ADT244" s="575"/>
      <c r="ADU244" s="575"/>
      <c r="ADV244" s="575"/>
      <c r="ADW244" s="575"/>
      <c r="ADX244" s="575"/>
      <c r="ADY244" s="575"/>
      <c r="ADZ244" s="575"/>
      <c r="AEA244" s="575"/>
      <c r="AEB244" s="575"/>
      <c r="AEC244" s="575"/>
      <c r="AED244" s="575"/>
      <c r="AEE244" s="575"/>
      <c r="AEF244" s="575"/>
      <c r="AEG244" s="575"/>
      <c r="AEH244" s="575"/>
      <c r="AEI244" s="575"/>
      <c r="AEJ244" s="575"/>
      <c r="AEK244" s="575"/>
      <c r="AEL244" s="575"/>
      <c r="AEM244" s="575"/>
      <c r="AEN244" s="575"/>
      <c r="AEO244" s="575"/>
      <c r="AEP244" s="575"/>
      <c r="AEQ244" s="575"/>
      <c r="AER244" s="575"/>
      <c r="AES244" s="575"/>
      <c r="AET244" s="575"/>
      <c r="AEU244" s="575"/>
      <c r="AEV244" s="575"/>
      <c r="AEW244" s="575"/>
      <c r="AEX244" s="575"/>
      <c r="AEY244" s="575"/>
      <c r="AEZ244" s="575"/>
      <c r="AFA244" s="575"/>
      <c r="AFB244" s="575"/>
      <c r="AFC244" s="575"/>
      <c r="AFD244" s="575"/>
      <c r="AFE244" s="575"/>
      <c r="AFF244" s="575"/>
      <c r="AFG244" s="575"/>
      <c r="AFH244" s="575"/>
      <c r="AFI244" s="575"/>
      <c r="AFJ244" s="575"/>
      <c r="AFK244" s="575"/>
      <c r="AFL244" s="575"/>
      <c r="AFM244" s="575"/>
      <c r="AFN244" s="575"/>
      <c r="AFO244" s="575"/>
      <c r="AFP244" s="575"/>
      <c r="AFQ244" s="575"/>
      <c r="AFR244" s="575"/>
      <c r="AFS244" s="575"/>
      <c r="AFT244" s="575"/>
      <c r="AFU244" s="575"/>
      <c r="AFV244" s="575"/>
      <c r="AFW244" s="575"/>
      <c r="AFX244" s="575"/>
      <c r="AFY244" s="575"/>
      <c r="AFZ244" s="575"/>
      <c r="AGA244" s="575"/>
      <c r="AGB244" s="575"/>
      <c r="AGC244" s="575"/>
      <c r="AGD244" s="575"/>
      <c r="AGE244" s="575"/>
      <c r="AGF244" s="575"/>
      <c r="AGG244" s="575"/>
      <c r="AGH244" s="575"/>
      <c r="AGI244" s="575"/>
      <c r="AGJ244" s="575"/>
      <c r="AGK244" s="575"/>
      <c r="AGL244" s="575"/>
      <c r="AGM244" s="575"/>
      <c r="AGN244" s="575"/>
      <c r="AGO244" s="575"/>
      <c r="AGP244" s="575"/>
      <c r="AGQ244" s="575"/>
      <c r="AGR244" s="575"/>
      <c r="AGS244" s="575"/>
      <c r="AGT244" s="575"/>
      <c r="AGU244" s="575"/>
      <c r="AGV244" s="575"/>
      <c r="AGW244" s="575"/>
      <c r="AGX244" s="575"/>
      <c r="AGY244" s="575"/>
      <c r="AGZ244" s="575"/>
      <c r="AHA244" s="575"/>
      <c r="AHB244" s="575"/>
      <c r="AHC244" s="575"/>
      <c r="AHD244" s="575"/>
      <c r="AHE244" s="575"/>
      <c r="AHF244" s="575"/>
      <c r="AHG244" s="575"/>
      <c r="AHH244" s="575"/>
      <c r="AHI244" s="575"/>
      <c r="AHJ244" s="575"/>
      <c r="AHK244" s="575"/>
      <c r="AHL244" s="575"/>
      <c r="AHM244" s="575"/>
      <c r="AHN244" s="575"/>
      <c r="AHO244" s="575"/>
      <c r="AHP244" s="575"/>
      <c r="AHQ244" s="575"/>
      <c r="AHR244" s="575"/>
      <c r="AHS244" s="575"/>
      <c r="AHT244" s="575"/>
      <c r="AHU244" s="575"/>
      <c r="AHV244" s="575"/>
      <c r="AHW244" s="575"/>
      <c r="AHX244" s="575"/>
      <c r="AHY244" s="575"/>
      <c r="AHZ244" s="575"/>
      <c r="AIA244" s="575"/>
      <c r="AIB244" s="575"/>
      <c r="AIC244" s="575"/>
      <c r="AID244" s="575"/>
      <c r="AIE244" s="575"/>
      <c r="AIF244" s="575"/>
      <c r="AIG244" s="575"/>
      <c r="AIH244" s="575"/>
      <c r="AII244" s="575"/>
      <c r="AIJ244" s="575"/>
      <c r="AIK244" s="575"/>
      <c r="AIL244" s="575"/>
      <c r="AIM244" s="575"/>
      <c r="AIN244" s="575"/>
      <c r="AIO244" s="575"/>
      <c r="AIP244" s="575"/>
      <c r="AIQ244" s="575"/>
      <c r="AIR244" s="575"/>
      <c r="AIS244" s="575"/>
      <c r="AIT244" s="575"/>
      <c r="AIU244" s="575"/>
      <c r="AIV244" s="575"/>
      <c r="AIW244" s="575"/>
      <c r="AIX244" s="575"/>
      <c r="AIY244" s="575"/>
      <c r="AIZ244" s="575"/>
      <c r="AJA244" s="575"/>
      <c r="AJB244" s="575"/>
      <c r="AJC244" s="575"/>
      <c r="AJD244" s="575"/>
      <c r="AJE244" s="575"/>
      <c r="AJF244" s="575"/>
      <c r="AJG244" s="575"/>
      <c r="AJH244" s="575"/>
      <c r="AJI244" s="575"/>
      <c r="AJJ244" s="575"/>
      <c r="AJK244" s="575"/>
      <c r="AJL244" s="575"/>
      <c r="AJM244" s="575"/>
      <c r="AJN244" s="575"/>
      <c r="AJO244" s="575"/>
      <c r="AJP244" s="575"/>
      <c r="AJQ244" s="575"/>
      <c r="AJR244" s="575"/>
      <c r="AJS244" s="575"/>
      <c r="AJT244" s="575"/>
      <c r="AJU244" s="575"/>
      <c r="AJV244" s="575"/>
      <c r="AJW244" s="575"/>
      <c r="AJX244" s="575"/>
      <c r="AJY244" s="575"/>
      <c r="AJZ244" s="575"/>
      <c r="AKA244" s="575"/>
      <c r="AKB244" s="575"/>
      <c r="AKC244" s="575"/>
      <c r="AKD244" s="575"/>
      <c r="AKE244" s="575"/>
      <c r="AKF244" s="575"/>
      <c r="AKG244" s="575"/>
      <c r="AKH244" s="575"/>
      <c r="AKI244" s="575"/>
      <c r="AKJ244" s="575"/>
      <c r="AKK244" s="575"/>
      <c r="AKL244" s="575"/>
      <c r="AKM244" s="575"/>
      <c r="AKN244" s="575"/>
      <c r="AKO244" s="575"/>
      <c r="AKP244" s="575"/>
      <c r="AKQ244" s="575"/>
      <c r="AKR244" s="575"/>
      <c r="AKS244" s="575"/>
      <c r="AKT244" s="575"/>
      <c r="AKU244" s="575"/>
      <c r="AKV244" s="575"/>
      <c r="AKW244" s="575"/>
      <c r="AKX244" s="575"/>
      <c r="AKY244" s="575"/>
      <c r="AKZ244" s="575"/>
      <c r="ALA244" s="575"/>
      <c r="ALB244" s="575"/>
      <c r="ALC244" s="575"/>
      <c r="ALD244" s="575"/>
      <c r="ALE244" s="575"/>
      <c r="ALF244" s="575"/>
      <c r="ALG244" s="575"/>
      <c r="ALH244" s="575"/>
      <c r="ALI244" s="575"/>
      <c r="ALJ244" s="575"/>
      <c r="ALK244" s="575"/>
      <c r="ALL244" s="575"/>
      <c r="ALM244" s="575"/>
      <c r="ALN244" s="575"/>
      <c r="ALO244" s="575"/>
      <c r="ALP244" s="575"/>
      <c r="ALQ244" s="575"/>
      <c r="ALR244" s="575"/>
      <c r="ALS244" s="575"/>
      <c r="ALT244" s="575"/>
      <c r="ALU244" s="575"/>
      <c r="ALV244" s="575"/>
      <c r="ALW244" s="575"/>
      <c r="ALX244" s="575"/>
      <c r="ALY244" s="575"/>
      <c r="ALZ244" s="575"/>
      <c r="AMA244" s="575"/>
      <c r="AMB244" s="575"/>
      <c r="AMC244" s="575"/>
      <c r="AMD244" s="575"/>
      <c r="AME244" s="575"/>
      <c r="AMF244" s="575"/>
      <c r="AMG244" s="575"/>
      <c r="AMH244" s="575"/>
      <c r="AMI244" s="575"/>
      <c r="AMJ244" s="575"/>
      <c r="AMK244" s="575"/>
      <c r="AML244" s="575"/>
      <c r="AMM244" s="575"/>
      <c r="AMN244" s="575"/>
      <c r="AMO244" s="575"/>
      <c r="AMP244" s="575"/>
      <c r="AMQ244" s="575"/>
      <c r="AMR244" s="575"/>
      <c r="AMS244" s="575"/>
      <c r="AMT244" s="575"/>
      <c r="AMU244" s="575"/>
      <c r="AMV244" s="575"/>
      <c r="AMW244" s="575"/>
      <c r="AMX244" s="575"/>
      <c r="AMY244" s="575"/>
      <c r="AMZ244" s="575"/>
      <c r="ANA244" s="575"/>
      <c r="ANB244" s="575"/>
      <c r="ANC244" s="575"/>
      <c r="AND244" s="575"/>
      <c r="ANE244" s="575"/>
      <c r="ANF244" s="575"/>
      <c r="ANG244" s="575"/>
      <c r="ANH244" s="575"/>
      <c r="ANI244" s="575"/>
      <c r="ANJ244" s="575"/>
      <c r="ANK244" s="575"/>
      <c r="ANL244" s="575"/>
      <c r="ANM244" s="575"/>
      <c r="ANN244" s="575"/>
      <c r="ANO244" s="575"/>
      <c r="ANP244" s="575"/>
      <c r="ANQ244" s="575"/>
      <c r="ANR244" s="575"/>
      <c r="ANS244" s="575"/>
      <c r="ANT244" s="575"/>
      <c r="ANU244" s="575"/>
      <c r="ANV244" s="575"/>
      <c r="ANW244" s="575"/>
      <c r="ANX244" s="575"/>
      <c r="ANY244" s="575"/>
      <c r="ANZ244" s="575"/>
      <c r="AOA244" s="575"/>
      <c r="AOB244" s="575"/>
      <c r="AOC244" s="575"/>
      <c r="AOD244" s="575"/>
      <c r="AOE244" s="575"/>
      <c r="AOF244" s="575"/>
      <c r="AOG244" s="575"/>
      <c r="AOH244" s="575"/>
      <c r="AOI244" s="575"/>
      <c r="AOJ244" s="575"/>
      <c r="AOK244" s="575"/>
      <c r="AOL244" s="575"/>
      <c r="AOM244" s="575"/>
      <c r="AON244" s="575"/>
      <c r="AOO244" s="575"/>
      <c r="AOP244" s="575"/>
      <c r="AOQ244" s="575"/>
      <c r="AOR244" s="575"/>
      <c r="AOS244" s="575"/>
      <c r="AOT244" s="575"/>
      <c r="AOU244" s="575"/>
      <c r="AOV244" s="575"/>
      <c r="AOW244" s="575"/>
      <c r="AOX244" s="575"/>
      <c r="AOY244" s="575"/>
      <c r="AOZ244" s="575"/>
      <c r="APA244" s="575"/>
      <c r="APB244" s="575"/>
      <c r="APC244" s="575"/>
      <c r="APD244" s="575"/>
      <c r="APE244" s="575"/>
      <c r="APF244" s="575"/>
      <c r="APG244" s="575"/>
      <c r="APH244" s="575"/>
      <c r="API244" s="575"/>
      <c r="APJ244" s="575"/>
      <c r="APK244" s="575"/>
      <c r="APL244" s="575"/>
      <c r="APM244" s="575"/>
      <c r="APN244" s="575"/>
      <c r="APO244" s="575"/>
      <c r="APP244" s="575"/>
      <c r="APQ244" s="575"/>
      <c r="APR244" s="575"/>
      <c r="APS244" s="575"/>
      <c r="APT244" s="575"/>
      <c r="APU244" s="575"/>
      <c r="APV244" s="575"/>
      <c r="APW244" s="575"/>
      <c r="APX244" s="575"/>
      <c r="APY244" s="575"/>
      <c r="APZ244" s="575"/>
      <c r="AQA244" s="575"/>
      <c r="AQB244" s="575"/>
      <c r="AQC244" s="575"/>
      <c r="AQD244" s="575"/>
      <c r="AQE244" s="575"/>
      <c r="AQF244" s="575"/>
      <c r="AQG244" s="575"/>
      <c r="AQH244" s="575"/>
      <c r="AQI244" s="575"/>
      <c r="AQJ244" s="575"/>
      <c r="AQK244" s="575"/>
      <c r="AQL244" s="575"/>
      <c r="AQM244" s="575"/>
      <c r="AQN244" s="575"/>
      <c r="AQO244" s="575"/>
      <c r="AQP244" s="575"/>
      <c r="AQQ244" s="575"/>
      <c r="AQR244" s="575"/>
      <c r="AQS244" s="575"/>
      <c r="AQT244" s="575"/>
      <c r="AQU244" s="575"/>
      <c r="AQV244" s="575"/>
      <c r="AQW244" s="575"/>
      <c r="AQX244" s="575"/>
      <c r="AQY244" s="575"/>
      <c r="AQZ244" s="575"/>
      <c r="ARA244" s="575"/>
      <c r="ARB244" s="575"/>
      <c r="ARC244" s="575"/>
      <c r="ARD244" s="575"/>
      <c r="ARE244" s="575"/>
      <c r="ARF244" s="575"/>
      <c r="ARG244" s="575"/>
      <c r="ARH244" s="575"/>
      <c r="ARI244" s="575"/>
      <c r="ARJ244" s="575"/>
      <c r="ARK244" s="575"/>
      <c r="ARL244" s="575"/>
      <c r="ARM244" s="575"/>
      <c r="ARN244" s="575"/>
      <c r="ARO244" s="575"/>
      <c r="ARP244" s="575"/>
      <c r="ARQ244" s="575"/>
      <c r="ARR244" s="575"/>
      <c r="ARS244" s="575"/>
      <c r="ART244" s="575"/>
      <c r="ARU244" s="575"/>
      <c r="ARV244" s="575"/>
      <c r="ARW244" s="575"/>
      <c r="ARX244" s="575"/>
      <c r="ARY244" s="575"/>
      <c r="ARZ244" s="575"/>
      <c r="ASA244" s="575"/>
      <c r="ASB244" s="575"/>
      <c r="ASC244" s="575"/>
      <c r="ASD244" s="575"/>
      <c r="ASE244" s="575"/>
      <c r="ASF244" s="575"/>
      <c r="ASG244" s="575"/>
      <c r="ASH244" s="575"/>
      <c r="ASI244" s="575"/>
      <c r="ASJ244" s="575"/>
      <c r="ASK244" s="575"/>
      <c r="ASL244" s="575"/>
      <c r="ASM244" s="575"/>
      <c r="ASN244" s="575"/>
      <c r="ASO244" s="575"/>
      <c r="ASP244" s="575"/>
      <c r="ASQ244" s="575"/>
      <c r="ASR244" s="575"/>
      <c r="ASS244" s="575"/>
      <c r="AST244" s="575"/>
      <c r="ASU244" s="575"/>
      <c r="ASV244" s="575"/>
      <c r="ASW244" s="575"/>
      <c r="ASX244" s="575"/>
      <c r="ASY244" s="575"/>
      <c r="ASZ244" s="575"/>
      <c r="ATA244" s="575"/>
      <c r="ATB244" s="575"/>
      <c r="ATC244" s="575"/>
      <c r="ATD244" s="575"/>
      <c r="ATE244" s="575"/>
      <c r="ATF244" s="575"/>
      <c r="ATG244" s="575"/>
      <c r="ATH244" s="575"/>
      <c r="ATI244" s="575"/>
      <c r="ATJ244" s="575"/>
      <c r="ATK244" s="575"/>
      <c r="ATL244" s="575"/>
      <c r="ATM244" s="575"/>
      <c r="ATN244" s="575"/>
      <c r="ATO244" s="575"/>
      <c r="ATP244" s="575"/>
      <c r="ATQ244" s="575"/>
      <c r="ATR244" s="575"/>
      <c r="ATS244" s="575"/>
      <c r="ATT244" s="575"/>
      <c r="ATU244" s="575"/>
      <c r="ATV244" s="575"/>
      <c r="ATW244" s="575"/>
      <c r="ATX244" s="575"/>
      <c r="ATY244" s="575"/>
      <c r="ATZ244" s="575"/>
      <c r="AUA244" s="575"/>
      <c r="AUB244" s="575"/>
      <c r="AUC244" s="575"/>
      <c r="AUD244" s="575"/>
      <c r="AUE244" s="575"/>
      <c r="AUF244" s="575"/>
      <c r="AUG244" s="575"/>
      <c r="AUH244" s="575"/>
      <c r="AUI244" s="575"/>
      <c r="AUJ244" s="575"/>
      <c r="AUK244" s="575"/>
      <c r="AUL244" s="575"/>
      <c r="AUM244" s="575"/>
      <c r="AUN244" s="575"/>
      <c r="AUO244" s="575"/>
      <c r="AUP244" s="575"/>
      <c r="AUQ244" s="575"/>
      <c r="AUR244" s="575"/>
      <c r="AUS244" s="575"/>
      <c r="AUT244" s="575"/>
      <c r="AUU244" s="575"/>
      <c r="AUV244" s="575"/>
      <c r="AUW244" s="575"/>
      <c r="AUX244" s="575"/>
      <c r="AUY244" s="575"/>
      <c r="AUZ244" s="575"/>
      <c r="AVA244" s="575"/>
      <c r="AVB244" s="575"/>
      <c r="AVC244" s="575"/>
      <c r="AVD244" s="575"/>
      <c r="AVE244" s="575"/>
      <c r="AVF244" s="575"/>
      <c r="AVG244" s="575"/>
      <c r="AVH244" s="575"/>
      <c r="AVI244" s="575"/>
      <c r="AVJ244" s="575"/>
      <c r="AVK244" s="575"/>
      <c r="AVL244" s="575"/>
      <c r="AVM244" s="575"/>
      <c r="AVN244" s="575"/>
      <c r="AVO244" s="575"/>
      <c r="AVP244" s="575"/>
      <c r="AVQ244" s="575"/>
      <c r="AVR244" s="575"/>
      <c r="AVS244" s="575"/>
      <c r="AVT244" s="575"/>
      <c r="AVU244" s="575"/>
      <c r="AVV244" s="575"/>
      <c r="AVW244" s="575"/>
      <c r="AVX244" s="575"/>
      <c r="AVY244" s="575"/>
      <c r="AVZ244" s="575"/>
      <c r="AWA244" s="575"/>
      <c r="AWB244" s="575"/>
      <c r="AWC244" s="575"/>
      <c r="AWD244" s="575"/>
      <c r="AWE244" s="575"/>
      <c r="AWF244" s="575"/>
      <c r="AWG244" s="575"/>
      <c r="AWH244" s="575"/>
      <c r="AWI244" s="575"/>
      <c r="AWJ244" s="575"/>
      <c r="AWK244" s="575"/>
      <c r="AWL244" s="575"/>
      <c r="AWM244" s="575"/>
      <c r="AWN244" s="575"/>
      <c r="AWO244" s="575"/>
      <c r="AWP244" s="575"/>
      <c r="AWQ244" s="575"/>
      <c r="AWR244" s="575"/>
      <c r="AWS244" s="575"/>
      <c r="AWT244" s="575"/>
      <c r="AWU244" s="575"/>
      <c r="AWV244" s="575"/>
      <c r="AWW244" s="575"/>
      <c r="AWX244" s="575"/>
      <c r="AWY244" s="575"/>
      <c r="AWZ244" s="575"/>
      <c r="AXA244" s="575"/>
      <c r="AXB244" s="575"/>
      <c r="AXC244" s="575"/>
      <c r="AXD244" s="575"/>
      <c r="AXE244" s="575"/>
      <c r="AXF244" s="575"/>
      <c r="AXG244" s="575"/>
      <c r="AXH244" s="575"/>
      <c r="AXI244" s="575"/>
      <c r="AXJ244" s="575"/>
      <c r="AXK244" s="575"/>
      <c r="AXL244" s="575"/>
      <c r="AXM244" s="575"/>
      <c r="AXN244" s="575"/>
      <c r="AXO244" s="575"/>
      <c r="AXP244" s="575"/>
      <c r="AXQ244" s="575"/>
      <c r="AXR244" s="575"/>
      <c r="AXS244" s="575"/>
      <c r="AXT244" s="575"/>
      <c r="AXU244" s="575"/>
      <c r="AXV244" s="575"/>
      <c r="AXW244" s="575"/>
      <c r="AXX244" s="575"/>
      <c r="AXY244" s="575"/>
      <c r="AXZ244" s="575"/>
      <c r="AYA244" s="575"/>
      <c r="AYB244" s="575"/>
      <c r="AYC244" s="575"/>
      <c r="AYD244" s="575"/>
      <c r="AYE244" s="575"/>
      <c r="AYF244" s="575"/>
      <c r="AYG244" s="575"/>
      <c r="AYH244" s="575"/>
      <c r="AYI244" s="575"/>
      <c r="AYJ244" s="575"/>
      <c r="AYK244" s="575"/>
      <c r="AYL244" s="575"/>
      <c r="AYM244" s="575"/>
      <c r="AYN244" s="575"/>
      <c r="AYO244" s="575"/>
      <c r="AYP244" s="575"/>
      <c r="AYQ244" s="575"/>
      <c r="AYR244" s="575"/>
      <c r="AYS244" s="575"/>
      <c r="AYT244" s="575"/>
      <c r="AYU244" s="575"/>
      <c r="AYV244" s="575"/>
      <c r="AYW244" s="575"/>
      <c r="AYX244" s="575"/>
      <c r="AYY244" s="575"/>
      <c r="AYZ244" s="575"/>
      <c r="AZA244" s="575"/>
      <c r="AZB244" s="575"/>
      <c r="AZC244" s="575"/>
      <c r="AZD244" s="575"/>
      <c r="AZE244" s="575"/>
      <c r="AZF244" s="575"/>
      <c r="AZG244" s="575"/>
      <c r="AZH244" s="575"/>
      <c r="AZI244" s="575"/>
      <c r="AZJ244" s="575"/>
      <c r="AZK244" s="575"/>
      <c r="AZL244" s="575"/>
      <c r="AZM244" s="575"/>
      <c r="AZN244" s="575"/>
      <c r="AZO244" s="575"/>
      <c r="AZP244" s="575"/>
      <c r="AZQ244" s="575"/>
      <c r="AZR244" s="575"/>
      <c r="AZS244" s="575"/>
      <c r="AZT244" s="575"/>
      <c r="AZU244" s="575"/>
      <c r="AZV244" s="575"/>
      <c r="AZW244" s="575"/>
      <c r="AZX244" s="575"/>
      <c r="AZY244" s="575"/>
      <c r="AZZ244" s="575"/>
      <c r="BAA244" s="575"/>
      <c r="BAB244" s="575"/>
      <c r="BAC244" s="575"/>
      <c r="BAD244" s="575"/>
      <c r="BAE244" s="575"/>
      <c r="BAF244" s="575"/>
      <c r="BAG244" s="575"/>
      <c r="BAH244" s="575"/>
      <c r="BAI244" s="575"/>
      <c r="BAJ244" s="575"/>
      <c r="BAK244" s="575"/>
      <c r="BAL244" s="575"/>
      <c r="BAM244" s="575"/>
      <c r="BAN244" s="575"/>
      <c r="BAO244" s="575"/>
      <c r="BAP244" s="575"/>
      <c r="BAQ244" s="575"/>
      <c r="BAR244" s="575"/>
      <c r="BAS244" s="575"/>
      <c r="BAT244" s="575"/>
      <c r="BAU244" s="575"/>
      <c r="BAV244" s="575"/>
      <c r="BAW244" s="575"/>
      <c r="BAX244" s="575"/>
      <c r="BAY244" s="575"/>
      <c r="BAZ244" s="575"/>
      <c r="BBA244" s="575"/>
      <c r="BBB244" s="575"/>
      <c r="BBC244" s="575"/>
      <c r="BBD244" s="575"/>
      <c r="BBE244" s="575"/>
      <c r="BBF244" s="575"/>
      <c r="BBG244" s="575"/>
      <c r="BBH244" s="575"/>
      <c r="BBI244" s="575"/>
      <c r="BBJ244" s="575"/>
      <c r="BBK244" s="575"/>
      <c r="BBL244" s="575"/>
      <c r="BBM244" s="575"/>
      <c r="BBN244" s="575"/>
      <c r="BBO244" s="575"/>
      <c r="BBP244" s="575"/>
      <c r="BBQ244" s="575"/>
      <c r="BBR244" s="575"/>
      <c r="BBS244" s="575"/>
      <c r="BBT244" s="575"/>
      <c r="BBU244" s="575"/>
      <c r="BBV244" s="575"/>
      <c r="BBW244" s="575"/>
      <c r="BBX244" s="575"/>
      <c r="BBY244" s="575"/>
      <c r="BBZ244" s="575"/>
      <c r="BCA244" s="575"/>
      <c r="BCB244" s="575"/>
      <c r="BCC244" s="575"/>
      <c r="BCD244" s="575"/>
      <c r="BCE244" s="575"/>
      <c r="BCF244" s="575"/>
      <c r="BCG244" s="575"/>
      <c r="BCH244" s="575"/>
      <c r="BCI244" s="575"/>
      <c r="BCJ244" s="575"/>
      <c r="BCK244" s="575"/>
      <c r="BCL244" s="575"/>
      <c r="BCM244" s="575"/>
      <c r="BCN244" s="575"/>
      <c r="BCO244" s="575"/>
      <c r="BCP244" s="575"/>
      <c r="BCQ244" s="575"/>
      <c r="BCR244" s="575"/>
      <c r="BCS244" s="575"/>
      <c r="BCT244" s="575"/>
      <c r="BCU244" s="575"/>
      <c r="BCV244" s="575"/>
      <c r="BCW244" s="575"/>
      <c r="BCX244" s="575"/>
      <c r="BCY244" s="575"/>
      <c r="BCZ244" s="575"/>
      <c r="BDA244" s="575"/>
      <c r="BDB244" s="575"/>
      <c r="BDC244" s="575"/>
      <c r="BDD244" s="575"/>
      <c r="BDE244" s="575"/>
      <c r="BDF244" s="575"/>
      <c r="BDG244" s="575"/>
      <c r="BDH244" s="575"/>
      <c r="BDI244" s="575"/>
      <c r="BDJ244" s="575"/>
      <c r="BDK244" s="575"/>
      <c r="BDL244" s="575"/>
      <c r="BDM244" s="575"/>
      <c r="BDN244" s="575"/>
      <c r="BDO244" s="575"/>
      <c r="BDP244" s="575"/>
      <c r="BDQ244" s="575"/>
      <c r="BDR244" s="575"/>
      <c r="BDS244" s="575"/>
      <c r="BDT244" s="575"/>
    </row>
    <row r="245" spans="1:1476" x14ac:dyDescent="0.25">
      <c r="A245" s="608">
        <v>5828</v>
      </c>
      <c r="B245" s="609" t="s">
        <v>373</v>
      </c>
      <c r="C245" s="610">
        <v>152551.92000000001</v>
      </c>
      <c r="D245" s="610">
        <v>67482.710000000006</v>
      </c>
      <c r="E245" s="610"/>
      <c r="F245" s="611"/>
      <c r="G245" s="610">
        <v>236.65</v>
      </c>
      <c r="H245" s="610">
        <v>21.1</v>
      </c>
      <c r="I245" s="610"/>
      <c r="J245" s="610">
        <v>214.17</v>
      </c>
      <c r="K245" s="610"/>
      <c r="L245" s="610">
        <v>26723.5</v>
      </c>
      <c r="M245" s="434">
        <f t="shared" si="12"/>
        <v>247230.05000000002</v>
      </c>
      <c r="N245" s="612">
        <v>0</v>
      </c>
      <c r="O245" s="612">
        <v>1306.2</v>
      </c>
      <c r="P245" s="612">
        <v>9680</v>
      </c>
      <c r="Q245" s="612"/>
      <c r="R245" s="612">
        <v>10908.7</v>
      </c>
      <c r="S245" s="610">
        <v>26.94</v>
      </c>
      <c r="T245" s="543">
        <f t="shared" si="13"/>
        <v>269151.89</v>
      </c>
      <c r="U245" s="575">
        <v>-4867.42</v>
      </c>
      <c r="V245" s="612"/>
      <c r="W245" s="612">
        <v>0</v>
      </c>
      <c r="X245" s="624">
        <v>81.5</v>
      </c>
      <c r="Y245" s="631">
        <v>1.5</v>
      </c>
      <c r="Z245" s="628">
        <f>VLOOKUP(A245,'[2]2022 toutes communes'!$B$9:$D$317,3,FALSE)</f>
        <v>105</v>
      </c>
      <c r="AA245" s="617"/>
      <c r="AB245" s="618">
        <v>40252</v>
      </c>
      <c r="AC245" s="547">
        <f>AB245/VPI!R245</f>
        <v>14.050512244919199</v>
      </c>
      <c r="AD245" s="548">
        <f t="shared" si="14"/>
        <v>18393</v>
      </c>
      <c r="AE245" s="547">
        <f>AD245/VPI!R245</f>
        <v>6.4203287220709235</v>
      </c>
      <c r="AF245" s="618">
        <v>58645</v>
      </c>
      <c r="AG245" s="618">
        <v>4199</v>
      </c>
      <c r="AH245" s="618">
        <v>13114</v>
      </c>
      <c r="AI245" s="637"/>
      <c r="AJ245" s="628">
        <v>0</v>
      </c>
      <c r="AK245" s="547">
        <f>AJ245/VPI!R245</f>
        <v>0</v>
      </c>
      <c r="AL245" s="548">
        <f t="shared" si="15"/>
        <v>3250</v>
      </c>
      <c r="AM245" s="547">
        <f>AL245/VPI!R245</f>
        <v>1.134457040544256</v>
      </c>
      <c r="AN245" s="628">
        <v>3250</v>
      </c>
      <c r="AO245" s="637"/>
      <c r="AP245" s="629">
        <v>3.3943479223529729</v>
      </c>
      <c r="AR245" s="630">
        <v>0</v>
      </c>
    </row>
    <row r="246" spans="1:1476" x14ac:dyDescent="0.25">
      <c r="A246" s="608">
        <v>5830</v>
      </c>
      <c r="B246" s="609" t="s">
        <v>11</v>
      </c>
      <c r="C246" s="610">
        <v>767699.35</v>
      </c>
      <c r="D246" s="610">
        <v>88205.18</v>
      </c>
      <c r="E246" s="610"/>
      <c r="F246" s="611"/>
      <c r="G246" s="610">
        <v>9125</v>
      </c>
      <c r="H246" s="610">
        <v>614.54999999999995</v>
      </c>
      <c r="I246" s="610"/>
      <c r="J246" s="610">
        <v>11408.04</v>
      </c>
      <c r="K246" s="610">
        <v>705.4</v>
      </c>
      <c r="L246" s="610">
        <v>62205.3</v>
      </c>
      <c r="M246" s="434">
        <f t="shared" si="12"/>
        <v>939962.82000000018</v>
      </c>
      <c r="N246" s="612">
        <v>9722.5499999999993</v>
      </c>
      <c r="O246" s="612">
        <v>-19364.3</v>
      </c>
      <c r="P246" s="612">
        <v>52656.75</v>
      </c>
      <c r="Q246" s="612">
        <v>510.34</v>
      </c>
      <c r="R246" s="612">
        <v>24477.95</v>
      </c>
      <c r="S246" s="610">
        <v>1017.83</v>
      </c>
      <c r="T246" s="543">
        <f t="shared" si="13"/>
        <v>1008983.9400000001</v>
      </c>
      <c r="U246" s="575">
        <v>-5927.43</v>
      </c>
      <c r="V246" s="612"/>
      <c r="W246" s="612">
        <v>-0.01</v>
      </c>
      <c r="X246" s="624">
        <v>75</v>
      </c>
      <c r="Y246" s="631">
        <v>1</v>
      </c>
      <c r="Z246" s="628">
        <f>VLOOKUP(A246,'[2]2022 toutes communes'!$B$9:$D$317,3,FALSE)</f>
        <v>486</v>
      </c>
      <c r="AA246" s="617"/>
      <c r="AB246" s="618">
        <v>53454</v>
      </c>
      <c r="AC246" s="547">
        <f>AB246/VPI!R246</f>
        <v>4.2851712211319049</v>
      </c>
      <c r="AD246" s="548">
        <f t="shared" si="14"/>
        <v>63936</v>
      </c>
      <c r="AE246" s="547">
        <f>AD246/VPI!R246</f>
        <v>5.1254668910519223</v>
      </c>
      <c r="AF246" s="618">
        <v>117390</v>
      </c>
      <c r="AG246" s="618">
        <v>28627</v>
      </c>
      <c r="AH246" s="618">
        <v>80768</v>
      </c>
      <c r="AI246" s="637"/>
      <c r="AJ246" s="628">
        <v>20977</v>
      </c>
      <c r="AK246" s="547">
        <f>AJ246/VPI!R246</f>
        <v>1.6816334924548952</v>
      </c>
      <c r="AL246" s="548">
        <f t="shared" si="15"/>
        <v>4856</v>
      </c>
      <c r="AM246" s="547">
        <f>AL246/VPI!R246</f>
        <v>0.38928408444300761</v>
      </c>
      <c r="AN246" s="628">
        <v>25833</v>
      </c>
      <c r="AO246" s="637"/>
      <c r="AP246" s="629">
        <v>4.4915492368597123</v>
      </c>
      <c r="AR246" s="630">
        <v>0</v>
      </c>
    </row>
    <row r="247" spans="1:1476" s="632" customFormat="1" x14ac:dyDescent="0.25">
      <c r="A247" s="608">
        <v>5831</v>
      </c>
      <c r="B247" s="609" t="s">
        <v>348</v>
      </c>
      <c r="C247" s="610">
        <v>4360112.34</v>
      </c>
      <c r="D247" s="610">
        <v>668250.05000000005</v>
      </c>
      <c r="E247" s="610"/>
      <c r="F247" s="611"/>
      <c r="G247" s="610">
        <v>418676.7</v>
      </c>
      <c r="H247" s="610">
        <v>18473.849999999999</v>
      </c>
      <c r="I247" s="610"/>
      <c r="J247" s="610">
        <v>180872.61</v>
      </c>
      <c r="K247" s="610">
        <v>3858.6</v>
      </c>
      <c r="L247" s="610">
        <v>325547.05</v>
      </c>
      <c r="M247" s="434">
        <f t="shared" si="12"/>
        <v>5975791.1999999993</v>
      </c>
      <c r="N247" s="612">
        <v>24200.65</v>
      </c>
      <c r="O247" s="612">
        <v>734460.1</v>
      </c>
      <c r="P247" s="612">
        <v>412877.95</v>
      </c>
      <c r="Q247" s="612">
        <v>22808.86</v>
      </c>
      <c r="R247" s="612">
        <v>271264.15000000002</v>
      </c>
      <c r="S247" s="610">
        <v>45684.480000000003</v>
      </c>
      <c r="T247" s="543">
        <f t="shared" si="13"/>
        <v>7487087.3900000006</v>
      </c>
      <c r="U247" s="575">
        <v>-94076.25</v>
      </c>
      <c r="V247" s="612"/>
      <c r="W247" s="612">
        <v>-565.36</v>
      </c>
      <c r="X247" s="624">
        <v>70.5</v>
      </c>
      <c r="Y247" s="631">
        <v>0.6</v>
      </c>
      <c r="Z247" s="628">
        <f>VLOOKUP(A247,'[2]2022 toutes communes'!$B$9:$D$317,3,FALSE)</f>
        <v>3361</v>
      </c>
      <c r="AA247" s="617"/>
      <c r="AB247" s="618">
        <v>433645</v>
      </c>
      <c r="AC247" s="547">
        <f>AB247/VPI!R247</f>
        <v>4.957611028123436</v>
      </c>
      <c r="AD247" s="548">
        <f t="shared" si="14"/>
        <v>705012</v>
      </c>
      <c r="AE247" s="547">
        <f>AD247/VPI!R247</f>
        <v>8.0599920814476356</v>
      </c>
      <c r="AF247" s="618">
        <v>1138657</v>
      </c>
      <c r="AG247" s="618">
        <v>319570</v>
      </c>
      <c r="AH247" s="618">
        <v>531565</v>
      </c>
      <c r="AI247" s="637"/>
      <c r="AJ247" s="628">
        <v>0</v>
      </c>
      <c r="AK247" s="547">
        <f>AJ247/VPI!R247</f>
        <v>0</v>
      </c>
      <c r="AL247" s="548">
        <f t="shared" si="15"/>
        <v>21150</v>
      </c>
      <c r="AM247" s="547">
        <f>AL247/VPI!R247</f>
        <v>0.24179564677284571</v>
      </c>
      <c r="AN247" s="628">
        <v>21150</v>
      </c>
      <c r="AO247" s="637"/>
      <c r="AP247" s="629">
        <v>-1.2835806652725137</v>
      </c>
      <c r="AQ247" s="575"/>
      <c r="AR247" s="630">
        <v>0</v>
      </c>
      <c r="AS247" s="575"/>
      <c r="AT247" s="575"/>
      <c r="AU247" s="575"/>
      <c r="AV247" s="575"/>
      <c r="AW247" s="575"/>
      <c r="AX247" s="575"/>
      <c r="AY247" s="575"/>
      <c r="AZ247" s="575"/>
      <c r="BA247" s="575"/>
      <c r="BB247" s="575"/>
      <c r="BC247" s="575"/>
      <c r="BD247" s="575"/>
      <c r="BE247" s="575"/>
      <c r="BF247" s="575"/>
      <c r="BG247" s="575"/>
      <c r="BH247" s="575"/>
      <c r="BI247" s="575"/>
      <c r="BJ247" s="575"/>
      <c r="BK247" s="575"/>
      <c r="BL247" s="575"/>
      <c r="BM247" s="575"/>
      <c r="BN247" s="575"/>
      <c r="BO247" s="575"/>
      <c r="BP247" s="575"/>
      <c r="BQ247" s="575"/>
      <c r="BR247" s="575"/>
      <c r="BS247" s="575"/>
      <c r="BT247" s="575"/>
      <c r="BU247" s="575"/>
      <c r="BV247" s="575"/>
      <c r="BW247" s="575"/>
      <c r="BX247" s="575"/>
      <c r="BY247" s="575"/>
      <c r="BZ247" s="575"/>
      <c r="CA247" s="575"/>
      <c r="CB247" s="575"/>
      <c r="CC247" s="575"/>
      <c r="CD247" s="575"/>
      <c r="CE247" s="575"/>
      <c r="CF247" s="575"/>
      <c r="CG247" s="575"/>
      <c r="CH247" s="575"/>
      <c r="CI247" s="575"/>
      <c r="CJ247" s="575"/>
      <c r="CK247" s="575"/>
      <c r="CL247" s="575"/>
      <c r="CM247" s="575"/>
      <c r="CN247" s="575"/>
      <c r="CO247" s="575"/>
      <c r="CP247" s="575"/>
      <c r="CQ247" s="575"/>
      <c r="CR247" s="575"/>
      <c r="CS247" s="575"/>
      <c r="CT247" s="575"/>
      <c r="CU247" s="575"/>
      <c r="CV247" s="575"/>
      <c r="CW247" s="575"/>
      <c r="CX247" s="575"/>
      <c r="CY247" s="575"/>
      <c r="CZ247" s="575"/>
      <c r="DA247" s="575"/>
      <c r="DB247" s="575"/>
      <c r="DC247" s="575"/>
      <c r="DD247" s="575"/>
      <c r="DE247" s="575"/>
      <c r="DF247" s="575"/>
      <c r="DG247" s="575"/>
      <c r="DH247" s="575"/>
      <c r="DI247" s="575"/>
      <c r="DJ247" s="575"/>
      <c r="DK247" s="575"/>
      <c r="DL247" s="575"/>
      <c r="DM247" s="575"/>
      <c r="DN247" s="575"/>
      <c r="DO247" s="575"/>
      <c r="DP247" s="575"/>
      <c r="DQ247" s="575"/>
      <c r="DR247" s="575"/>
      <c r="DS247" s="575"/>
      <c r="DT247" s="575"/>
      <c r="DU247" s="575"/>
      <c r="DV247" s="575"/>
      <c r="DW247" s="575"/>
      <c r="DX247" s="575"/>
      <c r="DY247" s="575"/>
      <c r="DZ247" s="575"/>
      <c r="EA247" s="575"/>
      <c r="EB247" s="575"/>
      <c r="EC247" s="575"/>
      <c r="ED247" s="575"/>
      <c r="EE247" s="575"/>
      <c r="EF247" s="575"/>
      <c r="EG247" s="575"/>
      <c r="EH247" s="575"/>
      <c r="EI247" s="575"/>
      <c r="EJ247" s="575"/>
      <c r="EK247" s="575"/>
      <c r="EL247" s="575"/>
      <c r="EM247" s="575"/>
      <c r="EN247" s="575"/>
      <c r="EO247" s="575"/>
      <c r="EP247" s="575"/>
      <c r="EQ247" s="575"/>
      <c r="ER247" s="575"/>
      <c r="ES247" s="575"/>
      <c r="ET247" s="575"/>
      <c r="EU247" s="575"/>
      <c r="EV247" s="575"/>
      <c r="EW247" s="575"/>
      <c r="EX247" s="575"/>
      <c r="EY247" s="575"/>
      <c r="EZ247" s="575"/>
      <c r="FA247" s="575"/>
      <c r="FB247" s="575"/>
      <c r="FC247" s="575"/>
      <c r="FD247" s="575"/>
      <c r="FE247" s="575"/>
      <c r="FF247" s="575"/>
      <c r="FG247" s="575"/>
      <c r="FH247" s="575"/>
      <c r="FI247" s="575"/>
      <c r="FJ247" s="575"/>
      <c r="FK247" s="575"/>
      <c r="FL247" s="575"/>
      <c r="FM247" s="575"/>
      <c r="FN247" s="575"/>
      <c r="FO247" s="575"/>
      <c r="FP247" s="575"/>
      <c r="FQ247" s="575"/>
      <c r="FR247" s="575"/>
      <c r="FS247" s="575"/>
      <c r="FT247" s="575"/>
      <c r="FU247" s="575"/>
      <c r="FV247" s="575"/>
      <c r="FW247" s="575"/>
      <c r="FX247" s="575"/>
      <c r="FY247" s="575"/>
      <c r="FZ247" s="575"/>
      <c r="GA247" s="575"/>
      <c r="GB247" s="575"/>
      <c r="GC247" s="575"/>
      <c r="GD247" s="575"/>
      <c r="GE247" s="575"/>
      <c r="GF247" s="575"/>
      <c r="GG247" s="575"/>
      <c r="GH247" s="575"/>
      <c r="GI247" s="575"/>
      <c r="GJ247" s="575"/>
      <c r="GK247" s="575"/>
      <c r="GL247" s="575"/>
      <c r="GM247" s="575"/>
      <c r="GN247" s="575"/>
      <c r="GO247" s="575"/>
      <c r="GP247" s="575"/>
      <c r="GQ247" s="575"/>
      <c r="GR247" s="575"/>
      <c r="GS247" s="575"/>
      <c r="GT247" s="575"/>
      <c r="GU247" s="575"/>
      <c r="GV247" s="575"/>
      <c r="GW247" s="575"/>
      <c r="GX247" s="575"/>
      <c r="GY247" s="575"/>
      <c r="GZ247" s="575"/>
      <c r="HA247" s="575"/>
      <c r="HB247" s="575"/>
      <c r="HC247" s="575"/>
      <c r="HD247" s="575"/>
      <c r="HE247" s="575"/>
      <c r="HF247" s="575"/>
      <c r="HG247" s="575"/>
      <c r="HH247" s="575"/>
      <c r="HI247" s="575"/>
      <c r="HJ247" s="575"/>
      <c r="HK247" s="575"/>
      <c r="HL247" s="575"/>
      <c r="HM247" s="575"/>
      <c r="HN247" s="575"/>
      <c r="HO247" s="575"/>
      <c r="HP247" s="575"/>
      <c r="HQ247" s="575"/>
      <c r="HR247" s="575"/>
      <c r="HS247" s="575"/>
      <c r="HT247" s="575"/>
      <c r="HU247" s="575"/>
      <c r="HV247" s="575"/>
      <c r="HW247" s="575"/>
      <c r="HX247" s="575"/>
      <c r="HY247" s="575"/>
      <c r="HZ247" s="575"/>
      <c r="IA247" s="575"/>
      <c r="IB247" s="575"/>
      <c r="IC247" s="575"/>
      <c r="ID247" s="575"/>
      <c r="IE247" s="575"/>
      <c r="IF247" s="575"/>
      <c r="IG247" s="575"/>
      <c r="IH247" s="575"/>
      <c r="II247" s="575"/>
      <c r="IJ247" s="575"/>
      <c r="IK247" s="575"/>
      <c r="IL247" s="575"/>
      <c r="IM247" s="575"/>
      <c r="IN247" s="575"/>
      <c r="IO247" s="575"/>
      <c r="IP247" s="575"/>
      <c r="IQ247" s="575"/>
      <c r="IR247" s="575"/>
      <c r="IS247" s="575"/>
      <c r="IT247" s="575"/>
      <c r="IU247" s="575"/>
      <c r="IV247" s="575"/>
      <c r="IW247" s="575"/>
      <c r="IX247" s="575"/>
      <c r="IY247" s="575"/>
      <c r="IZ247" s="575"/>
      <c r="JA247" s="575"/>
      <c r="JB247" s="575"/>
      <c r="JC247" s="575"/>
      <c r="JD247" s="575"/>
      <c r="JE247" s="575"/>
      <c r="JF247" s="575"/>
      <c r="JG247" s="575"/>
      <c r="JH247" s="575"/>
      <c r="JI247" s="575"/>
      <c r="JJ247" s="575"/>
      <c r="JK247" s="575"/>
      <c r="JL247" s="575"/>
      <c r="JM247" s="575"/>
      <c r="JN247" s="575"/>
      <c r="JO247" s="575"/>
      <c r="JP247" s="575"/>
      <c r="JQ247" s="575"/>
      <c r="JR247" s="575"/>
      <c r="JS247" s="575"/>
      <c r="JT247" s="575"/>
      <c r="JU247" s="575"/>
      <c r="JV247" s="575"/>
      <c r="JW247" s="575"/>
      <c r="JX247" s="575"/>
      <c r="JY247" s="575"/>
      <c r="JZ247" s="575"/>
      <c r="KA247" s="575"/>
      <c r="KB247" s="575"/>
      <c r="KC247" s="575"/>
      <c r="KD247" s="575"/>
      <c r="KE247" s="575"/>
      <c r="KF247" s="575"/>
      <c r="KG247" s="575"/>
      <c r="KH247" s="575"/>
      <c r="KI247" s="575"/>
      <c r="KJ247" s="575"/>
      <c r="KK247" s="575"/>
      <c r="KL247" s="575"/>
      <c r="KM247" s="575"/>
      <c r="KN247" s="575"/>
      <c r="KO247" s="575"/>
      <c r="KP247" s="575"/>
      <c r="KQ247" s="575"/>
      <c r="KR247" s="575"/>
      <c r="KS247" s="575"/>
      <c r="KT247" s="575"/>
      <c r="KU247" s="575"/>
      <c r="KV247" s="575"/>
      <c r="KW247" s="575"/>
      <c r="KX247" s="575"/>
      <c r="KY247" s="575"/>
      <c r="KZ247" s="575"/>
      <c r="LA247" s="575"/>
      <c r="LB247" s="575"/>
      <c r="LC247" s="575"/>
      <c r="LD247" s="575"/>
      <c r="LE247" s="575"/>
      <c r="LF247" s="575"/>
      <c r="LG247" s="575"/>
      <c r="LH247" s="575"/>
      <c r="LI247" s="575"/>
      <c r="LJ247" s="575"/>
      <c r="LK247" s="575"/>
      <c r="LL247" s="575"/>
      <c r="LM247" s="575"/>
      <c r="LN247" s="575"/>
      <c r="LO247" s="575"/>
      <c r="LP247" s="575"/>
      <c r="LQ247" s="575"/>
      <c r="LR247" s="575"/>
      <c r="LS247" s="575"/>
      <c r="LT247" s="575"/>
      <c r="LU247" s="575"/>
      <c r="LV247" s="575"/>
      <c r="LW247" s="575"/>
      <c r="LX247" s="575"/>
      <c r="LY247" s="575"/>
      <c r="LZ247" s="575"/>
      <c r="MA247" s="575"/>
      <c r="MB247" s="575"/>
      <c r="MC247" s="575"/>
      <c r="MD247" s="575"/>
      <c r="ME247" s="575"/>
      <c r="MF247" s="575"/>
      <c r="MG247" s="575"/>
      <c r="MH247" s="575"/>
      <c r="MI247" s="575"/>
      <c r="MJ247" s="575"/>
      <c r="MK247" s="575"/>
      <c r="ML247" s="575"/>
      <c r="MM247" s="575"/>
      <c r="MN247" s="575"/>
      <c r="MO247" s="575"/>
      <c r="MP247" s="575"/>
      <c r="MQ247" s="575"/>
      <c r="MR247" s="575"/>
      <c r="MS247" s="575"/>
      <c r="MT247" s="575"/>
      <c r="MU247" s="575"/>
      <c r="MV247" s="575"/>
      <c r="MW247" s="575"/>
      <c r="MX247" s="575"/>
      <c r="MY247" s="575"/>
      <c r="MZ247" s="575"/>
      <c r="NA247" s="575"/>
      <c r="NB247" s="575"/>
      <c r="NC247" s="575"/>
      <c r="ND247" s="575"/>
      <c r="NE247" s="575"/>
      <c r="NF247" s="575"/>
      <c r="NG247" s="575"/>
      <c r="NH247" s="575"/>
      <c r="NI247" s="575"/>
      <c r="NJ247" s="575"/>
      <c r="NK247" s="575"/>
      <c r="NL247" s="575"/>
      <c r="NM247" s="575"/>
      <c r="NN247" s="575"/>
      <c r="NO247" s="575"/>
      <c r="NP247" s="575"/>
      <c r="NQ247" s="575"/>
      <c r="NR247" s="575"/>
      <c r="NS247" s="575"/>
      <c r="NT247" s="575"/>
      <c r="NU247" s="575"/>
      <c r="NV247" s="575"/>
      <c r="NW247" s="575"/>
      <c r="NX247" s="575"/>
      <c r="NY247" s="575"/>
      <c r="NZ247" s="575"/>
      <c r="OA247" s="575"/>
      <c r="OB247" s="575"/>
      <c r="OC247" s="575"/>
      <c r="OD247" s="575"/>
      <c r="OE247" s="575"/>
      <c r="OF247" s="575"/>
      <c r="OG247" s="575"/>
      <c r="OH247" s="575"/>
      <c r="OI247" s="575"/>
      <c r="OJ247" s="575"/>
      <c r="OK247" s="575"/>
      <c r="OL247" s="575"/>
      <c r="OM247" s="575"/>
      <c r="ON247" s="575"/>
      <c r="OO247" s="575"/>
      <c r="OP247" s="575"/>
      <c r="OQ247" s="575"/>
      <c r="OR247" s="575"/>
      <c r="OS247" s="575"/>
      <c r="OT247" s="575"/>
      <c r="OU247" s="575"/>
      <c r="OV247" s="575"/>
      <c r="OW247" s="575"/>
      <c r="OX247" s="575"/>
      <c r="OY247" s="575"/>
      <c r="OZ247" s="575"/>
      <c r="PA247" s="575"/>
      <c r="PB247" s="575"/>
      <c r="PC247" s="575"/>
      <c r="PD247" s="575"/>
      <c r="PE247" s="575"/>
      <c r="PF247" s="575"/>
      <c r="PG247" s="575"/>
      <c r="PH247" s="575"/>
      <c r="PI247" s="575"/>
      <c r="PJ247" s="575"/>
      <c r="PK247" s="575"/>
      <c r="PL247" s="575"/>
      <c r="PM247" s="575"/>
      <c r="PN247" s="575"/>
      <c r="PO247" s="575"/>
      <c r="PP247" s="575"/>
      <c r="PQ247" s="575"/>
      <c r="PR247" s="575"/>
      <c r="PS247" s="575"/>
      <c r="PT247" s="575"/>
      <c r="PU247" s="575"/>
      <c r="PV247" s="575"/>
      <c r="PW247" s="575"/>
      <c r="PX247" s="575"/>
      <c r="PY247" s="575"/>
      <c r="PZ247" s="575"/>
      <c r="QA247" s="575"/>
      <c r="QB247" s="575"/>
      <c r="QC247" s="575"/>
      <c r="QD247" s="575"/>
      <c r="QE247" s="575"/>
      <c r="QF247" s="575"/>
      <c r="QG247" s="575"/>
      <c r="QH247" s="575"/>
      <c r="QI247" s="575"/>
      <c r="QJ247" s="575"/>
      <c r="QK247" s="575"/>
      <c r="QL247" s="575"/>
      <c r="QM247" s="575"/>
      <c r="QN247" s="575"/>
      <c r="QO247" s="575"/>
      <c r="QP247" s="575"/>
      <c r="QQ247" s="575"/>
      <c r="QR247" s="575"/>
      <c r="QS247" s="575"/>
      <c r="QT247" s="575"/>
      <c r="QU247" s="575"/>
      <c r="QV247" s="575"/>
      <c r="QW247" s="575"/>
      <c r="QX247" s="575"/>
      <c r="QY247" s="575"/>
      <c r="QZ247" s="575"/>
      <c r="RA247" s="575"/>
      <c r="RB247" s="575"/>
      <c r="RC247" s="575"/>
      <c r="RD247" s="575"/>
      <c r="RE247" s="575"/>
      <c r="RF247" s="575"/>
      <c r="RG247" s="575"/>
      <c r="RH247" s="575"/>
      <c r="RI247" s="575"/>
      <c r="RJ247" s="575"/>
      <c r="RK247" s="575"/>
      <c r="RL247" s="575"/>
      <c r="RM247" s="575"/>
      <c r="RN247" s="575"/>
      <c r="RO247" s="575"/>
      <c r="RP247" s="575"/>
      <c r="RQ247" s="575"/>
      <c r="RR247" s="575"/>
      <c r="RS247" s="575"/>
      <c r="RT247" s="575"/>
      <c r="RU247" s="575"/>
      <c r="RV247" s="575"/>
      <c r="RW247" s="575"/>
      <c r="RX247" s="575"/>
      <c r="RY247" s="575"/>
      <c r="RZ247" s="575"/>
      <c r="SA247" s="575"/>
      <c r="SB247" s="575"/>
      <c r="SC247" s="575"/>
      <c r="SD247" s="575"/>
      <c r="SE247" s="575"/>
      <c r="SF247" s="575"/>
      <c r="SG247" s="575"/>
      <c r="SH247" s="575"/>
      <c r="SI247" s="575"/>
      <c r="SJ247" s="575"/>
      <c r="SK247" s="575"/>
      <c r="SL247" s="575"/>
      <c r="SM247" s="575"/>
      <c r="SN247" s="575"/>
      <c r="SO247" s="575"/>
      <c r="SP247" s="575"/>
      <c r="SQ247" s="575"/>
      <c r="SR247" s="575"/>
      <c r="SS247" s="575"/>
      <c r="ST247" s="575"/>
      <c r="SU247" s="575"/>
      <c r="SV247" s="575"/>
      <c r="SW247" s="575"/>
      <c r="SX247" s="575"/>
      <c r="SY247" s="575"/>
      <c r="SZ247" s="575"/>
      <c r="TA247" s="575"/>
      <c r="TB247" s="575"/>
      <c r="TC247" s="575"/>
      <c r="TD247" s="575"/>
      <c r="TE247" s="575"/>
      <c r="TF247" s="575"/>
      <c r="TG247" s="575"/>
      <c r="TH247" s="575"/>
      <c r="TI247" s="575"/>
      <c r="TJ247" s="575"/>
      <c r="TK247" s="575"/>
      <c r="TL247" s="575"/>
      <c r="TM247" s="575"/>
      <c r="TN247" s="575"/>
      <c r="TO247" s="575"/>
      <c r="TP247" s="575"/>
      <c r="TQ247" s="575"/>
      <c r="TR247" s="575"/>
      <c r="TS247" s="575"/>
      <c r="TT247" s="575"/>
      <c r="TU247" s="575"/>
      <c r="TV247" s="575"/>
      <c r="TW247" s="575"/>
      <c r="TX247" s="575"/>
      <c r="TY247" s="575"/>
      <c r="TZ247" s="575"/>
      <c r="UA247" s="575"/>
      <c r="UB247" s="575"/>
      <c r="UC247" s="575"/>
      <c r="UD247" s="575"/>
      <c r="UE247" s="575"/>
      <c r="UF247" s="575"/>
      <c r="UG247" s="575"/>
      <c r="UH247" s="575"/>
      <c r="UI247" s="575"/>
      <c r="UJ247" s="575"/>
      <c r="UK247" s="575"/>
      <c r="UL247" s="575"/>
      <c r="UM247" s="575"/>
      <c r="UN247" s="575"/>
      <c r="UO247" s="575"/>
      <c r="UP247" s="575"/>
      <c r="UQ247" s="575"/>
      <c r="UR247" s="575"/>
      <c r="US247" s="575"/>
      <c r="UT247" s="575"/>
      <c r="UU247" s="575"/>
      <c r="UV247" s="575"/>
      <c r="UW247" s="575"/>
      <c r="UX247" s="575"/>
      <c r="UY247" s="575"/>
      <c r="UZ247" s="575"/>
      <c r="VA247" s="575"/>
      <c r="VB247" s="575"/>
      <c r="VC247" s="575"/>
      <c r="VD247" s="575"/>
      <c r="VE247" s="575"/>
      <c r="VF247" s="575"/>
      <c r="VG247" s="575"/>
      <c r="VH247" s="575"/>
      <c r="VI247" s="575"/>
      <c r="VJ247" s="575"/>
      <c r="VK247" s="575"/>
      <c r="VL247" s="575"/>
      <c r="VM247" s="575"/>
      <c r="VN247" s="575"/>
      <c r="VO247" s="575"/>
      <c r="VP247" s="575"/>
      <c r="VQ247" s="575"/>
      <c r="VR247" s="575"/>
      <c r="VS247" s="575"/>
      <c r="VT247" s="575"/>
      <c r="VU247" s="575"/>
      <c r="VV247" s="575"/>
      <c r="VW247" s="575"/>
      <c r="VX247" s="575"/>
      <c r="VY247" s="575"/>
      <c r="VZ247" s="575"/>
      <c r="WA247" s="575"/>
      <c r="WB247" s="575"/>
      <c r="WC247" s="575"/>
      <c r="WD247" s="575"/>
      <c r="WE247" s="575"/>
      <c r="WF247" s="575"/>
      <c r="WG247" s="575"/>
      <c r="WH247" s="575"/>
      <c r="WI247" s="575"/>
      <c r="WJ247" s="575"/>
      <c r="WK247" s="575"/>
      <c r="WL247" s="575"/>
      <c r="WM247" s="575"/>
      <c r="WN247" s="575"/>
      <c r="WO247" s="575"/>
      <c r="WP247" s="575"/>
      <c r="WQ247" s="575"/>
      <c r="WR247" s="575"/>
      <c r="WS247" s="575"/>
      <c r="WT247" s="575"/>
      <c r="WU247" s="575"/>
      <c r="WV247" s="575"/>
      <c r="WW247" s="575"/>
      <c r="WX247" s="575"/>
      <c r="WY247" s="575"/>
      <c r="WZ247" s="575"/>
      <c r="XA247" s="575"/>
      <c r="XB247" s="575"/>
      <c r="XC247" s="575"/>
      <c r="XD247" s="575"/>
      <c r="XE247" s="575"/>
      <c r="XF247" s="575"/>
      <c r="XG247" s="575"/>
      <c r="XH247" s="575"/>
      <c r="XI247" s="575"/>
      <c r="XJ247" s="575"/>
      <c r="XK247" s="575"/>
      <c r="XL247" s="575"/>
      <c r="XM247" s="575"/>
      <c r="XN247" s="575"/>
      <c r="XO247" s="575"/>
      <c r="XP247" s="575"/>
      <c r="XQ247" s="575"/>
      <c r="XR247" s="575"/>
      <c r="XS247" s="575"/>
      <c r="XT247" s="575"/>
      <c r="XU247" s="575"/>
      <c r="XV247" s="575"/>
      <c r="XW247" s="575"/>
      <c r="XX247" s="575"/>
      <c r="XY247" s="575"/>
      <c r="XZ247" s="575"/>
      <c r="YA247" s="575"/>
      <c r="YB247" s="575"/>
      <c r="YC247" s="575"/>
      <c r="YD247" s="575"/>
      <c r="YE247" s="575"/>
      <c r="YF247" s="575"/>
      <c r="YG247" s="575"/>
      <c r="YH247" s="575"/>
      <c r="YI247" s="575"/>
      <c r="YJ247" s="575"/>
      <c r="YK247" s="575"/>
      <c r="YL247" s="575"/>
      <c r="YM247" s="575"/>
      <c r="YN247" s="575"/>
      <c r="YO247" s="575"/>
      <c r="YP247" s="575"/>
      <c r="YQ247" s="575"/>
      <c r="YR247" s="575"/>
      <c r="YS247" s="575"/>
      <c r="YT247" s="575"/>
      <c r="YU247" s="575"/>
      <c r="YV247" s="575"/>
      <c r="YW247" s="575"/>
      <c r="YX247" s="575"/>
      <c r="YY247" s="575"/>
      <c r="YZ247" s="575"/>
      <c r="ZA247" s="575"/>
      <c r="ZB247" s="575"/>
      <c r="ZC247" s="575"/>
      <c r="ZD247" s="575"/>
      <c r="ZE247" s="575"/>
      <c r="ZF247" s="575"/>
      <c r="ZG247" s="575"/>
      <c r="ZH247" s="575"/>
      <c r="ZI247" s="575"/>
      <c r="ZJ247" s="575"/>
      <c r="ZK247" s="575"/>
      <c r="ZL247" s="575"/>
      <c r="ZM247" s="575"/>
      <c r="ZN247" s="575"/>
      <c r="ZO247" s="575"/>
      <c r="ZP247" s="575"/>
      <c r="ZQ247" s="575"/>
      <c r="ZR247" s="575"/>
      <c r="ZS247" s="575"/>
      <c r="ZT247" s="575"/>
      <c r="ZU247" s="575"/>
      <c r="ZV247" s="575"/>
      <c r="ZW247" s="575"/>
      <c r="ZX247" s="575"/>
      <c r="ZY247" s="575"/>
      <c r="ZZ247" s="575"/>
      <c r="AAA247" s="575"/>
      <c r="AAB247" s="575"/>
      <c r="AAC247" s="575"/>
      <c r="AAD247" s="575"/>
      <c r="AAE247" s="575"/>
      <c r="AAF247" s="575"/>
      <c r="AAG247" s="575"/>
      <c r="AAH247" s="575"/>
      <c r="AAI247" s="575"/>
      <c r="AAJ247" s="575"/>
      <c r="AAK247" s="575"/>
      <c r="AAL247" s="575"/>
      <c r="AAM247" s="575"/>
      <c r="AAN247" s="575"/>
      <c r="AAO247" s="575"/>
      <c r="AAP247" s="575"/>
      <c r="AAQ247" s="575"/>
      <c r="AAR247" s="575"/>
      <c r="AAS247" s="575"/>
      <c r="AAT247" s="575"/>
      <c r="AAU247" s="575"/>
      <c r="AAV247" s="575"/>
      <c r="AAW247" s="575"/>
      <c r="AAX247" s="575"/>
      <c r="AAY247" s="575"/>
      <c r="AAZ247" s="575"/>
      <c r="ABA247" s="575"/>
      <c r="ABB247" s="575"/>
      <c r="ABC247" s="575"/>
      <c r="ABD247" s="575"/>
      <c r="ABE247" s="575"/>
      <c r="ABF247" s="575"/>
      <c r="ABG247" s="575"/>
      <c r="ABH247" s="575"/>
      <c r="ABI247" s="575"/>
      <c r="ABJ247" s="575"/>
      <c r="ABK247" s="575"/>
      <c r="ABL247" s="575"/>
      <c r="ABM247" s="575"/>
      <c r="ABN247" s="575"/>
      <c r="ABO247" s="575"/>
      <c r="ABP247" s="575"/>
      <c r="ABQ247" s="575"/>
      <c r="ABR247" s="575"/>
      <c r="ABS247" s="575"/>
      <c r="ABT247" s="575"/>
      <c r="ABU247" s="575"/>
      <c r="ABV247" s="575"/>
      <c r="ABW247" s="575"/>
      <c r="ABX247" s="575"/>
      <c r="ABY247" s="575"/>
      <c r="ABZ247" s="575"/>
      <c r="ACA247" s="575"/>
      <c r="ACB247" s="575"/>
      <c r="ACC247" s="575"/>
      <c r="ACD247" s="575"/>
      <c r="ACE247" s="575"/>
      <c r="ACF247" s="575"/>
      <c r="ACG247" s="575"/>
      <c r="ACH247" s="575"/>
      <c r="ACI247" s="575"/>
      <c r="ACJ247" s="575"/>
      <c r="ACK247" s="575"/>
      <c r="ACL247" s="575"/>
      <c r="ACM247" s="575"/>
      <c r="ACN247" s="575"/>
      <c r="ACO247" s="575"/>
      <c r="ACP247" s="575"/>
      <c r="ACQ247" s="575"/>
      <c r="ACR247" s="575"/>
      <c r="ACS247" s="575"/>
      <c r="ACT247" s="575"/>
      <c r="ACU247" s="575"/>
      <c r="ACV247" s="575"/>
      <c r="ACW247" s="575"/>
      <c r="ACX247" s="575"/>
      <c r="ACY247" s="575"/>
      <c r="ACZ247" s="575"/>
      <c r="ADA247" s="575"/>
      <c r="ADB247" s="575"/>
      <c r="ADC247" s="575"/>
      <c r="ADD247" s="575"/>
      <c r="ADE247" s="575"/>
      <c r="ADF247" s="575"/>
      <c r="ADG247" s="575"/>
      <c r="ADH247" s="575"/>
      <c r="ADI247" s="575"/>
      <c r="ADJ247" s="575"/>
      <c r="ADK247" s="575"/>
      <c r="ADL247" s="575"/>
      <c r="ADM247" s="575"/>
      <c r="ADN247" s="575"/>
      <c r="ADO247" s="575"/>
      <c r="ADP247" s="575"/>
      <c r="ADQ247" s="575"/>
      <c r="ADR247" s="575"/>
      <c r="ADS247" s="575"/>
      <c r="ADT247" s="575"/>
      <c r="ADU247" s="575"/>
      <c r="ADV247" s="575"/>
      <c r="ADW247" s="575"/>
      <c r="ADX247" s="575"/>
      <c r="ADY247" s="575"/>
      <c r="ADZ247" s="575"/>
      <c r="AEA247" s="575"/>
      <c r="AEB247" s="575"/>
      <c r="AEC247" s="575"/>
      <c r="AED247" s="575"/>
      <c r="AEE247" s="575"/>
      <c r="AEF247" s="575"/>
      <c r="AEG247" s="575"/>
      <c r="AEH247" s="575"/>
      <c r="AEI247" s="575"/>
      <c r="AEJ247" s="575"/>
      <c r="AEK247" s="575"/>
      <c r="AEL247" s="575"/>
      <c r="AEM247" s="575"/>
      <c r="AEN247" s="575"/>
      <c r="AEO247" s="575"/>
      <c r="AEP247" s="575"/>
      <c r="AEQ247" s="575"/>
      <c r="AER247" s="575"/>
      <c r="AES247" s="575"/>
      <c r="AET247" s="575"/>
      <c r="AEU247" s="575"/>
      <c r="AEV247" s="575"/>
      <c r="AEW247" s="575"/>
      <c r="AEX247" s="575"/>
      <c r="AEY247" s="575"/>
      <c r="AEZ247" s="575"/>
      <c r="AFA247" s="575"/>
      <c r="AFB247" s="575"/>
      <c r="AFC247" s="575"/>
      <c r="AFD247" s="575"/>
      <c r="AFE247" s="575"/>
      <c r="AFF247" s="575"/>
      <c r="AFG247" s="575"/>
      <c r="AFH247" s="575"/>
      <c r="AFI247" s="575"/>
      <c r="AFJ247" s="575"/>
      <c r="AFK247" s="575"/>
      <c r="AFL247" s="575"/>
      <c r="AFM247" s="575"/>
      <c r="AFN247" s="575"/>
      <c r="AFO247" s="575"/>
      <c r="AFP247" s="575"/>
      <c r="AFQ247" s="575"/>
      <c r="AFR247" s="575"/>
      <c r="AFS247" s="575"/>
      <c r="AFT247" s="575"/>
      <c r="AFU247" s="575"/>
      <c r="AFV247" s="575"/>
      <c r="AFW247" s="575"/>
      <c r="AFX247" s="575"/>
      <c r="AFY247" s="575"/>
      <c r="AFZ247" s="575"/>
      <c r="AGA247" s="575"/>
      <c r="AGB247" s="575"/>
      <c r="AGC247" s="575"/>
      <c r="AGD247" s="575"/>
      <c r="AGE247" s="575"/>
      <c r="AGF247" s="575"/>
      <c r="AGG247" s="575"/>
      <c r="AGH247" s="575"/>
      <c r="AGI247" s="575"/>
      <c r="AGJ247" s="575"/>
      <c r="AGK247" s="575"/>
      <c r="AGL247" s="575"/>
      <c r="AGM247" s="575"/>
      <c r="AGN247" s="575"/>
      <c r="AGO247" s="575"/>
      <c r="AGP247" s="575"/>
      <c r="AGQ247" s="575"/>
      <c r="AGR247" s="575"/>
      <c r="AGS247" s="575"/>
      <c r="AGT247" s="575"/>
      <c r="AGU247" s="575"/>
      <c r="AGV247" s="575"/>
      <c r="AGW247" s="575"/>
      <c r="AGX247" s="575"/>
      <c r="AGY247" s="575"/>
      <c r="AGZ247" s="575"/>
      <c r="AHA247" s="575"/>
      <c r="AHB247" s="575"/>
      <c r="AHC247" s="575"/>
      <c r="AHD247" s="575"/>
      <c r="AHE247" s="575"/>
      <c r="AHF247" s="575"/>
      <c r="AHG247" s="575"/>
      <c r="AHH247" s="575"/>
      <c r="AHI247" s="575"/>
      <c r="AHJ247" s="575"/>
      <c r="AHK247" s="575"/>
      <c r="AHL247" s="575"/>
      <c r="AHM247" s="575"/>
      <c r="AHN247" s="575"/>
      <c r="AHO247" s="575"/>
      <c r="AHP247" s="575"/>
      <c r="AHQ247" s="575"/>
      <c r="AHR247" s="575"/>
      <c r="AHS247" s="575"/>
      <c r="AHT247" s="575"/>
      <c r="AHU247" s="575"/>
      <c r="AHV247" s="575"/>
      <c r="AHW247" s="575"/>
      <c r="AHX247" s="575"/>
      <c r="AHY247" s="575"/>
      <c r="AHZ247" s="575"/>
      <c r="AIA247" s="575"/>
      <c r="AIB247" s="575"/>
      <c r="AIC247" s="575"/>
      <c r="AID247" s="575"/>
      <c r="AIE247" s="575"/>
      <c r="AIF247" s="575"/>
      <c r="AIG247" s="575"/>
      <c r="AIH247" s="575"/>
      <c r="AII247" s="575"/>
      <c r="AIJ247" s="575"/>
      <c r="AIK247" s="575"/>
      <c r="AIL247" s="575"/>
      <c r="AIM247" s="575"/>
      <c r="AIN247" s="575"/>
      <c r="AIO247" s="575"/>
      <c r="AIP247" s="575"/>
      <c r="AIQ247" s="575"/>
      <c r="AIR247" s="575"/>
      <c r="AIS247" s="575"/>
      <c r="AIT247" s="575"/>
      <c r="AIU247" s="575"/>
      <c r="AIV247" s="575"/>
      <c r="AIW247" s="575"/>
      <c r="AIX247" s="575"/>
      <c r="AIY247" s="575"/>
      <c r="AIZ247" s="575"/>
      <c r="AJA247" s="575"/>
      <c r="AJB247" s="575"/>
      <c r="AJC247" s="575"/>
      <c r="AJD247" s="575"/>
      <c r="AJE247" s="575"/>
      <c r="AJF247" s="575"/>
      <c r="AJG247" s="575"/>
      <c r="AJH247" s="575"/>
      <c r="AJI247" s="575"/>
      <c r="AJJ247" s="575"/>
      <c r="AJK247" s="575"/>
      <c r="AJL247" s="575"/>
      <c r="AJM247" s="575"/>
      <c r="AJN247" s="575"/>
      <c r="AJO247" s="575"/>
      <c r="AJP247" s="575"/>
      <c r="AJQ247" s="575"/>
      <c r="AJR247" s="575"/>
      <c r="AJS247" s="575"/>
      <c r="AJT247" s="575"/>
      <c r="AJU247" s="575"/>
      <c r="AJV247" s="575"/>
      <c r="AJW247" s="575"/>
      <c r="AJX247" s="575"/>
      <c r="AJY247" s="575"/>
      <c r="AJZ247" s="575"/>
      <c r="AKA247" s="575"/>
      <c r="AKB247" s="575"/>
      <c r="AKC247" s="575"/>
      <c r="AKD247" s="575"/>
      <c r="AKE247" s="575"/>
      <c r="AKF247" s="575"/>
      <c r="AKG247" s="575"/>
      <c r="AKH247" s="575"/>
      <c r="AKI247" s="575"/>
      <c r="AKJ247" s="575"/>
      <c r="AKK247" s="575"/>
      <c r="AKL247" s="575"/>
      <c r="AKM247" s="575"/>
      <c r="AKN247" s="575"/>
      <c r="AKO247" s="575"/>
      <c r="AKP247" s="575"/>
      <c r="AKQ247" s="575"/>
      <c r="AKR247" s="575"/>
      <c r="AKS247" s="575"/>
      <c r="AKT247" s="575"/>
      <c r="AKU247" s="575"/>
      <c r="AKV247" s="575"/>
      <c r="AKW247" s="575"/>
      <c r="AKX247" s="575"/>
      <c r="AKY247" s="575"/>
      <c r="AKZ247" s="575"/>
      <c r="ALA247" s="575"/>
      <c r="ALB247" s="575"/>
      <c r="ALC247" s="575"/>
      <c r="ALD247" s="575"/>
      <c r="ALE247" s="575"/>
      <c r="ALF247" s="575"/>
      <c r="ALG247" s="575"/>
      <c r="ALH247" s="575"/>
      <c r="ALI247" s="575"/>
      <c r="ALJ247" s="575"/>
      <c r="ALK247" s="575"/>
      <c r="ALL247" s="575"/>
      <c r="ALM247" s="575"/>
      <c r="ALN247" s="575"/>
      <c r="ALO247" s="575"/>
      <c r="ALP247" s="575"/>
      <c r="ALQ247" s="575"/>
      <c r="ALR247" s="575"/>
      <c r="ALS247" s="575"/>
      <c r="ALT247" s="575"/>
      <c r="ALU247" s="575"/>
      <c r="ALV247" s="575"/>
      <c r="ALW247" s="575"/>
      <c r="ALX247" s="575"/>
      <c r="ALY247" s="575"/>
      <c r="ALZ247" s="575"/>
      <c r="AMA247" s="575"/>
      <c r="AMB247" s="575"/>
      <c r="AMC247" s="575"/>
      <c r="AMD247" s="575"/>
      <c r="AME247" s="575"/>
      <c r="AMF247" s="575"/>
      <c r="AMG247" s="575"/>
      <c r="AMH247" s="575"/>
      <c r="AMI247" s="575"/>
      <c r="AMJ247" s="575"/>
      <c r="AMK247" s="575"/>
      <c r="AML247" s="575"/>
      <c r="AMM247" s="575"/>
      <c r="AMN247" s="575"/>
      <c r="AMO247" s="575"/>
      <c r="AMP247" s="575"/>
      <c r="AMQ247" s="575"/>
      <c r="AMR247" s="575"/>
      <c r="AMS247" s="575"/>
      <c r="AMT247" s="575"/>
      <c r="AMU247" s="575"/>
      <c r="AMV247" s="575"/>
      <c r="AMW247" s="575"/>
      <c r="AMX247" s="575"/>
      <c r="AMY247" s="575"/>
      <c r="AMZ247" s="575"/>
      <c r="ANA247" s="575"/>
      <c r="ANB247" s="575"/>
      <c r="ANC247" s="575"/>
      <c r="AND247" s="575"/>
      <c r="ANE247" s="575"/>
      <c r="ANF247" s="575"/>
      <c r="ANG247" s="575"/>
      <c r="ANH247" s="575"/>
      <c r="ANI247" s="575"/>
      <c r="ANJ247" s="575"/>
      <c r="ANK247" s="575"/>
      <c r="ANL247" s="575"/>
      <c r="ANM247" s="575"/>
      <c r="ANN247" s="575"/>
      <c r="ANO247" s="575"/>
      <c r="ANP247" s="575"/>
      <c r="ANQ247" s="575"/>
      <c r="ANR247" s="575"/>
      <c r="ANS247" s="575"/>
      <c r="ANT247" s="575"/>
      <c r="ANU247" s="575"/>
      <c r="ANV247" s="575"/>
      <c r="ANW247" s="575"/>
      <c r="ANX247" s="575"/>
      <c r="ANY247" s="575"/>
      <c r="ANZ247" s="575"/>
      <c r="AOA247" s="575"/>
      <c r="AOB247" s="575"/>
      <c r="AOC247" s="575"/>
      <c r="AOD247" s="575"/>
      <c r="AOE247" s="575"/>
      <c r="AOF247" s="575"/>
      <c r="AOG247" s="575"/>
      <c r="AOH247" s="575"/>
      <c r="AOI247" s="575"/>
      <c r="AOJ247" s="575"/>
      <c r="AOK247" s="575"/>
      <c r="AOL247" s="575"/>
      <c r="AOM247" s="575"/>
      <c r="AON247" s="575"/>
      <c r="AOO247" s="575"/>
      <c r="AOP247" s="575"/>
      <c r="AOQ247" s="575"/>
      <c r="AOR247" s="575"/>
      <c r="AOS247" s="575"/>
      <c r="AOT247" s="575"/>
      <c r="AOU247" s="575"/>
      <c r="AOV247" s="575"/>
      <c r="AOW247" s="575"/>
      <c r="AOX247" s="575"/>
      <c r="AOY247" s="575"/>
      <c r="AOZ247" s="575"/>
      <c r="APA247" s="575"/>
      <c r="APB247" s="575"/>
      <c r="APC247" s="575"/>
      <c r="APD247" s="575"/>
      <c r="APE247" s="575"/>
      <c r="APF247" s="575"/>
      <c r="APG247" s="575"/>
      <c r="APH247" s="575"/>
      <c r="API247" s="575"/>
      <c r="APJ247" s="575"/>
      <c r="APK247" s="575"/>
      <c r="APL247" s="575"/>
      <c r="APM247" s="575"/>
      <c r="APN247" s="575"/>
      <c r="APO247" s="575"/>
      <c r="APP247" s="575"/>
      <c r="APQ247" s="575"/>
      <c r="APR247" s="575"/>
      <c r="APS247" s="575"/>
      <c r="APT247" s="575"/>
      <c r="APU247" s="575"/>
      <c r="APV247" s="575"/>
      <c r="APW247" s="575"/>
      <c r="APX247" s="575"/>
      <c r="APY247" s="575"/>
      <c r="APZ247" s="575"/>
      <c r="AQA247" s="575"/>
      <c r="AQB247" s="575"/>
      <c r="AQC247" s="575"/>
      <c r="AQD247" s="575"/>
      <c r="AQE247" s="575"/>
      <c r="AQF247" s="575"/>
      <c r="AQG247" s="575"/>
      <c r="AQH247" s="575"/>
      <c r="AQI247" s="575"/>
      <c r="AQJ247" s="575"/>
      <c r="AQK247" s="575"/>
      <c r="AQL247" s="575"/>
      <c r="AQM247" s="575"/>
      <c r="AQN247" s="575"/>
      <c r="AQO247" s="575"/>
      <c r="AQP247" s="575"/>
      <c r="AQQ247" s="575"/>
      <c r="AQR247" s="575"/>
      <c r="AQS247" s="575"/>
      <c r="AQT247" s="575"/>
      <c r="AQU247" s="575"/>
      <c r="AQV247" s="575"/>
      <c r="AQW247" s="575"/>
      <c r="AQX247" s="575"/>
      <c r="AQY247" s="575"/>
      <c r="AQZ247" s="575"/>
      <c r="ARA247" s="575"/>
      <c r="ARB247" s="575"/>
      <c r="ARC247" s="575"/>
      <c r="ARD247" s="575"/>
      <c r="ARE247" s="575"/>
      <c r="ARF247" s="575"/>
      <c r="ARG247" s="575"/>
      <c r="ARH247" s="575"/>
      <c r="ARI247" s="575"/>
      <c r="ARJ247" s="575"/>
      <c r="ARK247" s="575"/>
      <c r="ARL247" s="575"/>
      <c r="ARM247" s="575"/>
      <c r="ARN247" s="575"/>
      <c r="ARO247" s="575"/>
      <c r="ARP247" s="575"/>
      <c r="ARQ247" s="575"/>
      <c r="ARR247" s="575"/>
      <c r="ARS247" s="575"/>
      <c r="ART247" s="575"/>
      <c r="ARU247" s="575"/>
      <c r="ARV247" s="575"/>
      <c r="ARW247" s="575"/>
      <c r="ARX247" s="575"/>
      <c r="ARY247" s="575"/>
      <c r="ARZ247" s="575"/>
      <c r="ASA247" s="575"/>
      <c r="ASB247" s="575"/>
      <c r="ASC247" s="575"/>
      <c r="ASD247" s="575"/>
      <c r="ASE247" s="575"/>
      <c r="ASF247" s="575"/>
      <c r="ASG247" s="575"/>
      <c r="ASH247" s="575"/>
      <c r="ASI247" s="575"/>
      <c r="ASJ247" s="575"/>
      <c r="ASK247" s="575"/>
      <c r="ASL247" s="575"/>
      <c r="ASM247" s="575"/>
      <c r="ASN247" s="575"/>
      <c r="ASO247" s="575"/>
      <c r="ASP247" s="575"/>
      <c r="ASQ247" s="575"/>
      <c r="ASR247" s="575"/>
      <c r="ASS247" s="575"/>
      <c r="AST247" s="575"/>
      <c r="ASU247" s="575"/>
      <c r="ASV247" s="575"/>
      <c r="ASW247" s="575"/>
      <c r="ASX247" s="575"/>
      <c r="ASY247" s="575"/>
      <c r="ASZ247" s="575"/>
      <c r="ATA247" s="575"/>
      <c r="ATB247" s="575"/>
      <c r="ATC247" s="575"/>
      <c r="ATD247" s="575"/>
      <c r="ATE247" s="575"/>
      <c r="ATF247" s="575"/>
      <c r="ATG247" s="575"/>
      <c r="ATH247" s="575"/>
      <c r="ATI247" s="575"/>
      <c r="ATJ247" s="575"/>
      <c r="ATK247" s="575"/>
      <c r="ATL247" s="575"/>
      <c r="ATM247" s="575"/>
      <c r="ATN247" s="575"/>
      <c r="ATO247" s="575"/>
      <c r="ATP247" s="575"/>
      <c r="ATQ247" s="575"/>
      <c r="ATR247" s="575"/>
      <c r="ATS247" s="575"/>
      <c r="ATT247" s="575"/>
      <c r="ATU247" s="575"/>
      <c r="ATV247" s="575"/>
      <c r="ATW247" s="575"/>
      <c r="ATX247" s="575"/>
      <c r="ATY247" s="575"/>
      <c r="ATZ247" s="575"/>
      <c r="AUA247" s="575"/>
      <c r="AUB247" s="575"/>
      <c r="AUC247" s="575"/>
      <c r="AUD247" s="575"/>
      <c r="AUE247" s="575"/>
      <c r="AUF247" s="575"/>
      <c r="AUG247" s="575"/>
      <c r="AUH247" s="575"/>
      <c r="AUI247" s="575"/>
      <c r="AUJ247" s="575"/>
      <c r="AUK247" s="575"/>
      <c r="AUL247" s="575"/>
      <c r="AUM247" s="575"/>
      <c r="AUN247" s="575"/>
      <c r="AUO247" s="575"/>
      <c r="AUP247" s="575"/>
      <c r="AUQ247" s="575"/>
      <c r="AUR247" s="575"/>
      <c r="AUS247" s="575"/>
      <c r="AUT247" s="575"/>
      <c r="AUU247" s="575"/>
      <c r="AUV247" s="575"/>
      <c r="AUW247" s="575"/>
      <c r="AUX247" s="575"/>
      <c r="AUY247" s="575"/>
      <c r="AUZ247" s="575"/>
      <c r="AVA247" s="575"/>
      <c r="AVB247" s="575"/>
      <c r="AVC247" s="575"/>
      <c r="AVD247" s="575"/>
      <c r="AVE247" s="575"/>
      <c r="AVF247" s="575"/>
      <c r="AVG247" s="575"/>
      <c r="AVH247" s="575"/>
      <c r="AVI247" s="575"/>
      <c r="AVJ247" s="575"/>
      <c r="AVK247" s="575"/>
      <c r="AVL247" s="575"/>
      <c r="AVM247" s="575"/>
      <c r="AVN247" s="575"/>
      <c r="AVO247" s="575"/>
      <c r="AVP247" s="575"/>
      <c r="AVQ247" s="575"/>
      <c r="AVR247" s="575"/>
      <c r="AVS247" s="575"/>
      <c r="AVT247" s="575"/>
      <c r="AVU247" s="575"/>
      <c r="AVV247" s="575"/>
      <c r="AVW247" s="575"/>
      <c r="AVX247" s="575"/>
      <c r="AVY247" s="575"/>
      <c r="AVZ247" s="575"/>
      <c r="AWA247" s="575"/>
      <c r="AWB247" s="575"/>
      <c r="AWC247" s="575"/>
      <c r="AWD247" s="575"/>
      <c r="AWE247" s="575"/>
      <c r="AWF247" s="575"/>
      <c r="AWG247" s="575"/>
      <c r="AWH247" s="575"/>
      <c r="AWI247" s="575"/>
      <c r="AWJ247" s="575"/>
      <c r="AWK247" s="575"/>
      <c r="AWL247" s="575"/>
      <c r="AWM247" s="575"/>
      <c r="AWN247" s="575"/>
      <c r="AWO247" s="575"/>
      <c r="AWP247" s="575"/>
      <c r="AWQ247" s="575"/>
      <c r="AWR247" s="575"/>
      <c r="AWS247" s="575"/>
      <c r="AWT247" s="575"/>
      <c r="AWU247" s="575"/>
      <c r="AWV247" s="575"/>
      <c r="AWW247" s="575"/>
      <c r="AWX247" s="575"/>
      <c r="AWY247" s="575"/>
      <c r="AWZ247" s="575"/>
      <c r="AXA247" s="575"/>
      <c r="AXB247" s="575"/>
      <c r="AXC247" s="575"/>
      <c r="AXD247" s="575"/>
      <c r="AXE247" s="575"/>
      <c r="AXF247" s="575"/>
      <c r="AXG247" s="575"/>
      <c r="AXH247" s="575"/>
      <c r="AXI247" s="575"/>
      <c r="AXJ247" s="575"/>
      <c r="AXK247" s="575"/>
      <c r="AXL247" s="575"/>
      <c r="AXM247" s="575"/>
      <c r="AXN247" s="575"/>
      <c r="AXO247" s="575"/>
      <c r="AXP247" s="575"/>
      <c r="AXQ247" s="575"/>
      <c r="AXR247" s="575"/>
      <c r="AXS247" s="575"/>
      <c r="AXT247" s="575"/>
      <c r="AXU247" s="575"/>
      <c r="AXV247" s="575"/>
      <c r="AXW247" s="575"/>
      <c r="AXX247" s="575"/>
      <c r="AXY247" s="575"/>
      <c r="AXZ247" s="575"/>
      <c r="AYA247" s="575"/>
      <c r="AYB247" s="575"/>
      <c r="AYC247" s="575"/>
      <c r="AYD247" s="575"/>
      <c r="AYE247" s="575"/>
      <c r="AYF247" s="575"/>
      <c r="AYG247" s="575"/>
      <c r="AYH247" s="575"/>
      <c r="AYI247" s="575"/>
      <c r="AYJ247" s="575"/>
      <c r="AYK247" s="575"/>
      <c r="AYL247" s="575"/>
      <c r="AYM247" s="575"/>
      <c r="AYN247" s="575"/>
      <c r="AYO247" s="575"/>
      <c r="AYP247" s="575"/>
      <c r="AYQ247" s="575"/>
      <c r="AYR247" s="575"/>
      <c r="AYS247" s="575"/>
      <c r="AYT247" s="575"/>
      <c r="AYU247" s="575"/>
      <c r="AYV247" s="575"/>
      <c r="AYW247" s="575"/>
      <c r="AYX247" s="575"/>
      <c r="AYY247" s="575"/>
      <c r="AYZ247" s="575"/>
      <c r="AZA247" s="575"/>
      <c r="AZB247" s="575"/>
      <c r="AZC247" s="575"/>
      <c r="AZD247" s="575"/>
      <c r="AZE247" s="575"/>
      <c r="AZF247" s="575"/>
      <c r="AZG247" s="575"/>
      <c r="AZH247" s="575"/>
      <c r="AZI247" s="575"/>
      <c r="AZJ247" s="575"/>
      <c r="AZK247" s="575"/>
      <c r="AZL247" s="575"/>
      <c r="AZM247" s="575"/>
      <c r="AZN247" s="575"/>
      <c r="AZO247" s="575"/>
      <c r="AZP247" s="575"/>
      <c r="AZQ247" s="575"/>
      <c r="AZR247" s="575"/>
      <c r="AZS247" s="575"/>
      <c r="AZT247" s="575"/>
      <c r="AZU247" s="575"/>
      <c r="AZV247" s="575"/>
      <c r="AZW247" s="575"/>
      <c r="AZX247" s="575"/>
      <c r="AZY247" s="575"/>
      <c r="AZZ247" s="575"/>
      <c r="BAA247" s="575"/>
      <c r="BAB247" s="575"/>
      <c r="BAC247" s="575"/>
      <c r="BAD247" s="575"/>
      <c r="BAE247" s="575"/>
      <c r="BAF247" s="575"/>
      <c r="BAG247" s="575"/>
      <c r="BAH247" s="575"/>
      <c r="BAI247" s="575"/>
      <c r="BAJ247" s="575"/>
      <c r="BAK247" s="575"/>
      <c r="BAL247" s="575"/>
      <c r="BAM247" s="575"/>
      <c r="BAN247" s="575"/>
      <c r="BAO247" s="575"/>
      <c r="BAP247" s="575"/>
      <c r="BAQ247" s="575"/>
      <c r="BAR247" s="575"/>
      <c r="BAS247" s="575"/>
      <c r="BAT247" s="575"/>
      <c r="BAU247" s="575"/>
      <c r="BAV247" s="575"/>
      <c r="BAW247" s="575"/>
      <c r="BAX247" s="575"/>
      <c r="BAY247" s="575"/>
      <c r="BAZ247" s="575"/>
      <c r="BBA247" s="575"/>
      <c r="BBB247" s="575"/>
      <c r="BBC247" s="575"/>
      <c r="BBD247" s="575"/>
      <c r="BBE247" s="575"/>
      <c r="BBF247" s="575"/>
      <c r="BBG247" s="575"/>
      <c r="BBH247" s="575"/>
      <c r="BBI247" s="575"/>
      <c r="BBJ247" s="575"/>
      <c r="BBK247" s="575"/>
      <c r="BBL247" s="575"/>
      <c r="BBM247" s="575"/>
      <c r="BBN247" s="575"/>
      <c r="BBO247" s="575"/>
      <c r="BBP247" s="575"/>
      <c r="BBQ247" s="575"/>
      <c r="BBR247" s="575"/>
      <c r="BBS247" s="575"/>
      <c r="BBT247" s="575"/>
      <c r="BBU247" s="575"/>
      <c r="BBV247" s="575"/>
      <c r="BBW247" s="575"/>
      <c r="BBX247" s="575"/>
      <c r="BBY247" s="575"/>
      <c r="BBZ247" s="575"/>
      <c r="BCA247" s="575"/>
      <c r="BCB247" s="575"/>
      <c r="BCC247" s="575"/>
      <c r="BCD247" s="575"/>
      <c r="BCE247" s="575"/>
      <c r="BCF247" s="575"/>
      <c r="BCG247" s="575"/>
      <c r="BCH247" s="575"/>
      <c r="BCI247" s="575"/>
      <c r="BCJ247" s="575"/>
      <c r="BCK247" s="575"/>
      <c r="BCL247" s="575"/>
      <c r="BCM247" s="575"/>
      <c r="BCN247" s="575"/>
      <c r="BCO247" s="575"/>
      <c r="BCP247" s="575"/>
      <c r="BCQ247" s="575"/>
      <c r="BCR247" s="575"/>
      <c r="BCS247" s="575"/>
      <c r="BCT247" s="575"/>
      <c r="BCU247" s="575"/>
      <c r="BCV247" s="575"/>
      <c r="BCW247" s="575"/>
      <c r="BCX247" s="575"/>
      <c r="BCY247" s="575"/>
      <c r="BCZ247" s="575"/>
      <c r="BDA247" s="575"/>
      <c r="BDB247" s="575"/>
      <c r="BDC247" s="575"/>
      <c r="BDD247" s="575"/>
      <c r="BDE247" s="575"/>
      <c r="BDF247" s="575"/>
      <c r="BDG247" s="575"/>
      <c r="BDH247" s="575"/>
      <c r="BDI247" s="575"/>
      <c r="BDJ247" s="575"/>
      <c r="BDK247" s="575"/>
      <c r="BDL247" s="575"/>
      <c r="BDM247" s="575"/>
      <c r="BDN247" s="575"/>
      <c r="BDO247" s="575"/>
      <c r="BDP247" s="575"/>
      <c r="BDQ247" s="575"/>
      <c r="BDR247" s="575"/>
      <c r="BDS247" s="575"/>
      <c r="BDT247" s="575"/>
    </row>
    <row r="248" spans="1:1476" s="632" customFormat="1" x14ac:dyDescent="0.25">
      <c r="A248" s="608">
        <v>5841</v>
      </c>
      <c r="B248" s="609" t="s">
        <v>12</v>
      </c>
      <c r="C248" s="610">
        <v>5668849.0199999996</v>
      </c>
      <c r="D248" s="610">
        <v>1769105.47</v>
      </c>
      <c r="E248" s="610"/>
      <c r="F248" s="611"/>
      <c r="G248" s="610">
        <v>253139.5</v>
      </c>
      <c r="H248" s="610">
        <v>23293.55</v>
      </c>
      <c r="I248" s="610">
        <v>853965.84</v>
      </c>
      <c r="J248" s="610">
        <v>417082.16</v>
      </c>
      <c r="K248" s="610">
        <v>12287.95</v>
      </c>
      <c r="L248" s="610">
        <v>1574359.12</v>
      </c>
      <c r="M248" s="434">
        <f t="shared" si="12"/>
        <v>10572082.609999999</v>
      </c>
      <c r="N248" s="612">
        <v>7540.8</v>
      </c>
      <c r="O248" s="612">
        <v>437147.6</v>
      </c>
      <c r="P248" s="612">
        <v>1109957.5</v>
      </c>
      <c r="Q248" s="612">
        <v>78734.740000000005</v>
      </c>
      <c r="R248" s="612">
        <v>682559.7</v>
      </c>
      <c r="S248" s="610">
        <v>28888.67</v>
      </c>
      <c r="T248" s="543">
        <f t="shared" si="13"/>
        <v>12916911.619999999</v>
      </c>
      <c r="U248" s="575">
        <v>-45201.77</v>
      </c>
      <c r="V248" s="612"/>
      <c r="W248" s="612">
        <v>-17655.37</v>
      </c>
      <c r="X248" s="624">
        <v>81.5</v>
      </c>
      <c r="Y248" s="631">
        <v>1.5</v>
      </c>
      <c r="Z248" s="628">
        <f>VLOOKUP(A248,'[2]2022 toutes communes'!$B$9:$D$317,3,FALSE)</f>
        <v>3568</v>
      </c>
      <c r="AA248" s="617"/>
      <c r="AB248" s="618">
        <v>536411</v>
      </c>
      <c r="AC248" s="547">
        <f>AB248/VPI!R248</f>
        <v>4.3318693746814265</v>
      </c>
      <c r="AD248" s="548">
        <f t="shared" si="14"/>
        <v>2385387</v>
      </c>
      <c r="AE248" s="547">
        <f>AD248/VPI!R248</f>
        <v>19.263558898052434</v>
      </c>
      <c r="AF248" s="618">
        <v>2921798</v>
      </c>
      <c r="AG248" s="618">
        <v>435798</v>
      </c>
      <c r="AH248" s="618">
        <v>474550</v>
      </c>
      <c r="AI248" s="637"/>
      <c r="AJ248" s="628">
        <v>16791</v>
      </c>
      <c r="AK248" s="547">
        <f>AJ248/VPI!R248</f>
        <v>0.13559829807792129</v>
      </c>
      <c r="AL248" s="548">
        <f t="shared" si="15"/>
        <v>45502</v>
      </c>
      <c r="AM248" s="547">
        <f>AL248/VPI!R248</f>
        <v>0.36745838598901637</v>
      </c>
      <c r="AN248" s="628">
        <v>62293</v>
      </c>
      <c r="AO248" s="637"/>
      <c r="AP248" s="629">
        <v>6.385520132027378</v>
      </c>
      <c r="AQ248" s="575"/>
      <c r="AR248" s="630">
        <v>0</v>
      </c>
      <c r="AS248" s="575"/>
      <c r="AT248" s="575"/>
      <c r="AU248" s="575"/>
      <c r="AV248" s="575"/>
      <c r="AW248" s="575"/>
      <c r="AX248" s="575"/>
      <c r="AY248" s="575"/>
      <c r="AZ248" s="575"/>
      <c r="BA248" s="575"/>
      <c r="BB248" s="575"/>
      <c r="BC248" s="575"/>
      <c r="BD248" s="575"/>
      <c r="BE248" s="575"/>
      <c r="BF248" s="575"/>
      <c r="BG248" s="575"/>
      <c r="BH248" s="575"/>
      <c r="BI248" s="575"/>
      <c r="BJ248" s="575"/>
      <c r="BK248" s="575"/>
      <c r="BL248" s="575"/>
      <c r="BM248" s="575"/>
      <c r="BN248" s="575"/>
      <c r="BO248" s="575"/>
      <c r="BP248" s="575"/>
      <c r="BQ248" s="575"/>
      <c r="BR248" s="575"/>
      <c r="BS248" s="575"/>
      <c r="BT248" s="575"/>
      <c r="BU248" s="575"/>
      <c r="BV248" s="575"/>
      <c r="BW248" s="575"/>
      <c r="BX248" s="575"/>
      <c r="BY248" s="575"/>
      <c r="BZ248" s="575"/>
      <c r="CA248" s="575"/>
      <c r="CB248" s="575"/>
      <c r="CC248" s="575"/>
      <c r="CD248" s="575"/>
      <c r="CE248" s="575"/>
      <c r="CF248" s="575"/>
      <c r="CG248" s="575"/>
      <c r="CH248" s="575"/>
      <c r="CI248" s="575"/>
      <c r="CJ248" s="575"/>
      <c r="CK248" s="575"/>
      <c r="CL248" s="575"/>
      <c r="CM248" s="575"/>
      <c r="CN248" s="575"/>
      <c r="CO248" s="575"/>
      <c r="CP248" s="575"/>
      <c r="CQ248" s="575"/>
      <c r="CR248" s="575"/>
      <c r="CS248" s="575"/>
      <c r="CT248" s="575"/>
      <c r="CU248" s="575"/>
      <c r="CV248" s="575"/>
      <c r="CW248" s="575"/>
      <c r="CX248" s="575"/>
      <c r="CY248" s="575"/>
      <c r="CZ248" s="575"/>
      <c r="DA248" s="575"/>
      <c r="DB248" s="575"/>
      <c r="DC248" s="575"/>
      <c r="DD248" s="575"/>
      <c r="DE248" s="575"/>
      <c r="DF248" s="575"/>
      <c r="DG248" s="575"/>
      <c r="DH248" s="575"/>
      <c r="DI248" s="575"/>
      <c r="DJ248" s="575"/>
      <c r="DK248" s="575"/>
      <c r="DL248" s="575"/>
      <c r="DM248" s="575"/>
      <c r="DN248" s="575"/>
      <c r="DO248" s="575"/>
      <c r="DP248" s="575"/>
      <c r="DQ248" s="575"/>
      <c r="DR248" s="575"/>
      <c r="DS248" s="575"/>
      <c r="DT248" s="575"/>
      <c r="DU248" s="575"/>
      <c r="DV248" s="575"/>
      <c r="DW248" s="575"/>
      <c r="DX248" s="575"/>
      <c r="DY248" s="575"/>
      <c r="DZ248" s="575"/>
      <c r="EA248" s="575"/>
      <c r="EB248" s="575"/>
      <c r="EC248" s="575"/>
      <c r="ED248" s="575"/>
      <c r="EE248" s="575"/>
      <c r="EF248" s="575"/>
      <c r="EG248" s="575"/>
      <c r="EH248" s="575"/>
      <c r="EI248" s="575"/>
      <c r="EJ248" s="575"/>
      <c r="EK248" s="575"/>
      <c r="EL248" s="575"/>
      <c r="EM248" s="575"/>
      <c r="EN248" s="575"/>
      <c r="EO248" s="575"/>
      <c r="EP248" s="575"/>
      <c r="EQ248" s="575"/>
      <c r="ER248" s="575"/>
      <c r="ES248" s="575"/>
      <c r="ET248" s="575"/>
      <c r="EU248" s="575"/>
      <c r="EV248" s="575"/>
      <c r="EW248" s="575"/>
      <c r="EX248" s="575"/>
      <c r="EY248" s="575"/>
      <c r="EZ248" s="575"/>
      <c r="FA248" s="575"/>
      <c r="FB248" s="575"/>
      <c r="FC248" s="575"/>
      <c r="FD248" s="575"/>
      <c r="FE248" s="575"/>
      <c r="FF248" s="575"/>
      <c r="FG248" s="575"/>
      <c r="FH248" s="575"/>
      <c r="FI248" s="575"/>
      <c r="FJ248" s="575"/>
      <c r="FK248" s="575"/>
      <c r="FL248" s="575"/>
      <c r="FM248" s="575"/>
      <c r="FN248" s="575"/>
      <c r="FO248" s="575"/>
      <c r="FP248" s="575"/>
      <c r="FQ248" s="575"/>
      <c r="FR248" s="575"/>
      <c r="FS248" s="575"/>
      <c r="FT248" s="575"/>
      <c r="FU248" s="575"/>
      <c r="FV248" s="575"/>
      <c r="FW248" s="575"/>
      <c r="FX248" s="575"/>
      <c r="FY248" s="575"/>
      <c r="FZ248" s="575"/>
      <c r="GA248" s="575"/>
      <c r="GB248" s="575"/>
      <c r="GC248" s="575"/>
      <c r="GD248" s="575"/>
      <c r="GE248" s="575"/>
      <c r="GF248" s="575"/>
      <c r="GG248" s="575"/>
      <c r="GH248" s="575"/>
      <c r="GI248" s="575"/>
      <c r="GJ248" s="575"/>
      <c r="GK248" s="575"/>
      <c r="GL248" s="575"/>
      <c r="GM248" s="575"/>
      <c r="GN248" s="575"/>
      <c r="GO248" s="575"/>
      <c r="GP248" s="575"/>
      <c r="GQ248" s="575"/>
      <c r="GR248" s="575"/>
      <c r="GS248" s="575"/>
      <c r="GT248" s="575"/>
      <c r="GU248" s="575"/>
      <c r="GV248" s="575"/>
      <c r="GW248" s="575"/>
      <c r="GX248" s="575"/>
      <c r="GY248" s="575"/>
      <c r="GZ248" s="575"/>
      <c r="HA248" s="575"/>
      <c r="HB248" s="575"/>
      <c r="HC248" s="575"/>
      <c r="HD248" s="575"/>
      <c r="HE248" s="575"/>
      <c r="HF248" s="575"/>
      <c r="HG248" s="575"/>
      <c r="HH248" s="575"/>
      <c r="HI248" s="575"/>
      <c r="HJ248" s="575"/>
      <c r="HK248" s="575"/>
      <c r="HL248" s="575"/>
      <c r="HM248" s="575"/>
      <c r="HN248" s="575"/>
      <c r="HO248" s="575"/>
      <c r="HP248" s="575"/>
      <c r="HQ248" s="575"/>
      <c r="HR248" s="575"/>
      <c r="HS248" s="575"/>
      <c r="HT248" s="575"/>
      <c r="HU248" s="575"/>
      <c r="HV248" s="575"/>
      <c r="HW248" s="575"/>
      <c r="HX248" s="575"/>
      <c r="HY248" s="575"/>
      <c r="HZ248" s="575"/>
      <c r="IA248" s="575"/>
      <c r="IB248" s="575"/>
      <c r="IC248" s="575"/>
      <c r="ID248" s="575"/>
      <c r="IE248" s="575"/>
      <c r="IF248" s="575"/>
      <c r="IG248" s="575"/>
      <c r="IH248" s="575"/>
      <c r="II248" s="575"/>
      <c r="IJ248" s="575"/>
      <c r="IK248" s="575"/>
      <c r="IL248" s="575"/>
      <c r="IM248" s="575"/>
      <c r="IN248" s="575"/>
      <c r="IO248" s="575"/>
      <c r="IP248" s="575"/>
      <c r="IQ248" s="575"/>
      <c r="IR248" s="575"/>
      <c r="IS248" s="575"/>
      <c r="IT248" s="575"/>
      <c r="IU248" s="575"/>
      <c r="IV248" s="575"/>
      <c r="IW248" s="575"/>
      <c r="IX248" s="575"/>
      <c r="IY248" s="575"/>
      <c r="IZ248" s="575"/>
      <c r="JA248" s="575"/>
      <c r="JB248" s="575"/>
      <c r="JC248" s="575"/>
      <c r="JD248" s="575"/>
      <c r="JE248" s="575"/>
      <c r="JF248" s="575"/>
      <c r="JG248" s="575"/>
      <c r="JH248" s="575"/>
      <c r="JI248" s="575"/>
      <c r="JJ248" s="575"/>
      <c r="JK248" s="575"/>
      <c r="JL248" s="575"/>
      <c r="JM248" s="575"/>
      <c r="JN248" s="575"/>
      <c r="JO248" s="575"/>
      <c r="JP248" s="575"/>
      <c r="JQ248" s="575"/>
      <c r="JR248" s="575"/>
      <c r="JS248" s="575"/>
      <c r="JT248" s="575"/>
      <c r="JU248" s="575"/>
      <c r="JV248" s="575"/>
      <c r="JW248" s="575"/>
      <c r="JX248" s="575"/>
      <c r="JY248" s="575"/>
      <c r="JZ248" s="575"/>
      <c r="KA248" s="575"/>
      <c r="KB248" s="575"/>
      <c r="KC248" s="575"/>
      <c r="KD248" s="575"/>
      <c r="KE248" s="575"/>
      <c r="KF248" s="575"/>
      <c r="KG248" s="575"/>
      <c r="KH248" s="575"/>
      <c r="KI248" s="575"/>
      <c r="KJ248" s="575"/>
      <c r="KK248" s="575"/>
      <c r="KL248" s="575"/>
      <c r="KM248" s="575"/>
      <c r="KN248" s="575"/>
      <c r="KO248" s="575"/>
      <c r="KP248" s="575"/>
      <c r="KQ248" s="575"/>
      <c r="KR248" s="575"/>
      <c r="KS248" s="575"/>
      <c r="KT248" s="575"/>
      <c r="KU248" s="575"/>
      <c r="KV248" s="575"/>
      <c r="KW248" s="575"/>
      <c r="KX248" s="575"/>
      <c r="KY248" s="575"/>
      <c r="KZ248" s="575"/>
      <c r="LA248" s="575"/>
      <c r="LB248" s="575"/>
      <c r="LC248" s="575"/>
      <c r="LD248" s="575"/>
      <c r="LE248" s="575"/>
      <c r="LF248" s="575"/>
      <c r="LG248" s="575"/>
      <c r="LH248" s="575"/>
      <c r="LI248" s="575"/>
      <c r="LJ248" s="575"/>
      <c r="LK248" s="575"/>
      <c r="LL248" s="575"/>
      <c r="LM248" s="575"/>
      <c r="LN248" s="575"/>
      <c r="LO248" s="575"/>
      <c r="LP248" s="575"/>
      <c r="LQ248" s="575"/>
      <c r="LR248" s="575"/>
      <c r="LS248" s="575"/>
      <c r="LT248" s="575"/>
      <c r="LU248" s="575"/>
      <c r="LV248" s="575"/>
      <c r="LW248" s="575"/>
      <c r="LX248" s="575"/>
      <c r="LY248" s="575"/>
      <c r="LZ248" s="575"/>
      <c r="MA248" s="575"/>
      <c r="MB248" s="575"/>
      <c r="MC248" s="575"/>
      <c r="MD248" s="575"/>
      <c r="ME248" s="575"/>
      <c r="MF248" s="575"/>
      <c r="MG248" s="575"/>
      <c r="MH248" s="575"/>
      <c r="MI248" s="575"/>
      <c r="MJ248" s="575"/>
      <c r="MK248" s="575"/>
      <c r="ML248" s="575"/>
      <c r="MM248" s="575"/>
      <c r="MN248" s="575"/>
      <c r="MO248" s="575"/>
      <c r="MP248" s="575"/>
      <c r="MQ248" s="575"/>
      <c r="MR248" s="575"/>
      <c r="MS248" s="575"/>
      <c r="MT248" s="575"/>
      <c r="MU248" s="575"/>
      <c r="MV248" s="575"/>
      <c r="MW248" s="575"/>
      <c r="MX248" s="575"/>
      <c r="MY248" s="575"/>
      <c r="MZ248" s="575"/>
      <c r="NA248" s="575"/>
      <c r="NB248" s="575"/>
      <c r="NC248" s="575"/>
      <c r="ND248" s="575"/>
      <c r="NE248" s="575"/>
      <c r="NF248" s="575"/>
      <c r="NG248" s="575"/>
      <c r="NH248" s="575"/>
      <c r="NI248" s="575"/>
      <c r="NJ248" s="575"/>
      <c r="NK248" s="575"/>
      <c r="NL248" s="575"/>
      <c r="NM248" s="575"/>
      <c r="NN248" s="575"/>
      <c r="NO248" s="575"/>
      <c r="NP248" s="575"/>
      <c r="NQ248" s="575"/>
      <c r="NR248" s="575"/>
      <c r="NS248" s="575"/>
      <c r="NT248" s="575"/>
      <c r="NU248" s="575"/>
      <c r="NV248" s="575"/>
      <c r="NW248" s="575"/>
      <c r="NX248" s="575"/>
      <c r="NY248" s="575"/>
      <c r="NZ248" s="575"/>
      <c r="OA248" s="575"/>
      <c r="OB248" s="575"/>
      <c r="OC248" s="575"/>
      <c r="OD248" s="575"/>
      <c r="OE248" s="575"/>
      <c r="OF248" s="575"/>
      <c r="OG248" s="575"/>
      <c r="OH248" s="575"/>
      <c r="OI248" s="575"/>
      <c r="OJ248" s="575"/>
      <c r="OK248" s="575"/>
      <c r="OL248" s="575"/>
      <c r="OM248" s="575"/>
      <c r="ON248" s="575"/>
      <c r="OO248" s="575"/>
      <c r="OP248" s="575"/>
      <c r="OQ248" s="575"/>
      <c r="OR248" s="575"/>
      <c r="OS248" s="575"/>
      <c r="OT248" s="575"/>
      <c r="OU248" s="575"/>
      <c r="OV248" s="575"/>
      <c r="OW248" s="575"/>
      <c r="OX248" s="575"/>
      <c r="OY248" s="575"/>
      <c r="OZ248" s="575"/>
      <c r="PA248" s="575"/>
      <c r="PB248" s="575"/>
      <c r="PC248" s="575"/>
      <c r="PD248" s="575"/>
      <c r="PE248" s="575"/>
      <c r="PF248" s="575"/>
      <c r="PG248" s="575"/>
      <c r="PH248" s="575"/>
      <c r="PI248" s="575"/>
      <c r="PJ248" s="575"/>
      <c r="PK248" s="575"/>
      <c r="PL248" s="575"/>
      <c r="PM248" s="575"/>
      <c r="PN248" s="575"/>
      <c r="PO248" s="575"/>
      <c r="PP248" s="575"/>
      <c r="PQ248" s="575"/>
      <c r="PR248" s="575"/>
      <c r="PS248" s="575"/>
      <c r="PT248" s="575"/>
      <c r="PU248" s="575"/>
      <c r="PV248" s="575"/>
      <c r="PW248" s="575"/>
      <c r="PX248" s="575"/>
      <c r="PY248" s="575"/>
      <c r="PZ248" s="575"/>
      <c r="QA248" s="575"/>
      <c r="QB248" s="575"/>
      <c r="QC248" s="575"/>
      <c r="QD248" s="575"/>
      <c r="QE248" s="575"/>
      <c r="QF248" s="575"/>
      <c r="QG248" s="575"/>
      <c r="QH248" s="575"/>
      <c r="QI248" s="575"/>
      <c r="QJ248" s="575"/>
      <c r="QK248" s="575"/>
      <c r="QL248" s="575"/>
      <c r="QM248" s="575"/>
      <c r="QN248" s="575"/>
      <c r="QO248" s="575"/>
      <c r="QP248" s="575"/>
      <c r="QQ248" s="575"/>
      <c r="QR248" s="575"/>
      <c r="QS248" s="575"/>
      <c r="QT248" s="575"/>
      <c r="QU248" s="575"/>
      <c r="QV248" s="575"/>
      <c r="QW248" s="575"/>
      <c r="QX248" s="575"/>
      <c r="QY248" s="575"/>
      <c r="QZ248" s="575"/>
      <c r="RA248" s="575"/>
      <c r="RB248" s="575"/>
      <c r="RC248" s="575"/>
      <c r="RD248" s="575"/>
      <c r="RE248" s="575"/>
      <c r="RF248" s="575"/>
      <c r="RG248" s="575"/>
      <c r="RH248" s="575"/>
      <c r="RI248" s="575"/>
      <c r="RJ248" s="575"/>
      <c r="RK248" s="575"/>
      <c r="RL248" s="575"/>
      <c r="RM248" s="575"/>
      <c r="RN248" s="575"/>
      <c r="RO248" s="575"/>
      <c r="RP248" s="575"/>
      <c r="RQ248" s="575"/>
      <c r="RR248" s="575"/>
      <c r="RS248" s="575"/>
      <c r="RT248" s="575"/>
      <c r="RU248" s="575"/>
      <c r="RV248" s="575"/>
      <c r="RW248" s="575"/>
      <c r="RX248" s="575"/>
      <c r="RY248" s="575"/>
      <c r="RZ248" s="575"/>
      <c r="SA248" s="575"/>
      <c r="SB248" s="575"/>
      <c r="SC248" s="575"/>
      <c r="SD248" s="575"/>
      <c r="SE248" s="575"/>
      <c r="SF248" s="575"/>
      <c r="SG248" s="575"/>
      <c r="SH248" s="575"/>
      <c r="SI248" s="575"/>
      <c r="SJ248" s="575"/>
      <c r="SK248" s="575"/>
      <c r="SL248" s="575"/>
      <c r="SM248" s="575"/>
      <c r="SN248" s="575"/>
      <c r="SO248" s="575"/>
      <c r="SP248" s="575"/>
      <c r="SQ248" s="575"/>
      <c r="SR248" s="575"/>
      <c r="SS248" s="575"/>
      <c r="ST248" s="575"/>
      <c r="SU248" s="575"/>
      <c r="SV248" s="575"/>
      <c r="SW248" s="575"/>
      <c r="SX248" s="575"/>
      <c r="SY248" s="575"/>
      <c r="SZ248" s="575"/>
      <c r="TA248" s="575"/>
      <c r="TB248" s="575"/>
      <c r="TC248" s="575"/>
      <c r="TD248" s="575"/>
      <c r="TE248" s="575"/>
      <c r="TF248" s="575"/>
      <c r="TG248" s="575"/>
      <c r="TH248" s="575"/>
      <c r="TI248" s="575"/>
      <c r="TJ248" s="575"/>
      <c r="TK248" s="575"/>
      <c r="TL248" s="575"/>
      <c r="TM248" s="575"/>
      <c r="TN248" s="575"/>
      <c r="TO248" s="575"/>
      <c r="TP248" s="575"/>
      <c r="TQ248" s="575"/>
      <c r="TR248" s="575"/>
      <c r="TS248" s="575"/>
      <c r="TT248" s="575"/>
      <c r="TU248" s="575"/>
      <c r="TV248" s="575"/>
      <c r="TW248" s="575"/>
      <c r="TX248" s="575"/>
      <c r="TY248" s="575"/>
      <c r="TZ248" s="575"/>
      <c r="UA248" s="575"/>
      <c r="UB248" s="575"/>
      <c r="UC248" s="575"/>
      <c r="UD248" s="575"/>
      <c r="UE248" s="575"/>
      <c r="UF248" s="575"/>
      <c r="UG248" s="575"/>
      <c r="UH248" s="575"/>
      <c r="UI248" s="575"/>
      <c r="UJ248" s="575"/>
      <c r="UK248" s="575"/>
      <c r="UL248" s="575"/>
      <c r="UM248" s="575"/>
      <c r="UN248" s="575"/>
      <c r="UO248" s="575"/>
      <c r="UP248" s="575"/>
      <c r="UQ248" s="575"/>
      <c r="UR248" s="575"/>
      <c r="US248" s="575"/>
      <c r="UT248" s="575"/>
      <c r="UU248" s="575"/>
      <c r="UV248" s="575"/>
      <c r="UW248" s="575"/>
      <c r="UX248" s="575"/>
      <c r="UY248" s="575"/>
      <c r="UZ248" s="575"/>
      <c r="VA248" s="575"/>
      <c r="VB248" s="575"/>
      <c r="VC248" s="575"/>
      <c r="VD248" s="575"/>
      <c r="VE248" s="575"/>
      <c r="VF248" s="575"/>
      <c r="VG248" s="575"/>
      <c r="VH248" s="575"/>
      <c r="VI248" s="575"/>
      <c r="VJ248" s="575"/>
      <c r="VK248" s="575"/>
      <c r="VL248" s="575"/>
      <c r="VM248" s="575"/>
      <c r="VN248" s="575"/>
      <c r="VO248" s="575"/>
      <c r="VP248" s="575"/>
      <c r="VQ248" s="575"/>
      <c r="VR248" s="575"/>
      <c r="VS248" s="575"/>
      <c r="VT248" s="575"/>
      <c r="VU248" s="575"/>
      <c r="VV248" s="575"/>
      <c r="VW248" s="575"/>
      <c r="VX248" s="575"/>
      <c r="VY248" s="575"/>
      <c r="VZ248" s="575"/>
      <c r="WA248" s="575"/>
      <c r="WB248" s="575"/>
      <c r="WC248" s="575"/>
      <c r="WD248" s="575"/>
      <c r="WE248" s="575"/>
      <c r="WF248" s="575"/>
      <c r="WG248" s="575"/>
      <c r="WH248" s="575"/>
      <c r="WI248" s="575"/>
      <c r="WJ248" s="575"/>
      <c r="WK248" s="575"/>
      <c r="WL248" s="575"/>
      <c r="WM248" s="575"/>
      <c r="WN248" s="575"/>
      <c r="WO248" s="575"/>
      <c r="WP248" s="575"/>
      <c r="WQ248" s="575"/>
      <c r="WR248" s="575"/>
      <c r="WS248" s="575"/>
      <c r="WT248" s="575"/>
      <c r="WU248" s="575"/>
      <c r="WV248" s="575"/>
      <c r="WW248" s="575"/>
      <c r="WX248" s="575"/>
      <c r="WY248" s="575"/>
      <c r="WZ248" s="575"/>
      <c r="XA248" s="575"/>
      <c r="XB248" s="575"/>
      <c r="XC248" s="575"/>
      <c r="XD248" s="575"/>
      <c r="XE248" s="575"/>
      <c r="XF248" s="575"/>
      <c r="XG248" s="575"/>
      <c r="XH248" s="575"/>
      <c r="XI248" s="575"/>
      <c r="XJ248" s="575"/>
      <c r="XK248" s="575"/>
      <c r="XL248" s="575"/>
      <c r="XM248" s="575"/>
      <c r="XN248" s="575"/>
      <c r="XO248" s="575"/>
      <c r="XP248" s="575"/>
      <c r="XQ248" s="575"/>
      <c r="XR248" s="575"/>
      <c r="XS248" s="575"/>
      <c r="XT248" s="575"/>
      <c r="XU248" s="575"/>
      <c r="XV248" s="575"/>
      <c r="XW248" s="575"/>
      <c r="XX248" s="575"/>
      <c r="XY248" s="575"/>
      <c r="XZ248" s="575"/>
      <c r="YA248" s="575"/>
      <c r="YB248" s="575"/>
      <c r="YC248" s="575"/>
      <c r="YD248" s="575"/>
      <c r="YE248" s="575"/>
      <c r="YF248" s="575"/>
      <c r="YG248" s="575"/>
      <c r="YH248" s="575"/>
      <c r="YI248" s="575"/>
      <c r="YJ248" s="575"/>
      <c r="YK248" s="575"/>
      <c r="YL248" s="575"/>
      <c r="YM248" s="575"/>
      <c r="YN248" s="575"/>
      <c r="YO248" s="575"/>
      <c r="YP248" s="575"/>
      <c r="YQ248" s="575"/>
      <c r="YR248" s="575"/>
      <c r="YS248" s="575"/>
      <c r="YT248" s="575"/>
      <c r="YU248" s="575"/>
      <c r="YV248" s="575"/>
      <c r="YW248" s="575"/>
      <c r="YX248" s="575"/>
      <c r="YY248" s="575"/>
      <c r="YZ248" s="575"/>
      <c r="ZA248" s="575"/>
      <c r="ZB248" s="575"/>
      <c r="ZC248" s="575"/>
      <c r="ZD248" s="575"/>
      <c r="ZE248" s="575"/>
      <c r="ZF248" s="575"/>
      <c r="ZG248" s="575"/>
      <c r="ZH248" s="575"/>
      <c r="ZI248" s="575"/>
      <c r="ZJ248" s="575"/>
      <c r="ZK248" s="575"/>
      <c r="ZL248" s="575"/>
      <c r="ZM248" s="575"/>
      <c r="ZN248" s="575"/>
      <c r="ZO248" s="575"/>
      <c r="ZP248" s="575"/>
      <c r="ZQ248" s="575"/>
      <c r="ZR248" s="575"/>
      <c r="ZS248" s="575"/>
      <c r="ZT248" s="575"/>
      <c r="ZU248" s="575"/>
      <c r="ZV248" s="575"/>
      <c r="ZW248" s="575"/>
      <c r="ZX248" s="575"/>
      <c r="ZY248" s="575"/>
      <c r="ZZ248" s="575"/>
      <c r="AAA248" s="575"/>
      <c r="AAB248" s="575"/>
      <c r="AAC248" s="575"/>
      <c r="AAD248" s="575"/>
      <c r="AAE248" s="575"/>
      <c r="AAF248" s="575"/>
      <c r="AAG248" s="575"/>
      <c r="AAH248" s="575"/>
      <c r="AAI248" s="575"/>
      <c r="AAJ248" s="575"/>
      <c r="AAK248" s="575"/>
      <c r="AAL248" s="575"/>
      <c r="AAM248" s="575"/>
      <c r="AAN248" s="575"/>
      <c r="AAO248" s="575"/>
      <c r="AAP248" s="575"/>
      <c r="AAQ248" s="575"/>
      <c r="AAR248" s="575"/>
      <c r="AAS248" s="575"/>
      <c r="AAT248" s="575"/>
      <c r="AAU248" s="575"/>
      <c r="AAV248" s="575"/>
      <c r="AAW248" s="575"/>
      <c r="AAX248" s="575"/>
      <c r="AAY248" s="575"/>
      <c r="AAZ248" s="575"/>
      <c r="ABA248" s="575"/>
      <c r="ABB248" s="575"/>
      <c r="ABC248" s="575"/>
      <c r="ABD248" s="575"/>
      <c r="ABE248" s="575"/>
      <c r="ABF248" s="575"/>
      <c r="ABG248" s="575"/>
      <c r="ABH248" s="575"/>
      <c r="ABI248" s="575"/>
      <c r="ABJ248" s="575"/>
      <c r="ABK248" s="575"/>
      <c r="ABL248" s="575"/>
      <c r="ABM248" s="575"/>
      <c r="ABN248" s="575"/>
      <c r="ABO248" s="575"/>
      <c r="ABP248" s="575"/>
      <c r="ABQ248" s="575"/>
      <c r="ABR248" s="575"/>
      <c r="ABS248" s="575"/>
      <c r="ABT248" s="575"/>
      <c r="ABU248" s="575"/>
      <c r="ABV248" s="575"/>
      <c r="ABW248" s="575"/>
      <c r="ABX248" s="575"/>
      <c r="ABY248" s="575"/>
      <c r="ABZ248" s="575"/>
      <c r="ACA248" s="575"/>
      <c r="ACB248" s="575"/>
      <c r="ACC248" s="575"/>
      <c r="ACD248" s="575"/>
      <c r="ACE248" s="575"/>
      <c r="ACF248" s="575"/>
      <c r="ACG248" s="575"/>
      <c r="ACH248" s="575"/>
      <c r="ACI248" s="575"/>
      <c r="ACJ248" s="575"/>
      <c r="ACK248" s="575"/>
      <c r="ACL248" s="575"/>
      <c r="ACM248" s="575"/>
      <c r="ACN248" s="575"/>
      <c r="ACO248" s="575"/>
      <c r="ACP248" s="575"/>
      <c r="ACQ248" s="575"/>
      <c r="ACR248" s="575"/>
      <c r="ACS248" s="575"/>
      <c r="ACT248" s="575"/>
      <c r="ACU248" s="575"/>
      <c r="ACV248" s="575"/>
      <c r="ACW248" s="575"/>
      <c r="ACX248" s="575"/>
      <c r="ACY248" s="575"/>
      <c r="ACZ248" s="575"/>
      <c r="ADA248" s="575"/>
      <c r="ADB248" s="575"/>
      <c r="ADC248" s="575"/>
      <c r="ADD248" s="575"/>
      <c r="ADE248" s="575"/>
      <c r="ADF248" s="575"/>
      <c r="ADG248" s="575"/>
      <c r="ADH248" s="575"/>
      <c r="ADI248" s="575"/>
      <c r="ADJ248" s="575"/>
      <c r="ADK248" s="575"/>
      <c r="ADL248" s="575"/>
      <c r="ADM248" s="575"/>
      <c r="ADN248" s="575"/>
      <c r="ADO248" s="575"/>
      <c r="ADP248" s="575"/>
      <c r="ADQ248" s="575"/>
      <c r="ADR248" s="575"/>
      <c r="ADS248" s="575"/>
      <c r="ADT248" s="575"/>
      <c r="ADU248" s="575"/>
      <c r="ADV248" s="575"/>
      <c r="ADW248" s="575"/>
      <c r="ADX248" s="575"/>
      <c r="ADY248" s="575"/>
      <c r="ADZ248" s="575"/>
      <c r="AEA248" s="575"/>
      <c r="AEB248" s="575"/>
      <c r="AEC248" s="575"/>
      <c r="AED248" s="575"/>
      <c r="AEE248" s="575"/>
      <c r="AEF248" s="575"/>
      <c r="AEG248" s="575"/>
      <c r="AEH248" s="575"/>
      <c r="AEI248" s="575"/>
      <c r="AEJ248" s="575"/>
      <c r="AEK248" s="575"/>
      <c r="AEL248" s="575"/>
      <c r="AEM248" s="575"/>
      <c r="AEN248" s="575"/>
      <c r="AEO248" s="575"/>
      <c r="AEP248" s="575"/>
      <c r="AEQ248" s="575"/>
      <c r="AER248" s="575"/>
      <c r="AES248" s="575"/>
      <c r="AET248" s="575"/>
      <c r="AEU248" s="575"/>
      <c r="AEV248" s="575"/>
      <c r="AEW248" s="575"/>
      <c r="AEX248" s="575"/>
      <c r="AEY248" s="575"/>
      <c r="AEZ248" s="575"/>
      <c r="AFA248" s="575"/>
      <c r="AFB248" s="575"/>
      <c r="AFC248" s="575"/>
      <c r="AFD248" s="575"/>
      <c r="AFE248" s="575"/>
      <c r="AFF248" s="575"/>
      <c r="AFG248" s="575"/>
      <c r="AFH248" s="575"/>
      <c r="AFI248" s="575"/>
      <c r="AFJ248" s="575"/>
      <c r="AFK248" s="575"/>
      <c r="AFL248" s="575"/>
      <c r="AFM248" s="575"/>
      <c r="AFN248" s="575"/>
      <c r="AFO248" s="575"/>
      <c r="AFP248" s="575"/>
      <c r="AFQ248" s="575"/>
      <c r="AFR248" s="575"/>
      <c r="AFS248" s="575"/>
      <c r="AFT248" s="575"/>
      <c r="AFU248" s="575"/>
      <c r="AFV248" s="575"/>
      <c r="AFW248" s="575"/>
      <c r="AFX248" s="575"/>
      <c r="AFY248" s="575"/>
      <c r="AFZ248" s="575"/>
      <c r="AGA248" s="575"/>
      <c r="AGB248" s="575"/>
      <c r="AGC248" s="575"/>
      <c r="AGD248" s="575"/>
      <c r="AGE248" s="575"/>
      <c r="AGF248" s="575"/>
      <c r="AGG248" s="575"/>
      <c r="AGH248" s="575"/>
      <c r="AGI248" s="575"/>
      <c r="AGJ248" s="575"/>
      <c r="AGK248" s="575"/>
      <c r="AGL248" s="575"/>
      <c r="AGM248" s="575"/>
      <c r="AGN248" s="575"/>
      <c r="AGO248" s="575"/>
      <c r="AGP248" s="575"/>
      <c r="AGQ248" s="575"/>
      <c r="AGR248" s="575"/>
      <c r="AGS248" s="575"/>
      <c r="AGT248" s="575"/>
      <c r="AGU248" s="575"/>
      <c r="AGV248" s="575"/>
      <c r="AGW248" s="575"/>
      <c r="AGX248" s="575"/>
      <c r="AGY248" s="575"/>
      <c r="AGZ248" s="575"/>
      <c r="AHA248" s="575"/>
      <c r="AHB248" s="575"/>
      <c r="AHC248" s="575"/>
      <c r="AHD248" s="575"/>
      <c r="AHE248" s="575"/>
      <c r="AHF248" s="575"/>
      <c r="AHG248" s="575"/>
      <c r="AHH248" s="575"/>
      <c r="AHI248" s="575"/>
      <c r="AHJ248" s="575"/>
      <c r="AHK248" s="575"/>
      <c r="AHL248" s="575"/>
      <c r="AHM248" s="575"/>
      <c r="AHN248" s="575"/>
      <c r="AHO248" s="575"/>
      <c r="AHP248" s="575"/>
      <c r="AHQ248" s="575"/>
      <c r="AHR248" s="575"/>
      <c r="AHS248" s="575"/>
      <c r="AHT248" s="575"/>
      <c r="AHU248" s="575"/>
      <c r="AHV248" s="575"/>
      <c r="AHW248" s="575"/>
      <c r="AHX248" s="575"/>
      <c r="AHY248" s="575"/>
      <c r="AHZ248" s="575"/>
      <c r="AIA248" s="575"/>
      <c r="AIB248" s="575"/>
      <c r="AIC248" s="575"/>
      <c r="AID248" s="575"/>
      <c r="AIE248" s="575"/>
      <c r="AIF248" s="575"/>
      <c r="AIG248" s="575"/>
      <c r="AIH248" s="575"/>
      <c r="AII248" s="575"/>
      <c r="AIJ248" s="575"/>
      <c r="AIK248" s="575"/>
      <c r="AIL248" s="575"/>
      <c r="AIM248" s="575"/>
      <c r="AIN248" s="575"/>
      <c r="AIO248" s="575"/>
      <c r="AIP248" s="575"/>
      <c r="AIQ248" s="575"/>
      <c r="AIR248" s="575"/>
      <c r="AIS248" s="575"/>
      <c r="AIT248" s="575"/>
      <c r="AIU248" s="575"/>
      <c r="AIV248" s="575"/>
      <c r="AIW248" s="575"/>
      <c r="AIX248" s="575"/>
      <c r="AIY248" s="575"/>
      <c r="AIZ248" s="575"/>
      <c r="AJA248" s="575"/>
      <c r="AJB248" s="575"/>
      <c r="AJC248" s="575"/>
      <c r="AJD248" s="575"/>
      <c r="AJE248" s="575"/>
      <c r="AJF248" s="575"/>
      <c r="AJG248" s="575"/>
      <c r="AJH248" s="575"/>
      <c r="AJI248" s="575"/>
      <c r="AJJ248" s="575"/>
      <c r="AJK248" s="575"/>
      <c r="AJL248" s="575"/>
      <c r="AJM248" s="575"/>
      <c r="AJN248" s="575"/>
      <c r="AJO248" s="575"/>
      <c r="AJP248" s="575"/>
      <c r="AJQ248" s="575"/>
      <c r="AJR248" s="575"/>
      <c r="AJS248" s="575"/>
      <c r="AJT248" s="575"/>
      <c r="AJU248" s="575"/>
      <c r="AJV248" s="575"/>
      <c r="AJW248" s="575"/>
      <c r="AJX248" s="575"/>
      <c r="AJY248" s="575"/>
      <c r="AJZ248" s="575"/>
      <c r="AKA248" s="575"/>
      <c r="AKB248" s="575"/>
      <c r="AKC248" s="575"/>
      <c r="AKD248" s="575"/>
      <c r="AKE248" s="575"/>
      <c r="AKF248" s="575"/>
      <c r="AKG248" s="575"/>
      <c r="AKH248" s="575"/>
      <c r="AKI248" s="575"/>
      <c r="AKJ248" s="575"/>
      <c r="AKK248" s="575"/>
      <c r="AKL248" s="575"/>
      <c r="AKM248" s="575"/>
      <c r="AKN248" s="575"/>
      <c r="AKO248" s="575"/>
      <c r="AKP248" s="575"/>
      <c r="AKQ248" s="575"/>
      <c r="AKR248" s="575"/>
      <c r="AKS248" s="575"/>
      <c r="AKT248" s="575"/>
      <c r="AKU248" s="575"/>
      <c r="AKV248" s="575"/>
      <c r="AKW248" s="575"/>
      <c r="AKX248" s="575"/>
      <c r="AKY248" s="575"/>
      <c r="AKZ248" s="575"/>
      <c r="ALA248" s="575"/>
      <c r="ALB248" s="575"/>
      <c r="ALC248" s="575"/>
      <c r="ALD248" s="575"/>
      <c r="ALE248" s="575"/>
      <c r="ALF248" s="575"/>
      <c r="ALG248" s="575"/>
      <c r="ALH248" s="575"/>
      <c r="ALI248" s="575"/>
      <c r="ALJ248" s="575"/>
      <c r="ALK248" s="575"/>
      <c r="ALL248" s="575"/>
      <c r="ALM248" s="575"/>
      <c r="ALN248" s="575"/>
      <c r="ALO248" s="575"/>
      <c r="ALP248" s="575"/>
      <c r="ALQ248" s="575"/>
      <c r="ALR248" s="575"/>
      <c r="ALS248" s="575"/>
      <c r="ALT248" s="575"/>
      <c r="ALU248" s="575"/>
      <c r="ALV248" s="575"/>
      <c r="ALW248" s="575"/>
      <c r="ALX248" s="575"/>
      <c r="ALY248" s="575"/>
      <c r="ALZ248" s="575"/>
      <c r="AMA248" s="575"/>
      <c r="AMB248" s="575"/>
      <c r="AMC248" s="575"/>
      <c r="AMD248" s="575"/>
      <c r="AME248" s="575"/>
      <c r="AMF248" s="575"/>
      <c r="AMG248" s="575"/>
      <c r="AMH248" s="575"/>
      <c r="AMI248" s="575"/>
      <c r="AMJ248" s="575"/>
      <c r="AMK248" s="575"/>
      <c r="AML248" s="575"/>
      <c r="AMM248" s="575"/>
      <c r="AMN248" s="575"/>
      <c r="AMO248" s="575"/>
      <c r="AMP248" s="575"/>
      <c r="AMQ248" s="575"/>
      <c r="AMR248" s="575"/>
      <c r="AMS248" s="575"/>
      <c r="AMT248" s="575"/>
      <c r="AMU248" s="575"/>
      <c r="AMV248" s="575"/>
      <c r="AMW248" s="575"/>
      <c r="AMX248" s="575"/>
      <c r="AMY248" s="575"/>
      <c r="AMZ248" s="575"/>
      <c r="ANA248" s="575"/>
      <c r="ANB248" s="575"/>
      <c r="ANC248" s="575"/>
      <c r="AND248" s="575"/>
      <c r="ANE248" s="575"/>
      <c r="ANF248" s="575"/>
      <c r="ANG248" s="575"/>
      <c r="ANH248" s="575"/>
      <c r="ANI248" s="575"/>
      <c r="ANJ248" s="575"/>
      <c r="ANK248" s="575"/>
      <c r="ANL248" s="575"/>
      <c r="ANM248" s="575"/>
      <c r="ANN248" s="575"/>
      <c r="ANO248" s="575"/>
      <c r="ANP248" s="575"/>
      <c r="ANQ248" s="575"/>
      <c r="ANR248" s="575"/>
      <c r="ANS248" s="575"/>
      <c r="ANT248" s="575"/>
      <c r="ANU248" s="575"/>
      <c r="ANV248" s="575"/>
      <c r="ANW248" s="575"/>
      <c r="ANX248" s="575"/>
      <c r="ANY248" s="575"/>
      <c r="ANZ248" s="575"/>
      <c r="AOA248" s="575"/>
      <c r="AOB248" s="575"/>
      <c r="AOC248" s="575"/>
      <c r="AOD248" s="575"/>
      <c r="AOE248" s="575"/>
      <c r="AOF248" s="575"/>
      <c r="AOG248" s="575"/>
      <c r="AOH248" s="575"/>
      <c r="AOI248" s="575"/>
      <c r="AOJ248" s="575"/>
      <c r="AOK248" s="575"/>
      <c r="AOL248" s="575"/>
      <c r="AOM248" s="575"/>
      <c r="AON248" s="575"/>
      <c r="AOO248" s="575"/>
      <c r="AOP248" s="575"/>
      <c r="AOQ248" s="575"/>
      <c r="AOR248" s="575"/>
      <c r="AOS248" s="575"/>
      <c r="AOT248" s="575"/>
      <c r="AOU248" s="575"/>
      <c r="AOV248" s="575"/>
      <c r="AOW248" s="575"/>
      <c r="AOX248" s="575"/>
      <c r="AOY248" s="575"/>
      <c r="AOZ248" s="575"/>
      <c r="APA248" s="575"/>
      <c r="APB248" s="575"/>
      <c r="APC248" s="575"/>
      <c r="APD248" s="575"/>
      <c r="APE248" s="575"/>
      <c r="APF248" s="575"/>
      <c r="APG248" s="575"/>
      <c r="APH248" s="575"/>
      <c r="API248" s="575"/>
      <c r="APJ248" s="575"/>
      <c r="APK248" s="575"/>
      <c r="APL248" s="575"/>
      <c r="APM248" s="575"/>
      <c r="APN248" s="575"/>
      <c r="APO248" s="575"/>
      <c r="APP248" s="575"/>
      <c r="APQ248" s="575"/>
      <c r="APR248" s="575"/>
      <c r="APS248" s="575"/>
      <c r="APT248" s="575"/>
      <c r="APU248" s="575"/>
      <c r="APV248" s="575"/>
      <c r="APW248" s="575"/>
      <c r="APX248" s="575"/>
      <c r="APY248" s="575"/>
      <c r="APZ248" s="575"/>
      <c r="AQA248" s="575"/>
      <c r="AQB248" s="575"/>
      <c r="AQC248" s="575"/>
      <c r="AQD248" s="575"/>
      <c r="AQE248" s="575"/>
      <c r="AQF248" s="575"/>
      <c r="AQG248" s="575"/>
      <c r="AQH248" s="575"/>
      <c r="AQI248" s="575"/>
      <c r="AQJ248" s="575"/>
      <c r="AQK248" s="575"/>
      <c r="AQL248" s="575"/>
      <c r="AQM248" s="575"/>
      <c r="AQN248" s="575"/>
      <c r="AQO248" s="575"/>
      <c r="AQP248" s="575"/>
      <c r="AQQ248" s="575"/>
      <c r="AQR248" s="575"/>
      <c r="AQS248" s="575"/>
      <c r="AQT248" s="575"/>
      <c r="AQU248" s="575"/>
      <c r="AQV248" s="575"/>
      <c r="AQW248" s="575"/>
      <c r="AQX248" s="575"/>
      <c r="AQY248" s="575"/>
      <c r="AQZ248" s="575"/>
      <c r="ARA248" s="575"/>
      <c r="ARB248" s="575"/>
      <c r="ARC248" s="575"/>
      <c r="ARD248" s="575"/>
      <c r="ARE248" s="575"/>
      <c r="ARF248" s="575"/>
      <c r="ARG248" s="575"/>
      <c r="ARH248" s="575"/>
      <c r="ARI248" s="575"/>
      <c r="ARJ248" s="575"/>
      <c r="ARK248" s="575"/>
      <c r="ARL248" s="575"/>
      <c r="ARM248" s="575"/>
      <c r="ARN248" s="575"/>
      <c r="ARO248" s="575"/>
      <c r="ARP248" s="575"/>
      <c r="ARQ248" s="575"/>
      <c r="ARR248" s="575"/>
      <c r="ARS248" s="575"/>
      <c r="ART248" s="575"/>
      <c r="ARU248" s="575"/>
      <c r="ARV248" s="575"/>
      <c r="ARW248" s="575"/>
      <c r="ARX248" s="575"/>
      <c r="ARY248" s="575"/>
      <c r="ARZ248" s="575"/>
      <c r="ASA248" s="575"/>
      <c r="ASB248" s="575"/>
      <c r="ASC248" s="575"/>
      <c r="ASD248" s="575"/>
      <c r="ASE248" s="575"/>
      <c r="ASF248" s="575"/>
      <c r="ASG248" s="575"/>
      <c r="ASH248" s="575"/>
      <c r="ASI248" s="575"/>
      <c r="ASJ248" s="575"/>
      <c r="ASK248" s="575"/>
      <c r="ASL248" s="575"/>
      <c r="ASM248" s="575"/>
      <c r="ASN248" s="575"/>
      <c r="ASO248" s="575"/>
      <c r="ASP248" s="575"/>
      <c r="ASQ248" s="575"/>
      <c r="ASR248" s="575"/>
      <c r="ASS248" s="575"/>
      <c r="AST248" s="575"/>
      <c r="ASU248" s="575"/>
      <c r="ASV248" s="575"/>
      <c r="ASW248" s="575"/>
      <c r="ASX248" s="575"/>
      <c r="ASY248" s="575"/>
      <c r="ASZ248" s="575"/>
      <c r="ATA248" s="575"/>
      <c r="ATB248" s="575"/>
      <c r="ATC248" s="575"/>
      <c r="ATD248" s="575"/>
      <c r="ATE248" s="575"/>
      <c r="ATF248" s="575"/>
      <c r="ATG248" s="575"/>
      <c r="ATH248" s="575"/>
      <c r="ATI248" s="575"/>
      <c r="ATJ248" s="575"/>
      <c r="ATK248" s="575"/>
      <c r="ATL248" s="575"/>
      <c r="ATM248" s="575"/>
      <c r="ATN248" s="575"/>
      <c r="ATO248" s="575"/>
      <c r="ATP248" s="575"/>
      <c r="ATQ248" s="575"/>
      <c r="ATR248" s="575"/>
      <c r="ATS248" s="575"/>
      <c r="ATT248" s="575"/>
      <c r="ATU248" s="575"/>
      <c r="ATV248" s="575"/>
      <c r="ATW248" s="575"/>
      <c r="ATX248" s="575"/>
      <c r="ATY248" s="575"/>
      <c r="ATZ248" s="575"/>
      <c r="AUA248" s="575"/>
      <c r="AUB248" s="575"/>
      <c r="AUC248" s="575"/>
      <c r="AUD248" s="575"/>
      <c r="AUE248" s="575"/>
      <c r="AUF248" s="575"/>
      <c r="AUG248" s="575"/>
      <c r="AUH248" s="575"/>
      <c r="AUI248" s="575"/>
      <c r="AUJ248" s="575"/>
      <c r="AUK248" s="575"/>
      <c r="AUL248" s="575"/>
      <c r="AUM248" s="575"/>
      <c r="AUN248" s="575"/>
      <c r="AUO248" s="575"/>
      <c r="AUP248" s="575"/>
      <c r="AUQ248" s="575"/>
      <c r="AUR248" s="575"/>
      <c r="AUS248" s="575"/>
      <c r="AUT248" s="575"/>
      <c r="AUU248" s="575"/>
      <c r="AUV248" s="575"/>
      <c r="AUW248" s="575"/>
      <c r="AUX248" s="575"/>
      <c r="AUY248" s="575"/>
      <c r="AUZ248" s="575"/>
      <c r="AVA248" s="575"/>
      <c r="AVB248" s="575"/>
      <c r="AVC248" s="575"/>
      <c r="AVD248" s="575"/>
      <c r="AVE248" s="575"/>
      <c r="AVF248" s="575"/>
      <c r="AVG248" s="575"/>
      <c r="AVH248" s="575"/>
      <c r="AVI248" s="575"/>
      <c r="AVJ248" s="575"/>
      <c r="AVK248" s="575"/>
      <c r="AVL248" s="575"/>
      <c r="AVM248" s="575"/>
      <c r="AVN248" s="575"/>
      <c r="AVO248" s="575"/>
      <c r="AVP248" s="575"/>
      <c r="AVQ248" s="575"/>
      <c r="AVR248" s="575"/>
      <c r="AVS248" s="575"/>
      <c r="AVT248" s="575"/>
      <c r="AVU248" s="575"/>
      <c r="AVV248" s="575"/>
      <c r="AVW248" s="575"/>
      <c r="AVX248" s="575"/>
      <c r="AVY248" s="575"/>
      <c r="AVZ248" s="575"/>
      <c r="AWA248" s="575"/>
      <c r="AWB248" s="575"/>
      <c r="AWC248" s="575"/>
      <c r="AWD248" s="575"/>
      <c r="AWE248" s="575"/>
      <c r="AWF248" s="575"/>
      <c r="AWG248" s="575"/>
      <c r="AWH248" s="575"/>
      <c r="AWI248" s="575"/>
      <c r="AWJ248" s="575"/>
      <c r="AWK248" s="575"/>
      <c r="AWL248" s="575"/>
      <c r="AWM248" s="575"/>
      <c r="AWN248" s="575"/>
      <c r="AWO248" s="575"/>
      <c r="AWP248" s="575"/>
      <c r="AWQ248" s="575"/>
      <c r="AWR248" s="575"/>
      <c r="AWS248" s="575"/>
      <c r="AWT248" s="575"/>
      <c r="AWU248" s="575"/>
      <c r="AWV248" s="575"/>
      <c r="AWW248" s="575"/>
      <c r="AWX248" s="575"/>
      <c r="AWY248" s="575"/>
      <c r="AWZ248" s="575"/>
      <c r="AXA248" s="575"/>
      <c r="AXB248" s="575"/>
      <c r="AXC248" s="575"/>
      <c r="AXD248" s="575"/>
      <c r="AXE248" s="575"/>
      <c r="AXF248" s="575"/>
      <c r="AXG248" s="575"/>
      <c r="AXH248" s="575"/>
      <c r="AXI248" s="575"/>
      <c r="AXJ248" s="575"/>
      <c r="AXK248" s="575"/>
      <c r="AXL248" s="575"/>
      <c r="AXM248" s="575"/>
      <c r="AXN248" s="575"/>
      <c r="AXO248" s="575"/>
      <c r="AXP248" s="575"/>
      <c r="AXQ248" s="575"/>
      <c r="AXR248" s="575"/>
      <c r="AXS248" s="575"/>
      <c r="AXT248" s="575"/>
      <c r="AXU248" s="575"/>
      <c r="AXV248" s="575"/>
      <c r="AXW248" s="575"/>
      <c r="AXX248" s="575"/>
      <c r="AXY248" s="575"/>
      <c r="AXZ248" s="575"/>
      <c r="AYA248" s="575"/>
      <c r="AYB248" s="575"/>
      <c r="AYC248" s="575"/>
      <c r="AYD248" s="575"/>
      <c r="AYE248" s="575"/>
      <c r="AYF248" s="575"/>
      <c r="AYG248" s="575"/>
      <c r="AYH248" s="575"/>
      <c r="AYI248" s="575"/>
      <c r="AYJ248" s="575"/>
      <c r="AYK248" s="575"/>
      <c r="AYL248" s="575"/>
      <c r="AYM248" s="575"/>
      <c r="AYN248" s="575"/>
      <c r="AYO248" s="575"/>
      <c r="AYP248" s="575"/>
      <c r="AYQ248" s="575"/>
      <c r="AYR248" s="575"/>
      <c r="AYS248" s="575"/>
      <c r="AYT248" s="575"/>
      <c r="AYU248" s="575"/>
      <c r="AYV248" s="575"/>
      <c r="AYW248" s="575"/>
      <c r="AYX248" s="575"/>
      <c r="AYY248" s="575"/>
      <c r="AYZ248" s="575"/>
      <c r="AZA248" s="575"/>
      <c r="AZB248" s="575"/>
      <c r="AZC248" s="575"/>
      <c r="AZD248" s="575"/>
      <c r="AZE248" s="575"/>
      <c r="AZF248" s="575"/>
      <c r="AZG248" s="575"/>
      <c r="AZH248" s="575"/>
      <c r="AZI248" s="575"/>
      <c r="AZJ248" s="575"/>
      <c r="AZK248" s="575"/>
      <c r="AZL248" s="575"/>
      <c r="AZM248" s="575"/>
      <c r="AZN248" s="575"/>
      <c r="AZO248" s="575"/>
      <c r="AZP248" s="575"/>
      <c r="AZQ248" s="575"/>
      <c r="AZR248" s="575"/>
      <c r="AZS248" s="575"/>
      <c r="AZT248" s="575"/>
      <c r="AZU248" s="575"/>
      <c r="AZV248" s="575"/>
      <c r="AZW248" s="575"/>
      <c r="AZX248" s="575"/>
      <c r="AZY248" s="575"/>
      <c r="AZZ248" s="575"/>
      <c r="BAA248" s="575"/>
      <c r="BAB248" s="575"/>
      <c r="BAC248" s="575"/>
      <c r="BAD248" s="575"/>
      <c r="BAE248" s="575"/>
      <c r="BAF248" s="575"/>
      <c r="BAG248" s="575"/>
      <c r="BAH248" s="575"/>
      <c r="BAI248" s="575"/>
      <c r="BAJ248" s="575"/>
      <c r="BAK248" s="575"/>
      <c r="BAL248" s="575"/>
      <c r="BAM248" s="575"/>
      <c r="BAN248" s="575"/>
      <c r="BAO248" s="575"/>
      <c r="BAP248" s="575"/>
      <c r="BAQ248" s="575"/>
      <c r="BAR248" s="575"/>
      <c r="BAS248" s="575"/>
      <c r="BAT248" s="575"/>
      <c r="BAU248" s="575"/>
      <c r="BAV248" s="575"/>
      <c r="BAW248" s="575"/>
      <c r="BAX248" s="575"/>
      <c r="BAY248" s="575"/>
      <c r="BAZ248" s="575"/>
      <c r="BBA248" s="575"/>
      <c r="BBB248" s="575"/>
      <c r="BBC248" s="575"/>
      <c r="BBD248" s="575"/>
      <c r="BBE248" s="575"/>
      <c r="BBF248" s="575"/>
      <c r="BBG248" s="575"/>
      <c r="BBH248" s="575"/>
      <c r="BBI248" s="575"/>
      <c r="BBJ248" s="575"/>
      <c r="BBK248" s="575"/>
      <c r="BBL248" s="575"/>
      <c r="BBM248" s="575"/>
      <c r="BBN248" s="575"/>
      <c r="BBO248" s="575"/>
      <c r="BBP248" s="575"/>
      <c r="BBQ248" s="575"/>
      <c r="BBR248" s="575"/>
      <c r="BBS248" s="575"/>
      <c r="BBT248" s="575"/>
      <c r="BBU248" s="575"/>
      <c r="BBV248" s="575"/>
      <c r="BBW248" s="575"/>
      <c r="BBX248" s="575"/>
      <c r="BBY248" s="575"/>
      <c r="BBZ248" s="575"/>
      <c r="BCA248" s="575"/>
      <c r="BCB248" s="575"/>
      <c r="BCC248" s="575"/>
      <c r="BCD248" s="575"/>
      <c r="BCE248" s="575"/>
      <c r="BCF248" s="575"/>
      <c r="BCG248" s="575"/>
      <c r="BCH248" s="575"/>
      <c r="BCI248" s="575"/>
      <c r="BCJ248" s="575"/>
      <c r="BCK248" s="575"/>
      <c r="BCL248" s="575"/>
      <c r="BCM248" s="575"/>
      <c r="BCN248" s="575"/>
      <c r="BCO248" s="575"/>
      <c r="BCP248" s="575"/>
      <c r="BCQ248" s="575"/>
      <c r="BCR248" s="575"/>
      <c r="BCS248" s="575"/>
      <c r="BCT248" s="575"/>
      <c r="BCU248" s="575"/>
      <c r="BCV248" s="575"/>
      <c r="BCW248" s="575"/>
      <c r="BCX248" s="575"/>
      <c r="BCY248" s="575"/>
      <c r="BCZ248" s="575"/>
      <c r="BDA248" s="575"/>
      <c r="BDB248" s="575"/>
      <c r="BDC248" s="575"/>
      <c r="BDD248" s="575"/>
      <c r="BDE248" s="575"/>
      <c r="BDF248" s="575"/>
      <c r="BDG248" s="575"/>
      <c r="BDH248" s="575"/>
      <c r="BDI248" s="575"/>
      <c r="BDJ248" s="575"/>
      <c r="BDK248" s="575"/>
      <c r="BDL248" s="575"/>
      <c r="BDM248" s="575"/>
      <c r="BDN248" s="575"/>
      <c r="BDO248" s="575"/>
      <c r="BDP248" s="575"/>
      <c r="BDQ248" s="575"/>
      <c r="BDR248" s="575"/>
      <c r="BDS248" s="575"/>
      <c r="BDT248" s="575"/>
    </row>
    <row r="249" spans="1:1476" x14ac:dyDescent="0.25">
      <c r="A249" s="608">
        <v>5842</v>
      </c>
      <c r="B249" s="609" t="s">
        <v>13</v>
      </c>
      <c r="C249" s="610">
        <v>857211.37</v>
      </c>
      <c r="D249" s="610">
        <v>204717.15</v>
      </c>
      <c r="E249" s="610"/>
      <c r="F249" s="611"/>
      <c r="G249" s="610">
        <v>105442.75</v>
      </c>
      <c r="H249" s="610">
        <v>-3502.35</v>
      </c>
      <c r="I249" s="610">
        <v>44271.34</v>
      </c>
      <c r="J249" s="610">
        <v>17955.78</v>
      </c>
      <c r="K249" s="610">
        <v>687.35</v>
      </c>
      <c r="L249" s="610">
        <v>145880.9</v>
      </c>
      <c r="M249" s="434">
        <f t="shared" si="12"/>
        <v>1372664.29</v>
      </c>
      <c r="N249" s="612">
        <v>984.1</v>
      </c>
      <c r="O249" s="612">
        <v>2602.5</v>
      </c>
      <c r="P249" s="612">
        <v>79555.350000000006</v>
      </c>
      <c r="Q249" s="612">
        <v>2762.52</v>
      </c>
      <c r="R249" s="612">
        <v>17990.400000000001</v>
      </c>
      <c r="S249" s="610">
        <v>10653.3</v>
      </c>
      <c r="T249" s="543">
        <f t="shared" si="13"/>
        <v>1487212.4600000002</v>
      </c>
      <c r="U249" s="575">
        <v>-2991.73</v>
      </c>
      <c r="V249" s="612"/>
      <c r="W249" s="612">
        <v>-49.67</v>
      </c>
      <c r="X249" s="624">
        <v>81</v>
      </c>
      <c r="Y249" s="631">
        <v>1.5</v>
      </c>
      <c r="Z249" s="628">
        <f>VLOOKUP(A249,'[2]2022 toutes communes'!$B$9:$D$317,3,FALSE)</f>
        <v>534</v>
      </c>
      <c r="AA249" s="617"/>
      <c r="AB249" s="618">
        <v>29854</v>
      </c>
      <c r="AC249" s="547">
        <f>AB249/VPI!R249</f>
        <v>1.8121648075124475</v>
      </c>
      <c r="AD249" s="548">
        <f t="shared" si="14"/>
        <v>307984</v>
      </c>
      <c r="AE249" s="547">
        <f>AD249/VPI!R249</f>
        <v>18.694907418667974</v>
      </c>
      <c r="AF249" s="618">
        <v>337838</v>
      </c>
      <c r="AG249" s="618">
        <v>65909</v>
      </c>
      <c r="AH249" s="618">
        <v>110000</v>
      </c>
      <c r="AI249" s="637"/>
      <c r="AJ249" s="628">
        <v>0</v>
      </c>
      <c r="AK249" s="547">
        <f>AJ249/VPI!R249</f>
        <v>0</v>
      </c>
      <c r="AL249" s="548">
        <f t="shared" si="15"/>
        <v>60338</v>
      </c>
      <c r="AM249" s="547">
        <f>AL249/VPI!R249</f>
        <v>3.6625711849563229</v>
      </c>
      <c r="AN249" s="628">
        <v>60338</v>
      </c>
      <c r="AO249" s="637"/>
      <c r="AP249" s="629">
        <v>7.2903301724338467</v>
      </c>
      <c r="AR249" s="630">
        <v>0</v>
      </c>
    </row>
    <row r="250" spans="1:1476" x14ac:dyDescent="0.25">
      <c r="A250" s="608">
        <v>5843</v>
      </c>
      <c r="B250" s="609" t="s">
        <v>14</v>
      </c>
      <c r="C250" s="610">
        <v>2600245.23</v>
      </c>
      <c r="D250" s="610">
        <v>2242569.15</v>
      </c>
      <c r="E250" s="610"/>
      <c r="F250" s="611"/>
      <c r="G250" s="610">
        <v>130124.85</v>
      </c>
      <c r="H250" s="610">
        <v>11648.25</v>
      </c>
      <c r="I250" s="610">
        <v>1159560.9099999999</v>
      </c>
      <c r="J250" s="610">
        <v>119291.12</v>
      </c>
      <c r="K250" s="610">
        <v>30953.05</v>
      </c>
      <c r="L250" s="610">
        <v>1226621.1499999999</v>
      </c>
      <c r="M250" s="434">
        <f t="shared" si="12"/>
        <v>7521013.709999999</v>
      </c>
      <c r="N250" s="612">
        <v>6430.85</v>
      </c>
      <c r="O250" s="612">
        <v>198327.5</v>
      </c>
      <c r="P250" s="612">
        <v>866695.7</v>
      </c>
      <c r="Q250" s="612"/>
      <c r="R250" s="612">
        <v>827046</v>
      </c>
      <c r="S250" s="610">
        <v>14816.02</v>
      </c>
      <c r="T250" s="543">
        <f t="shared" si="13"/>
        <v>9434329.7799999975</v>
      </c>
      <c r="U250" s="575">
        <v>-18068.29</v>
      </c>
      <c r="V250" s="612"/>
      <c r="W250" s="612">
        <v>-19678.599999999999</v>
      </c>
      <c r="X250" s="624">
        <v>79</v>
      </c>
      <c r="Y250" s="631">
        <v>1.5</v>
      </c>
      <c r="Z250" s="628">
        <f>VLOOKUP(A250,'[2]2022 toutes communes'!$B$9:$D$317,3,FALSE)</f>
        <v>826</v>
      </c>
      <c r="AA250" s="617"/>
      <c r="AB250" s="618">
        <v>55076</v>
      </c>
      <c r="AC250" s="547">
        <f>AB250/VPI!R250</f>
        <v>0.61375026809114153</v>
      </c>
      <c r="AD250" s="548">
        <f t="shared" si="14"/>
        <v>589875</v>
      </c>
      <c r="AE250" s="547">
        <f>AD250/VPI!R250</f>
        <v>6.5733883976734351</v>
      </c>
      <c r="AF250" s="618">
        <v>644951</v>
      </c>
      <c r="AG250" s="618">
        <v>105849</v>
      </c>
      <c r="AH250" s="618">
        <v>102227</v>
      </c>
      <c r="AI250" s="637"/>
      <c r="AJ250" s="628">
        <v>0</v>
      </c>
      <c r="AK250" s="547">
        <f>AJ250/VPI!R250</f>
        <v>0</v>
      </c>
      <c r="AL250" s="548">
        <f t="shared" si="15"/>
        <v>33700</v>
      </c>
      <c r="AM250" s="547">
        <f>AL250/VPI!R250</f>
        <v>0.3755425963154817</v>
      </c>
      <c r="AN250" s="628">
        <v>33700</v>
      </c>
      <c r="AO250" s="637"/>
      <c r="AP250" s="629">
        <v>45.442833562218411</v>
      </c>
      <c r="AR250" s="630">
        <v>0</v>
      </c>
    </row>
    <row r="251" spans="1:1476" s="632" customFormat="1" x14ac:dyDescent="0.25">
      <c r="A251" s="608">
        <v>5851</v>
      </c>
      <c r="B251" s="609" t="s">
        <v>15</v>
      </c>
      <c r="C251" s="610">
        <v>904148.14</v>
      </c>
      <c r="D251" s="610">
        <v>213334.42</v>
      </c>
      <c r="E251" s="610"/>
      <c r="F251" s="611"/>
      <c r="G251" s="610">
        <v>108096.25</v>
      </c>
      <c r="H251" s="610">
        <v>3550.7</v>
      </c>
      <c r="I251" s="610">
        <v>79456.45</v>
      </c>
      <c r="J251" s="610">
        <v>70206.69</v>
      </c>
      <c r="K251" s="610">
        <v>10918.4</v>
      </c>
      <c r="L251" s="610">
        <v>268600.09999999998</v>
      </c>
      <c r="M251" s="434">
        <f t="shared" si="12"/>
        <v>1658311.15</v>
      </c>
      <c r="N251" s="612">
        <v>65972.95</v>
      </c>
      <c r="O251" s="612">
        <v>4810.1000000000004</v>
      </c>
      <c r="P251" s="612">
        <v>517345.15</v>
      </c>
      <c r="Q251" s="612">
        <v>522.39</v>
      </c>
      <c r="R251" s="612">
        <v>52517.55</v>
      </c>
      <c r="S251" s="610">
        <v>11667.68</v>
      </c>
      <c r="T251" s="543">
        <f t="shared" si="13"/>
        <v>2311146.9700000002</v>
      </c>
      <c r="U251" s="575">
        <v>-22469.91</v>
      </c>
      <c r="V251" s="612"/>
      <c r="W251" s="612">
        <v>-899.9</v>
      </c>
      <c r="X251" s="624">
        <v>65</v>
      </c>
      <c r="Y251" s="631">
        <v>1.2</v>
      </c>
      <c r="Z251" s="628">
        <f>VLOOKUP(A251,'[2]2022 toutes communes'!$B$9:$D$317,3,FALSE)</f>
        <v>420</v>
      </c>
      <c r="AA251" s="617"/>
      <c r="AB251" s="618">
        <v>0</v>
      </c>
      <c r="AC251" s="547">
        <f>AB251/VPI!R251</f>
        <v>0</v>
      </c>
      <c r="AD251" s="548">
        <f t="shared" si="14"/>
        <v>130421</v>
      </c>
      <c r="AE251" s="547">
        <f>AD251/VPI!R251</f>
        <v>5.2905339582924507</v>
      </c>
      <c r="AF251" s="618">
        <v>130421</v>
      </c>
      <c r="AG251" s="618">
        <v>36673</v>
      </c>
      <c r="AH251" s="618">
        <v>40060</v>
      </c>
      <c r="AI251" s="637"/>
      <c r="AJ251" s="628">
        <v>0</v>
      </c>
      <c r="AK251" s="547">
        <f>AJ251/VPI!R251</f>
        <v>0</v>
      </c>
      <c r="AL251" s="548">
        <f t="shared" si="15"/>
        <v>14825</v>
      </c>
      <c r="AM251" s="547">
        <f>AL251/VPI!R251</f>
        <v>0.60137681762665196</v>
      </c>
      <c r="AN251" s="628">
        <v>14825</v>
      </c>
      <c r="AO251" s="637"/>
      <c r="AP251" s="629">
        <v>30.657222249186244</v>
      </c>
      <c r="AQ251" s="575"/>
      <c r="AR251" s="630">
        <v>0</v>
      </c>
      <c r="AS251" s="575"/>
      <c r="AT251" s="575"/>
      <c r="AU251" s="575"/>
      <c r="AV251" s="575"/>
      <c r="AW251" s="575"/>
      <c r="AX251" s="575"/>
      <c r="AY251" s="575"/>
      <c r="AZ251" s="575"/>
      <c r="BA251" s="575"/>
      <c r="BB251" s="575"/>
      <c r="BC251" s="575"/>
      <c r="BD251" s="575"/>
      <c r="BE251" s="575"/>
      <c r="BF251" s="575"/>
      <c r="BG251" s="575"/>
      <c r="BH251" s="575"/>
      <c r="BI251" s="575"/>
      <c r="BJ251" s="575"/>
      <c r="BK251" s="575"/>
      <c r="BL251" s="575"/>
      <c r="BM251" s="575"/>
      <c r="BN251" s="575"/>
      <c r="BO251" s="575"/>
      <c r="BP251" s="575"/>
      <c r="BQ251" s="575"/>
      <c r="BR251" s="575"/>
      <c r="BS251" s="575"/>
      <c r="BT251" s="575"/>
      <c r="BU251" s="575"/>
      <c r="BV251" s="575"/>
      <c r="BW251" s="575"/>
      <c r="BX251" s="575"/>
      <c r="BY251" s="575"/>
      <c r="BZ251" s="575"/>
      <c r="CA251" s="575"/>
      <c r="CB251" s="575"/>
      <c r="CC251" s="575"/>
      <c r="CD251" s="575"/>
      <c r="CE251" s="575"/>
      <c r="CF251" s="575"/>
      <c r="CG251" s="575"/>
      <c r="CH251" s="575"/>
      <c r="CI251" s="575"/>
      <c r="CJ251" s="575"/>
      <c r="CK251" s="575"/>
      <c r="CL251" s="575"/>
      <c r="CM251" s="575"/>
      <c r="CN251" s="575"/>
      <c r="CO251" s="575"/>
      <c r="CP251" s="575"/>
      <c r="CQ251" s="575"/>
      <c r="CR251" s="575"/>
      <c r="CS251" s="575"/>
      <c r="CT251" s="575"/>
      <c r="CU251" s="575"/>
      <c r="CV251" s="575"/>
      <c r="CW251" s="575"/>
      <c r="CX251" s="575"/>
      <c r="CY251" s="575"/>
      <c r="CZ251" s="575"/>
      <c r="DA251" s="575"/>
      <c r="DB251" s="575"/>
      <c r="DC251" s="575"/>
      <c r="DD251" s="575"/>
      <c r="DE251" s="575"/>
      <c r="DF251" s="575"/>
      <c r="DG251" s="575"/>
      <c r="DH251" s="575"/>
      <c r="DI251" s="575"/>
      <c r="DJ251" s="575"/>
      <c r="DK251" s="575"/>
      <c r="DL251" s="575"/>
      <c r="DM251" s="575"/>
      <c r="DN251" s="575"/>
      <c r="DO251" s="575"/>
      <c r="DP251" s="575"/>
      <c r="DQ251" s="575"/>
      <c r="DR251" s="575"/>
      <c r="DS251" s="575"/>
      <c r="DT251" s="575"/>
      <c r="DU251" s="575"/>
      <c r="DV251" s="575"/>
      <c r="DW251" s="575"/>
      <c r="DX251" s="575"/>
      <c r="DY251" s="575"/>
      <c r="DZ251" s="575"/>
      <c r="EA251" s="575"/>
      <c r="EB251" s="575"/>
      <c r="EC251" s="575"/>
      <c r="ED251" s="575"/>
      <c r="EE251" s="575"/>
      <c r="EF251" s="575"/>
      <c r="EG251" s="575"/>
      <c r="EH251" s="575"/>
      <c r="EI251" s="575"/>
      <c r="EJ251" s="575"/>
      <c r="EK251" s="575"/>
      <c r="EL251" s="575"/>
      <c r="EM251" s="575"/>
      <c r="EN251" s="575"/>
      <c r="EO251" s="575"/>
      <c r="EP251" s="575"/>
      <c r="EQ251" s="575"/>
      <c r="ER251" s="575"/>
      <c r="ES251" s="575"/>
      <c r="ET251" s="575"/>
      <c r="EU251" s="575"/>
      <c r="EV251" s="575"/>
      <c r="EW251" s="575"/>
      <c r="EX251" s="575"/>
      <c r="EY251" s="575"/>
      <c r="EZ251" s="575"/>
      <c r="FA251" s="575"/>
      <c r="FB251" s="575"/>
      <c r="FC251" s="575"/>
      <c r="FD251" s="575"/>
      <c r="FE251" s="575"/>
      <c r="FF251" s="575"/>
      <c r="FG251" s="575"/>
      <c r="FH251" s="575"/>
      <c r="FI251" s="575"/>
      <c r="FJ251" s="575"/>
      <c r="FK251" s="575"/>
      <c r="FL251" s="575"/>
      <c r="FM251" s="575"/>
      <c r="FN251" s="575"/>
      <c r="FO251" s="575"/>
      <c r="FP251" s="575"/>
      <c r="FQ251" s="575"/>
      <c r="FR251" s="575"/>
      <c r="FS251" s="575"/>
      <c r="FT251" s="575"/>
      <c r="FU251" s="575"/>
      <c r="FV251" s="575"/>
      <c r="FW251" s="575"/>
      <c r="FX251" s="575"/>
      <c r="FY251" s="575"/>
      <c r="FZ251" s="575"/>
      <c r="GA251" s="575"/>
      <c r="GB251" s="575"/>
      <c r="GC251" s="575"/>
      <c r="GD251" s="575"/>
      <c r="GE251" s="575"/>
      <c r="GF251" s="575"/>
      <c r="GG251" s="575"/>
      <c r="GH251" s="575"/>
      <c r="GI251" s="575"/>
      <c r="GJ251" s="575"/>
      <c r="GK251" s="575"/>
      <c r="GL251" s="575"/>
      <c r="GM251" s="575"/>
      <c r="GN251" s="575"/>
      <c r="GO251" s="575"/>
      <c r="GP251" s="575"/>
      <c r="GQ251" s="575"/>
      <c r="GR251" s="575"/>
      <c r="GS251" s="575"/>
      <c r="GT251" s="575"/>
      <c r="GU251" s="575"/>
      <c r="GV251" s="575"/>
      <c r="GW251" s="575"/>
      <c r="GX251" s="575"/>
      <c r="GY251" s="575"/>
      <c r="GZ251" s="575"/>
      <c r="HA251" s="575"/>
      <c r="HB251" s="575"/>
      <c r="HC251" s="575"/>
      <c r="HD251" s="575"/>
      <c r="HE251" s="575"/>
      <c r="HF251" s="575"/>
      <c r="HG251" s="575"/>
      <c r="HH251" s="575"/>
      <c r="HI251" s="575"/>
      <c r="HJ251" s="575"/>
      <c r="HK251" s="575"/>
      <c r="HL251" s="575"/>
      <c r="HM251" s="575"/>
      <c r="HN251" s="575"/>
      <c r="HO251" s="575"/>
      <c r="HP251" s="575"/>
      <c r="HQ251" s="575"/>
      <c r="HR251" s="575"/>
      <c r="HS251" s="575"/>
      <c r="HT251" s="575"/>
      <c r="HU251" s="575"/>
      <c r="HV251" s="575"/>
      <c r="HW251" s="575"/>
      <c r="HX251" s="575"/>
      <c r="HY251" s="575"/>
      <c r="HZ251" s="575"/>
      <c r="IA251" s="575"/>
      <c r="IB251" s="575"/>
      <c r="IC251" s="575"/>
      <c r="ID251" s="575"/>
      <c r="IE251" s="575"/>
      <c r="IF251" s="575"/>
      <c r="IG251" s="575"/>
      <c r="IH251" s="575"/>
      <c r="II251" s="575"/>
      <c r="IJ251" s="575"/>
      <c r="IK251" s="575"/>
      <c r="IL251" s="575"/>
      <c r="IM251" s="575"/>
      <c r="IN251" s="575"/>
      <c r="IO251" s="575"/>
      <c r="IP251" s="575"/>
      <c r="IQ251" s="575"/>
      <c r="IR251" s="575"/>
      <c r="IS251" s="575"/>
      <c r="IT251" s="575"/>
      <c r="IU251" s="575"/>
      <c r="IV251" s="575"/>
      <c r="IW251" s="575"/>
      <c r="IX251" s="575"/>
      <c r="IY251" s="575"/>
      <c r="IZ251" s="575"/>
      <c r="JA251" s="575"/>
      <c r="JB251" s="575"/>
      <c r="JC251" s="575"/>
      <c r="JD251" s="575"/>
      <c r="JE251" s="575"/>
      <c r="JF251" s="575"/>
      <c r="JG251" s="575"/>
      <c r="JH251" s="575"/>
      <c r="JI251" s="575"/>
      <c r="JJ251" s="575"/>
      <c r="JK251" s="575"/>
      <c r="JL251" s="575"/>
      <c r="JM251" s="575"/>
      <c r="JN251" s="575"/>
      <c r="JO251" s="575"/>
      <c r="JP251" s="575"/>
      <c r="JQ251" s="575"/>
      <c r="JR251" s="575"/>
      <c r="JS251" s="575"/>
      <c r="JT251" s="575"/>
      <c r="JU251" s="575"/>
      <c r="JV251" s="575"/>
      <c r="JW251" s="575"/>
      <c r="JX251" s="575"/>
      <c r="JY251" s="575"/>
      <c r="JZ251" s="575"/>
      <c r="KA251" s="575"/>
      <c r="KB251" s="575"/>
      <c r="KC251" s="575"/>
      <c r="KD251" s="575"/>
      <c r="KE251" s="575"/>
      <c r="KF251" s="575"/>
      <c r="KG251" s="575"/>
      <c r="KH251" s="575"/>
      <c r="KI251" s="575"/>
      <c r="KJ251" s="575"/>
      <c r="KK251" s="575"/>
      <c r="KL251" s="575"/>
      <c r="KM251" s="575"/>
      <c r="KN251" s="575"/>
      <c r="KO251" s="575"/>
      <c r="KP251" s="575"/>
      <c r="KQ251" s="575"/>
      <c r="KR251" s="575"/>
      <c r="KS251" s="575"/>
      <c r="KT251" s="575"/>
      <c r="KU251" s="575"/>
      <c r="KV251" s="575"/>
      <c r="KW251" s="575"/>
      <c r="KX251" s="575"/>
      <c r="KY251" s="575"/>
      <c r="KZ251" s="575"/>
      <c r="LA251" s="575"/>
      <c r="LB251" s="575"/>
      <c r="LC251" s="575"/>
      <c r="LD251" s="575"/>
      <c r="LE251" s="575"/>
      <c r="LF251" s="575"/>
      <c r="LG251" s="575"/>
      <c r="LH251" s="575"/>
      <c r="LI251" s="575"/>
      <c r="LJ251" s="575"/>
      <c r="LK251" s="575"/>
      <c r="LL251" s="575"/>
      <c r="LM251" s="575"/>
      <c r="LN251" s="575"/>
      <c r="LO251" s="575"/>
      <c r="LP251" s="575"/>
      <c r="LQ251" s="575"/>
      <c r="LR251" s="575"/>
      <c r="LS251" s="575"/>
      <c r="LT251" s="575"/>
      <c r="LU251" s="575"/>
      <c r="LV251" s="575"/>
      <c r="LW251" s="575"/>
      <c r="LX251" s="575"/>
      <c r="LY251" s="575"/>
      <c r="LZ251" s="575"/>
      <c r="MA251" s="575"/>
      <c r="MB251" s="575"/>
      <c r="MC251" s="575"/>
      <c r="MD251" s="575"/>
      <c r="ME251" s="575"/>
      <c r="MF251" s="575"/>
      <c r="MG251" s="575"/>
      <c r="MH251" s="575"/>
      <c r="MI251" s="575"/>
      <c r="MJ251" s="575"/>
      <c r="MK251" s="575"/>
      <c r="ML251" s="575"/>
      <c r="MM251" s="575"/>
      <c r="MN251" s="575"/>
      <c r="MO251" s="575"/>
      <c r="MP251" s="575"/>
      <c r="MQ251" s="575"/>
      <c r="MR251" s="575"/>
      <c r="MS251" s="575"/>
      <c r="MT251" s="575"/>
      <c r="MU251" s="575"/>
      <c r="MV251" s="575"/>
      <c r="MW251" s="575"/>
      <c r="MX251" s="575"/>
      <c r="MY251" s="575"/>
      <c r="MZ251" s="575"/>
      <c r="NA251" s="575"/>
      <c r="NB251" s="575"/>
      <c r="NC251" s="575"/>
      <c r="ND251" s="575"/>
      <c r="NE251" s="575"/>
      <c r="NF251" s="575"/>
      <c r="NG251" s="575"/>
      <c r="NH251" s="575"/>
      <c r="NI251" s="575"/>
      <c r="NJ251" s="575"/>
      <c r="NK251" s="575"/>
      <c r="NL251" s="575"/>
      <c r="NM251" s="575"/>
      <c r="NN251" s="575"/>
      <c r="NO251" s="575"/>
      <c r="NP251" s="575"/>
      <c r="NQ251" s="575"/>
      <c r="NR251" s="575"/>
      <c r="NS251" s="575"/>
      <c r="NT251" s="575"/>
      <c r="NU251" s="575"/>
      <c r="NV251" s="575"/>
      <c r="NW251" s="575"/>
      <c r="NX251" s="575"/>
      <c r="NY251" s="575"/>
      <c r="NZ251" s="575"/>
      <c r="OA251" s="575"/>
      <c r="OB251" s="575"/>
      <c r="OC251" s="575"/>
      <c r="OD251" s="575"/>
      <c r="OE251" s="575"/>
      <c r="OF251" s="575"/>
      <c r="OG251" s="575"/>
      <c r="OH251" s="575"/>
      <c r="OI251" s="575"/>
      <c r="OJ251" s="575"/>
      <c r="OK251" s="575"/>
      <c r="OL251" s="575"/>
      <c r="OM251" s="575"/>
      <c r="ON251" s="575"/>
      <c r="OO251" s="575"/>
      <c r="OP251" s="575"/>
      <c r="OQ251" s="575"/>
      <c r="OR251" s="575"/>
      <c r="OS251" s="575"/>
      <c r="OT251" s="575"/>
      <c r="OU251" s="575"/>
      <c r="OV251" s="575"/>
      <c r="OW251" s="575"/>
      <c r="OX251" s="575"/>
      <c r="OY251" s="575"/>
      <c r="OZ251" s="575"/>
      <c r="PA251" s="575"/>
      <c r="PB251" s="575"/>
      <c r="PC251" s="575"/>
      <c r="PD251" s="575"/>
      <c r="PE251" s="575"/>
      <c r="PF251" s="575"/>
      <c r="PG251" s="575"/>
      <c r="PH251" s="575"/>
      <c r="PI251" s="575"/>
      <c r="PJ251" s="575"/>
      <c r="PK251" s="575"/>
      <c r="PL251" s="575"/>
      <c r="PM251" s="575"/>
      <c r="PN251" s="575"/>
      <c r="PO251" s="575"/>
      <c r="PP251" s="575"/>
      <c r="PQ251" s="575"/>
      <c r="PR251" s="575"/>
      <c r="PS251" s="575"/>
      <c r="PT251" s="575"/>
      <c r="PU251" s="575"/>
      <c r="PV251" s="575"/>
      <c r="PW251" s="575"/>
      <c r="PX251" s="575"/>
      <c r="PY251" s="575"/>
      <c r="PZ251" s="575"/>
      <c r="QA251" s="575"/>
      <c r="QB251" s="575"/>
      <c r="QC251" s="575"/>
      <c r="QD251" s="575"/>
      <c r="QE251" s="575"/>
      <c r="QF251" s="575"/>
      <c r="QG251" s="575"/>
      <c r="QH251" s="575"/>
      <c r="QI251" s="575"/>
      <c r="QJ251" s="575"/>
      <c r="QK251" s="575"/>
      <c r="QL251" s="575"/>
      <c r="QM251" s="575"/>
      <c r="QN251" s="575"/>
      <c r="QO251" s="575"/>
      <c r="QP251" s="575"/>
      <c r="QQ251" s="575"/>
      <c r="QR251" s="575"/>
      <c r="QS251" s="575"/>
      <c r="QT251" s="575"/>
      <c r="QU251" s="575"/>
      <c r="QV251" s="575"/>
      <c r="QW251" s="575"/>
      <c r="QX251" s="575"/>
      <c r="QY251" s="575"/>
      <c r="QZ251" s="575"/>
      <c r="RA251" s="575"/>
      <c r="RB251" s="575"/>
      <c r="RC251" s="575"/>
      <c r="RD251" s="575"/>
      <c r="RE251" s="575"/>
      <c r="RF251" s="575"/>
      <c r="RG251" s="575"/>
      <c r="RH251" s="575"/>
      <c r="RI251" s="575"/>
      <c r="RJ251" s="575"/>
      <c r="RK251" s="575"/>
      <c r="RL251" s="575"/>
      <c r="RM251" s="575"/>
      <c r="RN251" s="575"/>
      <c r="RO251" s="575"/>
      <c r="RP251" s="575"/>
      <c r="RQ251" s="575"/>
      <c r="RR251" s="575"/>
      <c r="RS251" s="575"/>
      <c r="RT251" s="575"/>
      <c r="RU251" s="575"/>
      <c r="RV251" s="575"/>
      <c r="RW251" s="575"/>
      <c r="RX251" s="575"/>
      <c r="RY251" s="575"/>
      <c r="RZ251" s="575"/>
      <c r="SA251" s="575"/>
      <c r="SB251" s="575"/>
      <c r="SC251" s="575"/>
      <c r="SD251" s="575"/>
      <c r="SE251" s="575"/>
      <c r="SF251" s="575"/>
      <c r="SG251" s="575"/>
      <c r="SH251" s="575"/>
      <c r="SI251" s="575"/>
      <c r="SJ251" s="575"/>
      <c r="SK251" s="575"/>
      <c r="SL251" s="575"/>
      <c r="SM251" s="575"/>
      <c r="SN251" s="575"/>
      <c r="SO251" s="575"/>
      <c r="SP251" s="575"/>
      <c r="SQ251" s="575"/>
      <c r="SR251" s="575"/>
      <c r="SS251" s="575"/>
      <c r="ST251" s="575"/>
      <c r="SU251" s="575"/>
      <c r="SV251" s="575"/>
      <c r="SW251" s="575"/>
      <c r="SX251" s="575"/>
      <c r="SY251" s="575"/>
      <c r="SZ251" s="575"/>
      <c r="TA251" s="575"/>
      <c r="TB251" s="575"/>
      <c r="TC251" s="575"/>
      <c r="TD251" s="575"/>
      <c r="TE251" s="575"/>
      <c r="TF251" s="575"/>
      <c r="TG251" s="575"/>
      <c r="TH251" s="575"/>
      <c r="TI251" s="575"/>
      <c r="TJ251" s="575"/>
      <c r="TK251" s="575"/>
      <c r="TL251" s="575"/>
      <c r="TM251" s="575"/>
      <c r="TN251" s="575"/>
      <c r="TO251" s="575"/>
      <c r="TP251" s="575"/>
      <c r="TQ251" s="575"/>
      <c r="TR251" s="575"/>
      <c r="TS251" s="575"/>
      <c r="TT251" s="575"/>
      <c r="TU251" s="575"/>
      <c r="TV251" s="575"/>
      <c r="TW251" s="575"/>
      <c r="TX251" s="575"/>
      <c r="TY251" s="575"/>
      <c r="TZ251" s="575"/>
      <c r="UA251" s="575"/>
      <c r="UB251" s="575"/>
      <c r="UC251" s="575"/>
      <c r="UD251" s="575"/>
      <c r="UE251" s="575"/>
      <c r="UF251" s="575"/>
      <c r="UG251" s="575"/>
      <c r="UH251" s="575"/>
      <c r="UI251" s="575"/>
      <c r="UJ251" s="575"/>
      <c r="UK251" s="575"/>
      <c r="UL251" s="575"/>
      <c r="UM251" s="575"/>
      <c r="UN251" s="575"/>
      <c r="UO251" s="575"/>
      <c r="UP251" s="575"/>
      <c r="UQ251" s="575"/>
      <c r="UR251" s="575"/>
      <c r="US251" s="575"/>
      <c r="UT251" s="575"/>
      <c r="UU251" s="575"/>
      <c r="UV251" s="575"/>
      <c r="UW251" s="575"/>
      <c r="UX251" s="575"/>
      <c r="UY251" s="575"/>
      <c r="UZ251" s="575"/>
      <c r="VA251" s="575"/>
      <c r="VB251" s="575"/>
      <c r="VC251" s="575"/>
      <c r="VD251" s="575"/>
      <c r="VE251" s="575"/>
      <c r="VF251" s="575"/>
      <c r="VG251" s="575"/>
      <c r="VH251" s="575"/>
      <c r="VI251" s="575"/>
      <c r="VJ251" s="575"/>
      <c r="VK251" s="575"/>
      <c r="VL251" s="575"/>
      <c r="VM251" s="575"/>
      <c r="VN251" s="575"/>
      <c r="VO251" s="575"/>
      <c r="VP251" s="575"/>
      <c r="VQ251" s="575"/>
      <c r="VR251" s="575"/>
      <c r="VS251" s="575"/>
      <c r="VT251" s="575"/>
      <c r="VU251" s="575"/>
      <c r="VV251" s="575"/>
      <c r="VW251" s="575"/>
      <c r="VX251" s="575"/>
      <c r="VY251" s="575"/>
      <c r="VZ251" s="575"/>
      <c r="WA251" s="575"/>
      <c r="WB251" s="575"/>
      <c r="WC251" s="575"/>
      <c r="WD251" s="575"/>
      <c r="WE251" s="575"/>
      <c r="WF251" s="575"/>
      <c r="WG251" s="575"/>
      <c r="WH251" s="575"/>
      <c r="WI251" s="575"/>
      <c r="WJ251" s="575"/>
      <c r="WK251" s="575"/>
      <c r="WL251" s="575"/>
      <c r="WM251" s="575"/>
      <c r="WN251" s="575"/>
      <c r="WO251" s="575"/>
      <c r="WP251" s="575"/>
      <c r="WQ251" s="575"/>
      <c r="WR251" s="575"/>
      <c r="WS251" s="575"/>
      <c r="WT251" s="575"/>
      <c r="WU251" s="575"/>
      <c r="WV251" s="575"/>
      <c r="WW251" s="575"/>
      <c r="WX251" s="575"/>
      <c r="WY251" s="575"/>
      <c r="WZ251" s="575"/>
      <c r="XA251" s="575"/>
      <c r="XB251" s="575"/>
      <c r="XC251" s="575"/>
      <c r="XD251" s="575"/>
      <c r="XE251" s="575"/>
      <c r="XF251" s="575"/>
      <c r="XG251" s="575"/>
      <c r="XH251" s="575"/>
      <c r="XI251" s="575"/>
      <c r="XJ251" s="575"/>
      <c r="XK251" s="575"/>
      <c r="XL251" s="575"/>
      <c r="XM251" s="575"/>
      <c r="XN251" s="575"/>
      <c r="XO251" s="575"/>
      <c r="XP251" s="575"/>
      <c r="XQ251" s="575"/>
      <c r="XR251" s="575"/>
      <c r="XS251" s="575"/>
      <c r="XT251" s="575"/>
      <c r="XU251" s="575"/>
      <c r="XV251" s="575"/>
      <c r="XW251" s="575"/>
      <c r="XX251" s="575"/>
      <c r="XY251" s="575"/>
      <c r="XZ251" s="575"/>
      <c r="YA251" s="575"/>
      <c r="YB251" s="575"/>
      <c r="YC251" s="575"/>
      <c r="YD251" s="575"/>
      <c r="YE251" s="575"/>
      <c r="YF251" s="575"/>
      <c r="YG251" s="575"/>
      <c r="YH251" s="575"/>
      <c r="YI251" s="575"/>
      <c r="YJ251" s="575"/>
      <c r="YK251" s="575"/>
      <c r="YL251" s="575"/>
      <c r="YM251" s="575"/>
      <c r="YN251" s="575"/>
      <c r="YO251" s="575"/>
      <c r="YP251" s="575"/>
      <c r="YQ251" s="575"/>
      <c r="YR251" s="575"/>
      <c r="YS251" s="575"/>
      <c r="YT251" s="575"/>
      <c r="YU251" s="575"/>
      <c r="YV251" s="575"/>
      <c r="YW251" s="575"/>
      <c r="YX251" s="575"/>
      <c r="YY251" s="575"/>
      <c r="YZ251" s="575"/>
      <c r="ZA251" s="575"/>
      <c r="ZB251" s="575"/>
      <c r="ZC251" s="575"/>
      <c r="ZD251" s="575"/>
      <c r="ZE251" s="575"/>
      <c r="ZF251" s="575"/>
      <c r="ZG251" s="575"/>
      <c r="ZH251" s="575"/>
      <c r="ZI251" s="575"/>
      <c r="ZJ251" s="575"/>
      <c r="ZK251" s="575"/>
      <c r="ZL251" s="575"/>
      <c r="ZM251" s="575"/>
      <c r="ZN251" s="575"/>
      <c r="ZO251" s="575"/>
      <c r="ZP251" s="575"/>
      <c r="ZQ251" s="575"/>
      <c r="ZR251" s="575"/>
      <c r="ZS251" s="575"/>
      <c r="ZT251" s="575"/>
      <c r="ZU251" s="575"/>
      <c r="ZV251" s="575"/>
      <c r="ZW251" s="575"/>
      <c r="ZX251" s="575"/>
      <c r="ZY251" s="575"/>
      <c r="ZZ251" s="575"/>
      <c r="AAA251" s="575"/>
      <c r="AAB251" s="575"/>
      <c r="AAC251" s="575"/>
      <c r="AAD251" s="575"/>
      <c r="AAE251" s="575"/>
      <c r="AAF251" s="575"/>
      <c r="AAG251" s="575"/>
      <c r="AAH251" s="575"/>
      <c r="AAI251" s="575"/>
      <c r="AAJ251" s="575"/>
      <c r="AAK251" s="575"/>
      <c r="AAL251" s="575"/>
      <c r="AAM251" s="575"/>
      <c r="AAN251" s="575"/>
      <c r="AAO251" s="575"/>
      <c r="AAP251" s="575"/>
      <c r="AAQ251" s="575"/>
      <c r="AAR251" s="575"/>
      <c r="AAS251" s="575"/>
      <c r="AAT251" s="575"/>
      <c r="AAU251" s="575"/>
      <c r="AAV251" s="575"/>
      <c r="AAW251" s="575"/>
      <c r="AAX251" s="575"/>
      <c r="AAY251" s="575"/>
      <c r="AAZ251" s="575"/>
      <c r="ABA251" s="575"/>
      <c r="ABB251" s="575"/>
      <c r="ABC251" s="575"/>
      <c r="ABD251" s="575"/>
      <c r="ABE251" s="575"/>
      <c r="ABF251" s="575"/>
      <c r="ABG251" s="575"/>
      <c r="ABH251" s="575"/>
      <c r="ABI251" s="575"/>
      <c r="ABJ251" s="575"/>
      <c r="ABK251" s="575"/>
      <c r="ABL251" s="575"/>
      <c r="ABM251" s="575"/>
      <c r="ABN251" s="575"/>
      <c r="ABO251" s="575"/>
      <c r="ABP251" s="575"/>
      <c r="ABQ251" s="575"/>
      <c r="ABR251" s="575"/>
      <c r="ABS251" s="575"/>
      <c r="ABT251" s="575"/>
      <c r="ABU251" s="575"/>
      <c r="ABV251" s="575"/>
      <c r="ABW251" s="575"/>
      <c r="ABX251" s="575"/>
      <c r="ABY251" s="575"/>
      <c r="ABZ251" s="575"/>
      <c r="ACA251" s="575"/>
      <c r="ACB251" s="575"/>
      <c r="ACC251" s="575"/>
      <c r="ACD251" s="575"/>
      <c r="ACE251" s="575"/>
      <c r="ACF251" s="575"/>
      <c r="ACG251" s="575"/>
      <c r="ACH251" s="575"/>
      <c r="ACI251" s="575"/>
      <c r="ACJ251" s="575"/>
      <c r="ACK251" s="575"/>
      <c r="ACL251" s="575"/>
      <c r="ACM251" s="575"/>
      <c r="ACN251" s="575"/>
      <c r="ACO251" s="575"/>
      <c r="ACP251" s="575"/>
      <c r="ACQ251" s="575"/>
      <c r="ACR251" s="575"/>
      <c r="ACS251" s="575"/>
      <c r="ACT251" s="575"/>
      <c r="ACU251" s="575"/>
      <c r="ACV251" s="575"/>
      <c r="ACW251" s="575"/>
      <c r="ACX251" s="575"/>
      <c r="ACY251" s="575"/>
      <c r="ACZ251" s="575"/>
      <c r="ADA251" s="575"/>
      <c r="ADB251" s="575"/>
      <c r="ADC251" s="575"/>
      <c r="ADD251" s="575"/>
      <c r="ADE251" s="575"/>
      <c r="ADF251" s="575"/>
      <c r="ADG251" s="575"/>
      <c r="ADH251" s="575"/>
      <c r="ADI251" s="575"/>
      <c r="ADJ251" s="575"/>
      <c r="ADK251" s="575"/>
      <c r="ADL251" s="575"/>
      <c r="ADM251" s="575"/>
      <c r="ADN251" s="575"/>
      <c r="ADO251" s="575"/>
      <c r="ADP251" s="575"/>
      <c r="ADQ251" s="575"/>
      <c r="ADR251" s="575"/>
      <c r="ADS251" s="575"/>
      <c r="ADT251" s="575"/>
      <c r="ADU251" s="575"/>
      <c r="ADV251" s="575"/>
      <c r="ADW251" s="575"/>
      <c r="ADX251" s="575"/>
      <c r="ADY251" s="575"/>
      <c r="ADZ251" s="575"/>
      <c r="AEA251" s="575"/>
      <c r="AEB251" s="575"/>
      <c r="AEC251" s="575"/>
      <c r="AED251" s="575"/>
      <c r="AEE251" s="575"/>
      <c r="AEF251" s="575"/>
      <c r="AEG251" s="575"/>
      <c r="AEH251" s="575"/>
      <c r="AEI251" s="575"/>
      <c r="AEJ251" s="575"/>
      <c r="AEK251" s="575"/>
      <c r="AEL251" s="575"/>
      <c r="AEM251" s="575"/>
      <c r="AEN251" s="575"/>
      <c r="AEO251" s="575"/>
      <c r="AEP251" s="575"/>
      <c r="AEQ251" s="575"/>
      <c r="AER251" s="575"/>
      <c r="AES251" s="575"/>
      <c r="AET251" s="575"/>
      <c r="AEU251" s="575"/>
      <c r="AEV251" s="575"/>
      <c r="AEW251" s="575"/>
      <c r="AEX251" s="575"/>
      <c r="AEY251" s="575"/>
      <c r="AEZ251" s="575"/>
      <c r="AFA251" s="575"/>
      <c r="AFB251" s="575"/>
      <c r="AFC251" s="575"/>
      <c r="AFD251" s="575"/>
      <c r="AFE251" s="575"/>
      <c r="AFF251" s="575"/>
      <c r="AFG251" s="575"/>
      <c r="AFH251" s="575"/>
      <c r="AFI251" s="575"/>
      <c r="AFJ251" s="575"/>
      <c r="AFK251" s="575"/>
      <c r="AFL251" s="575"/>
      <c r="AFM251" s="575"/>
      <c r="AFN251" s="575"/>
      <c r="AFO251" s="575"/>
      <c r="AFP251" s="575"/>
      <c r="AFQ251" s="575"/>
      <c r="AFR251" s="575"/>
      <c r="AFS251" s="575"/>
      <c r="AFT251" s="575"/>
      <c r="AFU251" s="575"/>
      <c r="AFV251" s="575"/>
      <c r="AFW251" s="575"/>
      <c r="AFX251" s="575"/>
      <c r="AFY251" s="575"/>
      <c r="AFZ251" s="575"/>
      <c r="AGA251" s="575"/>
      <c r="AGB251" s="575"/>
      <c r="AGC251" s="575"/>
      <c r="AGD251" s="575"/>
      <c r="AGE251" s="575"/>
      <c r="AGF251" s="575"/>
      <c r="AGG251" s="575"/>
      <c r="AGH251" s="575"/>
      <c r="AGI251" s="575"/>
      <c r="AGJ251" s="575"/>
      <c r="AGK251" s="575"/>
      <c r="AGL251" s="575"/>
      <c r="AGM251" s="575"/>
      <c r="AGN251" s="575"/>
      <c r="AGO251" s="575"/>
      <c r="AGP251" s="575"/>
      <c r="AGQ251" s="575"/>
      <c r="AGR251" s="575"/>
      <c r="AGS251" s="575"/>
      <c r="AGT251" s="575"/>
      <c r="AGU251" s="575"/>
      <c r="AGV251" s="575"/>
      <c r="AGW251" s="575"/>
      <c r="AGX251" s="575"/>
      <c r="AGY251" s="575"/>
      <c r="AGZ251" s="575"/>
      <c r="AHA251" s="575"/>
      <c r="AHB251" s="575"/>
      <c r="AHC251" s="575"/>
      <c r="AHD251" s="575"/>
      <c r="AHE251" s="575"/>
      <c r="AHF251" s="575"/>
      <c r="AHG251" s="575"/>
      <c r="AHH251" s="575"/>
      <c r="AHI251" s="575"/>
      <c r="AHJ251" s="575"/>
      <c r="AHK251" s="575"/>
      <c r="AHL251" s="575"/>
      <c r="AHM251" s="575"/>
      <c r="AHN251" s="575"/>
      <c r="AHO251" s="575"/>
      <c r="AHP251" s="575"/>
      <c r="AHQ251" s="575"/>
      <c r="AHR251" s="575"/>
      <c r="AHS251" s="575"/>
      <c r="AHT251" s="575"/>
      <c r="AHU251" s="575"/>
      <c r="AHV251" s="575"/>
      <c r="AHW251" s="575"/>
      <c r="AHX251" s="575"/>
      <c r="AHY251" s="575"/>
      <c r="AHZ251" s="575"/>
      <c r="AIA251" s="575"/>
      <c r="AIB251" s="575"/>
      <c r="AIC251" s="575"/>
      <c r="AID251" s="575"/>
      <c r="AIE251" s="575"/>
      <c r="AIF251" s="575"/>
      <c r="AIG251" s="575"/>
      <c r="AIH251" s="575"/>
      <c r="AII251" s="575"/>
      <c r="AIJ251" s="575"/>
      <c r="AIK251" s="575"/>
      <c r="AIL251" s="575"/>
      <c r="AIM251" s="575"/>
      <c r="AIN251" s="575"/>
      <c r="AIO251" s="575"/>
      <c r="AIP251" s="575"/>
      <c r="AIQ251" s="575"/>
      <c r="AIR251" s="575"/>
      <c r="AIS251" s="575"/>
      <c r="AIT251" s="575"/>
      <c r="AIU251" s="575"/>
      <c r="AIV251" s="575"/>
      <c r="AIW251" s="575"/>
      <c r="AIX251" s="575"/>
      <c r="AIY251" s="575"/>
      <c r="AIZ251" s="575"/>
      <c r="AJA251" s="575"/>
      <c r="AJB251" s="575"/>
      <c r="AJC251" s="575"/>
      <c r="AJD251" s="575"/>
      <c r="AJE251" s="575"/>
      <c r="AJF251" s="575"/>
      <c r="AJG251" s="575"/>
      <c r="AJH251" s="575"/>
      <c r="AJI251" s="575"/>
      <c r="AJJ251" s="575"/>
      <c r="AJK251" s="575"/>
      <c r="AJL251" s="575"/>
      <c r="AJM251" s="575"/>
      <c r="AJN251" s="575"/>
      <c r="AJO251" s="575"/>
      <c r="AJP251" s="575"/>
      <c r="AJQ251" s="575"/>
      <c r="AJR251" s="575"/>
      <c r="AJS251" s="575"/>
      <c r="AJT251" s="575"/>
      <c r="AJU251" s="575"/>
      <c r="AJV251" s="575"/>
      <c r="AJW251" s="575"/>
      <c r="AJX251" s="575"/>
      <c r="AJY251" s="575"/>
      <c r="AJZ251" s="575"/>
      <c r="AKA251" s="575"/>
      <c r="AKB251" s="575"/>
      <c r="AKC251" s="575"/>
      <c r="AKD251" s="575"/>
      <c r="AKE251" s="575"/>
      <c r="AKF251" s="575"/>
      <c r="AKG251" s="575"/>
      <c r="AKH251" s="575"/>
      <c r="AKI251" s="575"/>
      <c r="AKJ251" s="575"/>
      <c r="AKK251" s="575"/>
      <c r="AKL251" s="575"/>
      <c r="AKM251" s="575"/>
      <c r="AKN251" s="575"/>
      <c r="AKO251" s="575"/>
      <c r="AKP251" s="575"/>
      <c r="AKQ251" s="575"/>
      <c r="AKR251" s="575"/>
      <c r="AKS251" s="575"/>
      <c r="AKT251" s="575"/>
      <c r="AKU251" s="575"/>
      <c r="AKV251" s="575"/>
      <c r="AKW251" s="575"/>
      <c r="AKX251" s="575"/>
      <c r="AKY251" s="575"/>
      <c r="AKZ251" s="575"/>
      <c r="ALA251" s="575"/>
      <c r="ALB251" s="575"/>
      <c r="ALC251" s="575"/>
      <c r="ALD251" s="575"/>
      <c r="ALE251" s="575"/>
      <c r="ALF251" s="575"/>
      <c r="ALG251" s="575"/>
      <c r="ALH251" s="575"/>
      <c r="ALI251" s="575"/>
      <c r="ALJ251" s="575"/>
      <c r="ALK251" s="575"/>
      <c r="ALL251" s="575"/>
      <c r="ALM251" s="575"/>
      <c r="ALN251" s="575"/>
      <c r="ALO251" s="575"/>
      <c r="ALP251" s="575"/>
      <c r="ALQ251" s="575"/>
      <c r="ALR251" s="575"/>
      <c r="ALS251" s="575"/>
      <c r="ALT251" s="575"/>
      <c r="ALU251" s="575"/>
      <c r="ALV251" s="575"/>
      <c r="ALW251" s="575"/>
      <c r="ALX251" s="575"/>
      <c r="ALY251" s="575"/>
      <c r="ALZ251" s="575"/>
      <c r="AMA251" s="575"/>
      <c r="AMB251" s="575"/>
      <c r="AMC251" s="575"/>
      <c r="AMD251" s="575"/>
      <c r="AME251" s="575"/>
      <c r="AMF251" s="575"/>
      <c r="AMG251" s="575"/>
      <c r="AMH251" s="575"/>
      <c r="AMI251" s="575"/>
      <c r="AMJ251" s="575"/>
      <c r="AMK251" s="575"/>
      <c r="AML251" s="575"/>
      <c r="AMM251" s="575"/>
      <c r="AMN251" s="575"/>
      <c r="AMO251" s="575"/>
      <c r="AMP251" s="575"/>
      <c r="AMQ251" s="575"/>
      <c r="AMR251" s="575"/>
      <c r="AMS251" s="575"/>
      <c r="AMT251" s="575"/>
      <c r="AMU251" s="575"/>
      <c r="AMV251" s="575"/>
      <c r="AMW251" s="575"/>
      <c r="AMX251" s="575"/>
      <c r="AMY251" s="575"/>
      <c r="AMZ251" s="575"/>
      <c r="ANA251" s="575"/>
      <c r="ANB251" s="575"/>
      <c r="ANC251" s="575"/>
      <c r="AND251" s="575"/>
      <c r="ANE251" s="575"/>
      <c r="ANF251" s="575"/>
      <c r="ANG251" s="575"/>
      <c r="ANH251" s="575"/>
      <c r="ANI251" s="575"/>
      <c r="ANJ251" s="575"/>
      <c r="ANK251" s="575"/>
      <c r="ANL251" s="575"/>
      <c r="ANM251" s="575"/>
      <c r="ANN251" s="575"/>
      <c r="ANO251" s="575"/>
      <c r="ANP251" s="575"/>
      <c r="ANQ251" s="575"/>
      <c r="ANR251" s="575"/>
      <c r="ANS251" s="575"/>
      <c r="ANT251" s="575"/>
      <c r="ANU251" s="575"/>
      <c r="ANV251" s="575"/>
      <c r="ANW251" s="575"/>
      <c r="ANX251" s="575"/>
      <c r="ANY251" s="575"/>
      <c r="ANZ251" s="575"/>
      <c r="AOA251" s="575"/>
      <c r="AOB251" s="575"/>
      <c r="AOC251" s="575"/>
      <c r="AOD251" s="575"/>
      <c r="AOE251" s="575"/>
      <c r="AOF251" s="575"/>
      <c r="AOG251" s="575"/>
      <c r="AOH251" s="575"/>
      <c r="AOI251" s="575"/>
      <c r="AOJ251" s="575"/>
      <c r="AOK251" s="575"/>
      <c r="AOL251" s="575"/>
      <c r="AOM251" s="575"/>
      <c r="AON251" s="575"/>
      <c r="AOO251" s="575"/>
      <c r="AOP251" s="575"/>
      <c r="AOQ251" s="575"/>
      <c r="AOR251" s="575"/>
      <c r="AOS251" s="575"/>
      <c r="AOT251" s="575"/>
      <c r="AOU251" s="575"/>
      <c r="AOV251" s="575"/>
      <c r="AOW251" s="575"/>
      <c r="AOX251" s="575"/>
      <c r="AOY251" s="575"/>
      <c r="AOZ251" s="575"/>
      <c r="APA251" s="575"/>
      <c r="APB251" s="575"/>
      <c r="APC251" s="575"/>
      <c r="APD251" s="575"/>
      <c r="APE251" s="575"/>
      <c r="APF251" s="575"/>
      <c r="APG251" s="575"/>
      <c r="APH251" s="575"/>
      <c r="API251" s="575"/>
      <c r="APJ251" s="575"/>
      <c r="APK251" s="575"/>
      <c r="APL251" s="575"/>
      <c r="APM251" s="575"/>
      <c r="APN251" s="575"/>
      <c r="APO251" s="575"/>
      <c r="APP251" s="575"/>
      <c r="APQ251" s="575"/>
      <c r="APR251" s="575"/>
      <c r="APS251" s="575"/>
      <c r="APT251" s="575"/>
      <c r="APU251" s="575"/>
      <c r="APV251" s="575"/>
      <c r="APW251" s="575"/>
      <c r="APX251" s="575"/>
      <c r="APY251" s="575"/>
      <c r="APZ251" s="575"/>
      <c r="AQA251" s="575"/>
      <c r="AQB251" s="575"/>
      <c r="AQC251" s="575"/>
      <c r="AQD251" s="575"/>
      <c r="AQE251" s="575"/>
      <c r="AQF251" s="575"/>
      <c r="AQG251" s="575"/>
      <c r="AQH251" s="575"/>
      <c r="AQI251" s="575"/>
      <c r="AQJ251" s="575"/>
      <c r="AQK251" s="575"/>
      <c r="AQL251" s="575"/>
      <c r="AQM251" s="575"/>
      <c r="AQN251" s="575"/>
      <c r="AQO251" s="575"/>
      <c r="AQP251" s="575"/>
      <c r="AQQ251" s="575"/>
      <c r="AQR251" s="575"/>
      <c r="AQS251" s="575"/>
      <c r="AQT251" s="575"/>
      <c r="AQU251" s="575"/>
      <c r="AQV251" s="575"/>
      <c r="AQW251" s="575"/>
      <c r="AQX251" s="575"/>
      <c r="AQY251" s="575"/>
      <c r="AQZ251" s="575"/>
      <c r="ARA251" s="575"/>
      <c r="ARB251" s="575"/>
      <c r="ARC251" s="575"/>
      <c r="ARD251" s="575"/>
      <c r="ARE251" s="575"/>
      <c r="ARF251" s="575"/>
      <c r="ARG251" s="575"/>
      <c r="ARH251" s="575"/>
      <c r="ARI251" s="575"/>
      <c r="ARJ251" s="575"/>
      <c r="ARK251" s="575"/>
      <c r="ARL251" s="575"/>
      <c r="ARM251" s="575"/>
      <c r="ARN251" s="575"/>
      <c r="ARO251" s="575"/>
      <c r="ARP251" s="575"/>
      <c r="ARQ251" s="575"/>
      <c r="ARR251" s="575"/>
      <c r="ARS251" s="575"/>
      <c r="ART251" s="575"/>
      <c r="ARU251" s="575"/>
      <c r="ARV251" s="575"/>
      <c r="ARW251" s="575"/>
      <c r="ARX251" s="575"/>
      <c r="ARY251" s="575"/>
      <c r="ARZ251" s="575"/>
      <c r="ASA251" s="575"/>
      <c r="ASB251" s="575"/>
      <c r="ASC251" s="575"/>
      <c r="ASD251" s="575"/>
      <c r="ASE251" s="575"/>
      <c r="ASF251" s="575"/>
      <c r="ASG251" s="575"/>
      <c r="ASH251" s="575"/>
      <c r="ASI251" s="575"/>
      <c r="ASJ251" s="575"/>
      <c r="ASK251" s="575"/>
      <c r="ASL251" s="575"/>
      <c r="ASM251" s="575"/>
      <c r="ASN251" s="575"/>
      <c r="ASO251" s="575"/>
      <c r="ASP251" s="575"/>
      <c r="ASQ251" s="575"/>
      <c r="ASR251" s="575"/>
      <c r="ASS251" s="575"/>
      <c r="AST251" s="575"/>
      <c r="ASU251" s="575"/>
      <c r="ASV251" s="575"/>
      <c r="ASW251" s="575"/>
      <c r="ASX251" s="575"/>
      <c r="ASY251" s="575"/>
      <c r="ASZ251" s="575"/>
      <c r="ATA251" s="575"/>
      <c r="ATB251" s="575"/>
      <c r="ATC251" s="575"/>
      <c r="ATD251" s="575"/>
      <c r="ATE251" s="575"/>
      <c r="ATF251" s="575"/>
      <c r="ATG251" s="575"/>
      <c r="ATH251" s="575"/>
      <c r="ATI251" s="575"/>
      <c r="ATJ251" s="575"/>
      <c r="ATK251" s="575"/>
      <c r="ATL251" s="575"/>
      <c r="ATM251" s="575"/>
      <c r="ATN251" s="575"/>
      <c r="ATO251" s="575"/>
      <c r="ATP251" s="575"/>
      <c r="ATQ251" s="575"/>
      <c r="ATR251" s="575"/>
      <c r="ATS251" s="575"/>
      <c r="ATT251" s="575"/>
      <c r="ATU251" s="575"/>
      <c r="ATV251" s="575"/>
      <c r="ATW251" s="575"/>
      <c r="ATX251" s="575"/>
      <c r="ATY251" s="575"/>
      <c r="ATZ251" s="575"/>
      <c r="AUA251" s="575"/>
      <c r="AUB251" s="575"/>
      <c r="AUC251" s="575"/>
      <c r="AUD251" s="575"/>
      <c r="AUE251" s="575"/>
      <c r="AUF251" s="575"/>
      <c r="AUG251" s="575"/>
      <c r="AUH251" s="575"/>
      <c r="AUI251" s="575"/>
      <c r="AUJ251" s="575"/>
      <c r="AUK251" s="575"/>
      <c r="AUL251" s="575"/>
      <c r="AUM251" s="575"/>
      <c r="AUN251" s="575"/>
      <c r="AUO251" s="575"/>
      <c r="AUP251" s="575"/>
      <c r="AUQ251" s="575"/>
      <c r="AUR251" s="575"/>
      <c r="AUS251" s="575"/>
      <c r="AUT251" s="575"/>
      <c r="AUU251" s="575"/>
      <c r="AUV251" s="575"/>
      <c r="AUW251" s="575"/>
      <c r="AUX251" s="575"/>
      <c r="AUY251" s="575"/>
      <c r="AUZ251" s="575"/>
      <c r="AVA251" s="575"/>
      <c r="AVB251" s="575"/>
      <c r="AVC251" s="575"/>
      <c r="AVD251" s="575"/>
      <c r="AVE251" s="575"/>
      <c r="AVF251" s="575"/>
      <c r="AVG251" s="575"/>
      <c r="AVH251" s="575"/>
      <c r="AVI251" s="575"/>
      <c r="AVJ251" s="575"/>
      <c r="AVK251" s="575"/>
      <c r="AVL251" s="575"/>
      <c r="AVM251" s="575"/>
      <c r="AVN251" s="575"/>
      <c r="AVO251" s="575"/>
      <c r="AVP251" s="575"/>
      <c r="AVQ251" s="575"/>
      <c r="AVR251" s="575"/>
      <c r="AVS251" s="575"/>
      <c r="AVT251" s="575"/>
      <c r="AVU251" s="575"/>
      <c r="AVV251" s="575"/>
      <c r="AVW251" s="575"/>
      <c r="AVX251" s="575"/>
      <c r="AVY251" s="575"/>
      <c r="AVZ251" s="575"/>
      <c r="AWA251" s="575"/>
      <c r="AWB251" s="575"/>
      <c r="AWC251" s="575"/>
      <c r="AWD251" s="575"/>
      <c r="AWE251" s="575"/>
      <c r="AWF251" s="575"/>
      <c r="AWG251" s="575"/>
      <c r="AWH251" s="575"/>
      <c r="AWI251" s="575"/>
      <c r="AWJ251" s="575"/>
      <c r="AWK251" s="575"/>
      <c r="AWL251" s="575"/>
      <c r="AWM251" s="575"/>
      <c r="AWN251" s="575"/>
      <c r="AWO251" s="575"/>
      <c r="AWP251" s="575"/>
      <c r="AWQ251" s="575"/>
      <c r="AWR251" s="575"/>
      <c r="AWS251" s="575"/>
      <c r="AWT251" s="575"/>
      <c r="AWU251" s="575"/>
      <c r="AWV251" s="575"/>
      <c r="AWW251" s="575"/>
      <c r="AWX251" s="575"/>
      <c r="AWY251" s="575"/>
      <c r="AWZ251" s="575"/>
      <c r="AXA251" s="575"/>
      <c r="AXB251" s="575"/>
      <c r="AXC251" s="575"/>
      <c r="AXD251" s="575"/>
      <c r="AXE251" s="575"/>
      <c r="AXF251" s="575"/>
      <c r="AXG251" s="575"/>
      <c r="AXH251" s="575"/>
      <c r="AXI251" s="575"/>
      <c r="AXJ251" s="575"/>
      <c r="AXK251" s="575"/>
      <c r="AXL251" s="575"/>
      <c r="AXM251" s="575"/>
      <c r="AXN251" s="575"/>
      <c r="AXO251" s="575"/>
      <c r="AXP251" s="575"/>
      <c r="AXQ251" s="575"/>
      <c r="AXR251" s="575"/>
      <c r="AXS251" s="575"/>
      <c r="AXT251" s="575"/>
      <c r="AXU251" s="575"/>
      <c r="AXV251" s="575"/>
      <c r="AXW251" s="575"/>
      <c r="AXX251" s="575"/>
      <c r="AXY251" s="575"/>
      <c r="AXZ251" s="575"/>
      <c r="AYA251" s="575"/>
      <c r="AYB251" s="575"/>
      <c r="AYC251" s="575"/>
      <c r="AYD251" s="575"/>
      <c r="AYE251" s="575"/>
      <c r="AYF251" s="575"/>
      <c r="AYG251" s="575"/>
      <c r="AYH251" s="575"/>
      <c r="AYI251" s="575"/>
      <c r="AYJ251" s="575"/>
      <c r="AYK251" s="575"/>
      <c r="AYL251" s="575"/>
      <c r="AYM251" s="575"/>
      <c r="AYN251" s="575"/>
      <c r="AYO251" s="575"/>
      <c r="AYP251" s="575"/>
      <c r="AYQ251" s="575"/>
      <c r="AYR251" s="575"/>
      <c r="AYS251" s="575"/>
      <c r="AYT251" s="575"/>
      <c r="AYU251" s="575"/>
      <c r="AYV251" s="575"/>
      <c r="AYW251" s="575"/>
      <c r="AYX251" s="575"/>
      <c r="AYY251" s="575"/>
      <c r="AYZ251" s="575"/>
      <c r="AZA251" s="575"/>
      <c r="AZB251" s="575"/>
      <c r="AZC251" s="575"/>
      <c r="AZD251" s="575"/>
      <c r="AZE251" s="575"/>
      <c r="AZF251" s="575"/>
      <c r="AZG251" s="575"/>
      <c r="AZH251" s="575"/>
      <c r="AZI251" s="575"/>
      <c r="AZJ251" s="575"/>
      <c r="AZK251" s="575"/>
      <c r="AZL251" s="575"/>
      <c r="AZM251" s="575"/>
      <c r="AZN251" s="575"/>
      <c r="AZO251" s="575"/>
      <c r="AZP251" s="575"/>
      <c r="AZQ251" s="575"/>
      <c r="AZR251" s="575"/>
      <c r="AZS251" s="575"/>
      <c r="AZT251" s="575"/>
      <c r="AZU251" s="575"/>
      <c r="AZV251" s="575"/>
      <c r="AZW251" s="575"/>
      <c r="AZX251" s="575"/>
      <c r="AZY251" s="575"/>
      <c r="AZZ251" s="575"/>
      <c r="BAA251" s="575"/>
      <c r="BAB251" s="575"/>
      <c r="BAC251" s="575"/>
      <c r="BAD251" s="575"/>
      <c r="BAE251" s="575"/>
      <c r="BAF251" s="575"/>
      <c r="BAG251" s="575"/>
      <c r="BAH251" s="575"/>
      <c r="BAI251" s="575"/>
      <c r="BAJ251" s="575"/>
      <c r="BAK251" s="575"/>
      <c r="BAL251" s="575"/>
      <c r="BAM251" s="575"/>
      <c r="BAN251" s="575"/>
      <c r="BAO251" s="575"/>
      <c r="BAP251" s="575"/>
      <c r="BAQ251" s="575"/>
      <c r="BAR251" s="575"/>
      <c r="BAS251" s="575"/>
      <c r="BAT251" s="575"/>
      <c r="BAU251" s="575"/>
      <c r="BAV251" s="575"/>
      <c r="BAW251" s="575"/>
      <c r="BAX251" s="575"/>
      <c r="BAY251" s="575"/>
      <c r="BAZ251" s="575"/>
      <c r="BBA251" s="575"/>
      <c r="BBB251" s="575"/>
      <c r="BBC251" s="575"/>
      <c r="BBD251" s="575"/>
      <c r="BBE251" s="575"/>
      <c r="BBF251" s="575"/>
      <c r="BBG251" s="575"/>
      <c r="BBH251" s="575"/>
      <c r="BBI251" s="575"/>
      <c r="BBJ251" s="575"/>
      <c r="BBK251" s="575"/>
      <c r="BBL251" s="575"/>
      <c r="BBM251" s="575"/>
      <c r="BBN251" s="575"/>
      <c r="BBO251" s="575"/>
      <c r="BBP251" s="575"/>
      <c r="BBQ251" s="575"/>
      <c r="BBR251" s="575"/>
      <c r="BBS251" s="575"/>
      <c r="BBT251" s="575"/>
      <c r="BBU251" s="575"/>
      <c r="BBV251" s="575"/>
      <c r="BBW251" s="575"/>
      <c r="BBX251" s="575"/>
      <c r="BBY251" s="575"/>
      <c r="BBZ251" s="575"/>
      <c r="BCA251" s="575"/>
      <c r="BCB251" s="575"/>
      <c r="BCC251" s="575"/>
      <c r="BCD251" s="575"/>
      <c r="BCE251" s="575"/>
      <c r="BCF251" s="575"/>
      <c r="BCG251" s="575"/>
      <c r="BCH251" s="575"/>
      <c r="BCI251" s="575"/>
      <c r="BCJ251" s="575"/>
      <c r="BCK251" s="575"/>
      <c r="BCL251" s="575"/>
      <c r="BCM251" s="575"/>
      <c r="BCN251" s="575"/>
      <c r="BCO251" s="575"/>
      <c r="BCP251" s="575"/>
      <c r="BCQ251" s="575"/>
      <c r="BCR251" s="575"/>
      <c r="BCS251" s="575"/>
      <c r="BCT251" s="575"/>
      <c r="BCU251" s="575"/>
      <c r="BCV251" s="575"/>
      <c r="BCW251" s="575"/>
      <c r="BCX251" s="575"/>
      <c r="BCY251" s="575"/>
      <c r="BCZ251" s="575"/>
      <c r="BDA251" s="575"/>
      <c r="BDB251" s="575"/>
      <c r="BDC251" s="575"/>
      <c r="BDD251" s="575"/>
      <c r="BDE251" s="575"/>
      <c r="BDF251" s="575"/>
      <c r="BDG251" s="575"/>
      <c r="BDH251" s="575"/>
      <c r="BDI251" s="575"/>
      <c r="BDJ251" s="575"/>
      <c r="BDK251" s="575"/>
      <c r="BDL251" s="575"/>
      <c r="BDM251" s="575"/>
      <c r="BDN251" s="575"/>
      <c r="BDO251" s="575"/>
      <c r="BDP251" s="575"/>
      <c r="BDQ251" s="575"/>
      <c r="BDR251" s="575"/>
      <c r="BDS251" s="575"/>
      <c r="BDT251" s="575"/>
    </row>
    <row r="252" spans="1:1476" x14ac:dyDescent="0.25">
      <c r="A252" s="608">
        <v>5852</v>
      </c>
      <c r="B252" s="609" t="s">
        <v>16</v>
      </c>
      <c r="C252" s="610">
        <v>1211573.7</v>
      </c>
      <c r="D252" s="610">
        <v>517751.73</v>
      </c>
      <c r="E252" s="610"/>
      <c r="F252" s="611"/>
      <c r="G252" s="610">
        <v>43756.4</v>
      </c>
      <c r="H252" s="610">
        <v>381.6</v>
      </c>
      <c r="I252" s="610">
        <v>249327.18</v>
      </c>
      <c r="J252" s="610">
        <v>27293.119999999999</v>
      </c>
      <c r="K252" s="610">
        <v>11969.35</v>
      </c>
      <c r="L252" s="610">
        <v>145145.85</v>
      </c>
      <c r="M252" s="434">
        <f t="shared" si="12"/>
        <v>2207198.9300000002</v>
      </c>
      <c r="N252" s="612">
        <v>10092.549999999999</v>
      </c>
      <c r="O252" s="612">
        <v>60934.6</v>
      </c>
      <c r="P252" s="612">
        <v>66165</v>
      </c>
      <c r="Q252" s="612"/>
      <c r="R252" s="612">
        <v>96446.55</v>
      </c>
      <c r="S252" s="610">
        <v>4612.6499999999996</v>
      </c>
      <c r="T252" s="543">
        <f t="shared" si="13"/>
        <v>2445450.2799999998</v>
      </c>
      <c r="U252" s="575">
        <v>-16711.259999999998</v>
      </c>
      <c r="V252" s="612"/>
      <c r="W252" s="612">
        <v>-33207.4</v>
      </c>
      <c r="X252" s="624">
        <v>62</v>
      </c>
      <c r="Y252" s="631">
        <v>0.75</v>
      </c>
      <c r="Z252" s="628">
        <f>VLOOKUP(A252,'[2]2022 toutes communes'!$B$9:$D$317,3,FALSE)</f>
        <v>503</v>
      </c>
      <c r="AA252" s="617"/>
      <c r="AB252" s="618"/>
      <c r="AC252" s="547">
        <f>AB252/VPI!R252</f>
        <v>0</v>
      </c>
      <c r="AD252" s="548">
        <f t="shared" si="14"/>
        <v>0</v>
      </c>
      <c r="AE252" s="547">
        <f>AD252/VPI!R252</f>
        <v>0</v>
      </c>
      <c r="AF252" s="618"/>
      <c r="AG252" s="618"/>
      <c r="AH252" s="618"/>
      <c r="AI252" s="637"/>
      <c r="AJ252" s="628"/>
      <c r="AK252" s="547">
        <f>AJ252/VPI!R252</f>
        <v>0</v>
      </c>
      <c r="AL252" s="548">
        <f t="shared" si="15"/>
        <v>0</v>
      </c>
      <c r="AM252" s="547">
        <f>AL252/VPI!R252</f>
        <v>0</v>
      </c>
      <c r="AN252" s="628"/>
      <c r="AO252" s="637"/>
      <c r="AP252" s="629">
        <v>33.321693419210249</v>
      </c>
      <c r="AR252" s="630">
        <v>0</v>
      </c>
    </row>
    <row r="253" spans="1:1476" x14ac:dyDescent="0.25">
      <c r="A253" s="608">
        <v>5853</v>
      </c>
      <c r="B253" s="609" t="s">
        <v>17</v>
      </c>
      <c r="C253" s="610">
        <v>2340904.59</v>
      </c>
      <c r="D253" s="610">
        <v>468286.11</v>
      </c>
      <c r="E253" s="610"/>
      <c r="F253" s="611"/>
      <c r="G253" s="610">
        <v>34104.400000000001</v>
      </c>
      <c r="H253" s="610">
        <v>7609.65</v>
      </c>
      <c r="I253" s="610">
        <v>323945.40000000002</v>
      </c>
      <c r="J253" s="610">
        <v>-18891.330000000002</v>
      </c>
      <c r="K253" s="610">
        <v>12308.25</v>
      </c>
      <c r="L253" s="610">
        <v>224651.2</v>
      </c>
      <c r="M253" s="434">
        <f t="shared" si="12"/>
        <v>3392918.2699999996</v>
      </c>
      <c r="N253" s="612">
        <v>79871.399999999994</v>
      </c>
      <c r="O253" s="612">
        <v>223965.8</v>
      </c>
      <c r="P253" s="612">
        <v>263022.55</v>
      </c>
      <c r="Q253" s="612">
        <v>1673.99</v>
      </c>
      <c r="R253" s="612">
        <v>249201.3</v>
      </c>
      <c r="S253" s="610">
        <v>4359.33</v>
      </c>
      <c r="T253" s="543">
        <f t="shared" si="13"/>
        <v>4215012.6399999997</v>
      </c>
      <c r="U253" s="575">
        <v>-21887.99</v>
      </c>
      <c r="V253" s="612"/>
      <c r="W253" s="612">
        <v>-1991.1</v>
      </c>
      <c r="X253" s="624">
        <v>71</v>
      </c>
      <c r="Y253" s="631">
        <v>1</v>
      </c>
      <c r="Z253" s="628">
        <f>VLOOKUP(A253,'[2]2022 toutes communes'!$B$9:$D$317,3,FALSE)</f>
        <v>766</v>
      </c>
      <c r="AA253" s="617"/>
      <c r="AB253" s="618">
        <v>40646</v>
      </c>
      <c r="AC253" s="547">
        <f>AB253/VPI!R253</f>
        <v>0.85505303960137169</v>
      </c>
      <c r="AD253" s="548">
        <f t="shared" si="14"/>
        <v>124435</v>
      </c>
      <c r="AE253" s="547">
        <f>AD253/VPI!R253</f>
        <v>2.6176874718987522</v>
      </c>
      <c r="AF253" s="618">
        <v>165081</v>
      </c>
      <c r="AG253" s="618">
        <v>69046</v>
      </c>
      <c r="AH253" s="618">
        <v>68986</v>
      </c>
      <c r="AI253" s="637"/>
      <c r="AJ253" s="628">
        <v>0</v>
      </c>
      <c r="AK253" s="547">
        <f>AJ253/VPI!R253</f>
        <v>0</v>
      </c>
      <c r="AL253" s="548">
        <f t="shared" si="15"/>
        <v>15102</v>
      </c>
      <c r="AM253" s="547">
        <f>AL253/VPI!R253</f>
        <v>0.31769450878462613</v>
      </c>
      <c r="AN253" s="628">
        <v>15102</v>
      </c>
      <c r="AO253" s="637"/>
      <c r="AP253" s="629">
        <v>30.943739487095645</v>
      </c>
      <c r="AR253" s="630">
        <v>0</v>
      </c>
    </row>
    <row r="254" spans="1:1476" x14ac:dyDescent="0.25">
      <c r="A254" s="608">
        <v>5854</v>
      </c>
      <c r="B254" s="609" t="s">
        <v>18</v>
      </c>
      <c r="C254" s="610">
        <v>942064.64000000001</v>
      </c>
      <c r="D254" s="610">
        <v>190265.92</v>
      </c>
      <c r="E254" s="610"/>
      <c r="F254" s="611"/>
      <c r="G254" s="610">
        <v>2333.65</v>
      </c>
      <c r="H254" s="610">
        <v>2682.8</v>
      </c>
      <c r="I254" s="610"/>
      <c r="J254" s="610">
        <v>-5462.51</v>
      </c>
      <c r="K254" s="610">
        <v>3396.9</v>
      </c>
      <c r="L254" s="610">
        <v>118292.2</v>
      </c>
      <c r="M254" s="434">
        <f t="shared" si="12"/>
        <v>1253573.5999999999</v>
      </c>
      <c r="N254" s="612">
        <v>17144.25</v>
      </c>
      <c r="O254" s="612"/>
      <c r="P254" s="612">
        <v>58133.35</v>
      </c>
      <c r="Q254" s="612"/>
      <c r="R254" s="612">
        <v>44850.400000000001</v>
      </c>
      <c r="S254" s="610">
        <v>524.24</v>
      </c>
      <c r="T254" s="543">
        <f t="shared" si="13"/>
        <v>1374225.8399999999</v>
      </c>
      <c r="U254" s="575">
        <v>-15984.02</v>
      </c>
      <c r="V254" s="612"/>
      <c r="W254" s="612">
        <v>-703.74</v>
      </c>
      <c r="X254" s="624">
        <v>78.5</v>
      </c>
      <c r="Y254" s="631">
        <v>1.5</v>
      </c>
      <c r="Z254" s="628">
        <f>VLOOKUP(A254,'[2]2022 toutes communes'!$B$9:$D$317,3,FALSE)</f>
        <v>414</v>
      </c>
      <c r="AA254" s="617"/>
      <c r="AB254" s="618">
        <v>0</v>
      </c>
      <c r="AC254" s="547">
        <f>AB254/VPI!R254</f>
        <v>0</v>
      </c>
      <c r="AD254" s="548">
        <f t="shared" si="14"/>
        <v>102530</v>
      </c>
      <c r="AE254" s="547">
        <f>AD254/VPI!R254</f>
        <v>6.7184839391388076</v>
      </c>
      <c r="AF254" s="618">
        <v>102530</v>
      </c>
      <c r="AG254" s="618">
        <v>14192</v>
      </c>
      <c r="AH254" s="618">
        <v>40472</v>
      </c>
      <c r="AI254" s="637"/>
      <c r="AJ254" s="628">
        <v>0</v>
      </c>
      <c r="AK254" s="547">
        <f>AJ254/VPI!R254</f>
        <v>0</v>
      </c>
      <c r="AL254" s="548">
        <f t="shared" si="15"/>
        <v>23868</v>
      </c>
      <c r="AM254" s="547">
        <f>AL254/VPI!R254</f>
        <v>1.5639985824574765</v>
      </c>
      <c r="AN254" s="628">
        <v>23868</v>
      </c>
      <c r="AO254" s="637"/>
      <c r="AP254" s="629">
        <v>19.283542136804243</v>
      </c>
      <c r="AR254" s="630">
        <v>0</v>
      </c>
    </row>
    <row r="255" spans="1:1476" x14ac:dyDescent="0.25">
      <c r="A255" s="608">
        <v>5855</v>
      </c>
      <c r="B255" s="609" t="s">
        <v>19</v>
      </c>
      <c r="C255" s="610">
        <v>2204537.69</v>
      </c>
      <c r="D255" s="610">
        <v>847933.17</v>
      </c>
      <c r="E255" s="610"/>
      <c r="F255" s="611"/>
      <c r="G255" s="610">
        <v>7846.35</v>
      </c>
      <c r="H255" s="610">
        <v>26604.65</v>
      </c>
      <c r="I255" s="610">
        <v>901132.28</v>
      </c>
      <c r="J255" s="610">
        <v>-6793.38</v>
      </c>
      <c r="K255" s="610">
        <v>24306</v>
      </c>
      <c r="L255" s="610">
        <v>387368.7</v>
      </c>
      <c r="M255" s="434">
        <f t="shared" si="12"/>
        <v>4392935.46</v>
      </c>
      <c r="N255" s="612">
        <v>1933.5</v>
      </c>
      <c r="O255" s="612">
        <v>111189.9</v>
      </c>
      <c r="P255" s="612">
        <v>350603</v>
      </c>
      <c r="Q255" s="612"/>
      <c r="R255" s="612">
        <v>903080.05</v>
      </c>
      <c r="S255" s="610">
        <v>3600.31</v>
      </c>
      <c r="T255" s="543">
        <f t="shared" si="13"/>
        <v>5763342.2199999997</v>
      </c>
      <c r="U255" s="575">
        <v>-1344.77</v>
      </c>
      <c r="V255" s="612"/>
      <c r="W255" s="612">
        <v>-18880.830000000002</v>
      </c>
      <c r="X255" s="624">
        <v>53</v>
      </c>
      <c r="Y255" s="631">
        <v>1</v>
      </c>
      <c r="Z255" s="628">
        <f>VLOOKUP(A255,'[2]2022 toutes communes'!$B$9:$D$317,3,FALSE)</f>
        <v>631</v>
      </c>
      <c r="AA255" s="617"/>
      <c r="AB255" s="618"/>
      <c r="AC255" s="547">
        <f>AB255/VPI!R255</f>
        <v>0</v>
      </c>
      <c r="AD255" s="548">
        <f t="shared" si="14"/>
        <v>0</v>
      </c>
      <c r="AE255" s="547">
        <f>AD255/VPI!R255</f>
        <v>0</v>
      </c>
      <c r="AF255" s="618"/>
      <c r="AG255" s="618"/>
      <c r="AH255" s="618"/>
      <c r="AI255" s="637"/>
      <c r="AJ255" s="628"/>
      <c r="AK255" s="547">
        <f>AJ255/VPI!R255</f>
        <v>0</v>
      </c>
      <c r="AL255" s="548">
        <f t="shared" si="15"/>
        <v>0</v>
      </c>
      <c r="AM255" s="547">
        <f>AL255/VPI!R255</f>
        <v>0</v>
      </c>
      <c r="AN255" s="628"/>
      <c r="AO255" s="637"/>
      <c r="AP255" s="629">
        <v>43.842206024665565</v>
      </c>
      <c r="AR255" s="630">
        <v>0</v>
      </c>
    </row>
    <row r="256" spans="1:1476" s="632" customFormat="1" x14ac:dyDescent="0.25">
      <c r="A256" s="608">
        <v>5856</v>
      </c>
      <c r="B256" s="609" t="s">
        <v>20</v>
      </c>
      <c r="C256" s="610">
        <v>1636493.85</v>
      </c>
      <c r="D256" s="610">
        <v>355724.89</v>
      </c>
      <c r="E256" s="610"/>
      <c r="F256" s="611"/>
      <c r="G256" s="610">
        <v>5179.1499999999996</v>
      </c>
      <c r="H256" s="610">
        <v>621.85</v>
      </c>
      <c r="I256" s="610">
        <v>211283.6</v>
      </c>
      <c r="J256" s="610">
        <v>23463.119999999999</v>
      </c>
      <c r="K256" s="610">
        <v>1841.65</v>
      </c>
      <c r="L256" s="610">
        <v>261757.6</v>
      </c>
      <c r="M256" s="434">
        <f t="shared" si="12"/>
        <v>2496365.7100000004</v>
      </c>
      <c r="N256" s="612">
        <v>7815.05</v>
      </c>
      <c r="O256" s="612">
        <v>6578.9</v>
      </c>
      <c r="P256" s="612">
        <v>127853.25</v>
      </c>
      <c r="Q256" s="612"/>
      <c r="R256" s="612">
        <v>72234.600000000006</v>
      </c>
      <c r="S256" s="610">
        <v>606.23</v>
      </c>
      <c r="T256" s="543">
        <f t="shared" si="13"/>
        <v>2711453.74</v>
      </c>
      <c r="U256" s="575">
        <v>-10033.66</v>
      </c>
      <c r="V256" s="612"/>
      <c r="W256" s="612">
        <v>-1888.65</v>
      </c>
      <c r="X256" s="624">
        <v>66.5</v>
      </c>
      <c r="Y256" s="631">
        <v>1.3</v>
      </c>
      <c r="Z256" s="628">
        <f>VLOOKUP(A256,'[2]2022 toutes communes'!$B$9:$D$317,3,FALSE)</f>
        <v>749</v>
      </c>
      <c r="AA256" s="617"/>
      <c r="AB256" s="618">
        <v>30943</v>
      </c>
      <c r="AC256" s="547">
        <f>AB256/VPI!R256</f>
        <v>0.84866457696060216</v>
      </c>
      <c r="AD256" s="548">
        <f t="shared" si="14"/>
        <v>156276</v>
      </c>
      <c r="AE256" s="547">
        <f>AD256/VPI!R256</f>
        <v>4.2861359735350506</v>
      </c>
      <c r="AF256" s="618">
        <v>187219</v>
      </c>
      <c r="AG256" s="618">
        <v>25688</v>
      </c>
      <c r="AH256" s="618">
        <v>51931</v>
      </c>
      <c r="AI256" s="637"/>
      <c r="AJ256" s="628">
        <v>0</v>
      </c>
      <c r="AK256" s="547">
        <f>AJ256/VPI!R256</f>
        <v>0</v>
      </c>
      <c r="AL256" s="548">
        <f t="shared" si="15"/>
        <v>15474</v>
      </c>
      <c r="AM256" s="547">
        <f>AL256/VPI!R256</f>
        <v>0.42440085524636778</v>
      </c>
      <c r="AN256" s="628">
        <v>15474</v>
      </c>
      <c r="AO256" s="637"/>
      <c r="AP256" s="629">
        <v>30.395880353325364</v>
      </c>
      <c r="AQ256" s="575"/>
      <c r="AR256" s="630">
        <v>0</v>
      </c>
      <c r="AS256" s="575"/>
      <c r="AT256" s="575"/>
      <c r="AU256" s="575"/>
      <c r="AV256" s="575"/>
      <c r="AW256" s="575"/>
      <c r="AX256" s="575"/>
      <c r="AY256" s="575"/>
      <c r="AZ256" s="575"/>
      <c r="BA256" s="575"/>
      <c r="BB256" s="575"/>
      <c r="BC256" s="575"/>
      <c r="BD256" s="575"/>
      <c r="BE256" s="575"/>
      <c r="BF256" s="575"/>
      <c r="BG256" s="575"/>
      <c r="BH256" s="575"/>
      <c r="BI256" s="575"/>
      <c r="BJ256" s="575"/>
      <c r="BK256" s="575"/>
      <c r="BL256" s="575"/>
      <c r="BM256" s="575"/>
      <c r="BN256" s="575"/>
      <c r="BO256" s="575"/>
      <c r="BP256" s="575"/>
      <c r="BQ256" s="575"/>
      <c r="BR256" s="575"/>
      <c r="BS256" s="575"/>
      <c r="BT256" s="575"/>
      <c r="BU256" s="575"/>
      <c r="BV256" s="575"/>
      <c r="BW256" s="575"/>
      <c r="BX256" s="575"/>
      <c r="BY256" s="575"/>
      <c r="BZ256" s="575"/>
      <c r="CA256" s="575"/>
      <c r="CB256" s="575"/>
      <c r="CC256" s="575"/>
      <c r="CD256" s="575"/>
      <c r="CE256" s="575"/>
      <c r="CF256" s="575"/>
      <c r="CG256" s="575"/>
      <c r="CH256" s="575"/>
      <c r="CI256" s="575"/>
      <c r="CJ256" s="575"/>
      <c r="CK256" s="575"/>
      <c r="CL256" s="575"/>
      <c r="CM256" s="575"/>
      <c r="CN256" s="575"/>
      <c r="CO256" s="575"/>
      <c r="CP256" s="575"/>
      <c r="CQ256" s="575"/>
      <c r="CR256" s="575"/>
      <c r="CS256" s="575"/>
      <c r="CT256" s="575"/>
      <c r="CU256" s="575"/>
      <c r="CV256" s="575"/>
      <c r="CW256" s="575"/>
      <c r="CX256" s="575"/>
      <c r="CY256" s="575"/>
      <c r="CZ256" s="575"/>
      <c r="DA256" s="575"/>
      <c r="DB256" s="575"/>
      <c r="DC256" s="575"/>
      <c r="DD256" s="575"/>
      <c r="DE256" s="575"/>
      <c r="DF256" s="575"/>
      <c r="DG256" s="575"/>
      <c r="DH256" s="575"/>
      <c r="DI256" s="575"/>
      <c r="DJ256" s="575"/>
      <c r="DK256" s="575"/>
      <c r="DL256" s="575"/>
      <c r="DM256" s="575"/>
      <c r="DN256" s="575"/>
      <c r="DO256" s="575"/>
      <c r="DP256" s="575"/>
      <c r="DQ256" s="575"/>
      <c r="DR256" s="575"/>
      <c r="DS256" s="575"/>
      <c r="DT256" s="575"/>
      <c r="DU256" s="575"/>
      <c r="DV256" s="575"/>
      <c r="DW256" s="575"/>
      <c r="DX256" s="575"/>
      <c r="DY256" s="575"/>
      <c r="DZ256" s="575"/>
      <c r="EA256" s="575"/>
      <c r="EB256" s="575"/>
      <c r="EC256" s="575"/>
      <c r="ED256" s="575"/>
      <c r="EE256" s="575"/>
      <c r="EF256" s="575"/>
      <c r="EG256" s="575"/>
      <c r="EH256" s="575"/>
      <c r="EI256" s="575"/>
      <c r="EJ256" s="575"/>
      <c r="EK256" s="575"/>
      <c r="EL256" s="575"/>
      <c r="EM256" s="575"/>
      <c r="EN256" s="575"/>
      <c r="EO256" s="575"/>
      <c r="EP256" s="575"/>
      <c r="EQ256" s="575"/>
      <c r="ER256" s="575"/>
      <c r="ES256" s="575"/>
      <c r="ET256" s="575"/>
      <c r="EU256" s="575"/>
      <c r="EV256" s="575"/>
      <c r="EW256" s="575"/>
      <c r="EX256" s="575"/>
      <c r="EY256" s="575"/>
      <c r="EZ256" s="575"/>
      <c r="FA256" s="575"/>
      <c r="FB256" s="575"/>
      <c r="FC256" s="575"/>
      <c r="FD256" s="575"/>
      <c r="FE256" s="575"/>
      <c r="FF256" s="575"/>
      <c r="FG256" s="575"/>
      <c r="FH256" s="575"/>
      <c r="FI256" s="575"/>
      <c r="FJ256" s="575"/>
      <c r="FK256" s="575"/>
      <c r="FL256" s="575"/>
      <c r="FM256" s="575"/>
      <c r="FN256" s="575"/>
      <c r="FO256" s="575"/>
      <c r="FP256" s="575"/>
      <c r="FQ256" s="575"/>
      <c r="FR256" s="575"/>
      <c r="FS256" s="575"/>
      <c r="FT256" s="575"/>
      <c r="FU256" s="575"/>
      <c r="FV256" s="575"/>
      <c r="FW256" s="575"/>
      <c r="FX256" s="575"/>
      <c r="FY256" s="575"/>
      <c r="FZ256" s="575"/>
      <c r="GA256" s="575"/>
      <c r="GB256" s="575"/>
      <c r="GC256" s="575"/>
      <c r="GD256" s="575"/>
      <c r="GE256" s="575"/>
      <c r="GF256" s="575"/>
      <c r="GG256" s="575"/>
      <c r="GH256" s="575"/>
      <c r="GI256" s="575"/>
      <c r="GJ256" s="575"/>
      <c r="GK256" s="575"/>
      <c r="GL256" s="575"/>
      <c r="GM256" s="575"/>
      <c r="GN256" s="575"/>
      <c r="GO256" s="575"/>
      <c r="GP256" s="575"/>
      <c r="GQ256" s="575"/>
      <c r="GR256" s="575"/>
      <c r="GS256" s="575"/>
      <c r="GT256" s="575"/>
      <c r="GU256" s="575"/>
      <c r="GV256" s="575"/>
      <c r="GW256" s="575"/>
      <c r="GX256" s="575"/>
      <c r="GY256" s="575"/>
      <c r="GZ256" s="575"/>
      <c r="HA256" s="575"/>
      <c r="HB256" s="575"/>
      <c r="HC256" s="575"/>
      <c r="HD256" s="575"/>
      <c r="HE256" s="575"/>
      <c r="HF256" s="575"/>
      <c r="HG256" s="575"/>
      <c r="HH256" s="575"/>
      <c r="HI256" s="575"/>
      <c r="HJ256" s="575"/>
      <c r="HK256" s="575"/>
      <c r="HL256" s="575"/>
      <c r="HM256" s="575"/>
      <c r="HN256" s="575"/>
      <c r="HO256" s="575"/>
      <c r="HP256" s="575"/>
      <c r="HQ256" s="575"/>
      <c r="HR256" s="575"/>
      <c r="HS256" s="575"/>
      <c r="HT256" s="575"/>
      <c r="HU256" s="575"/>
      <c r="HV256" s="575"/>
      <c r="HW256" s="575"/>
      <c r="HX256" s="575"/>
      <c r="HY256" s="575"/>
      <c r="HZ256" s="575"/>
      <c r="IA256" s="575"/>
      <c r="IB256" s="575"/>
      <c r="IC256" s="575"/>
      <c r="ID256" s="575"/>
      <c r="IE256" s="575"/>
      <c r="IF256" s="575"/>
      <c r="IG256" s="575"/>
      <c r="IH256" s="575"/>
      <c r="II256" s="575"/>
      <c r="IJ256" s="575"/>
      <c r="IK256" s="575"/>
      <c r="IL256" s="575"/>
      <c r="IM256" s="575"/>
      <c r="IN256" s="575"/>
      <c r="IO256" s="575"/>
      <c r="IP256" s="575"/>
      <c r="IQ256" s="575"/>
      <c r="IR256" s="575"/>
      <c r="IS256" s="575"/>
      <c r="IT256" s="575"/>
      <c r="IU256" s="575"/>
      <c r="IV256" s="575"/>
      <c r="IW256" s="575"/>
      <c r="IX256" s="575"/>
      <c r="IY256" s="575"/>
      <c r="IZ256" s="575"/>
      <c r="JA256" s="575"/>
      <c r="JB256" s="575"/>
      <c r="JC256" s="575"/>
      <c r="JD256" s="575"/>
      <c r="JE256" s="575"/>
      <c r="JF256" s="575"/>
      <c r="JG256" s="575"/>
      <c r="JH256" s="575"/>
      <c r="JI256" s="575"/>
      <c r="JJ256" s="575"/>
      <c r="JK256" s="575"/>
      <c r="JL256" s="575"/>
      <c r="JM256" s="575"/>
      <c r="JN256" s="575"/>
      <c r="JO256" s="575"/>
      <c r="JP256" s="575"/>
      <c r="JQ256" s="575"/>
      <c r="JR256" s="575"/>
      <c r="JS256" s="575"/>
      <c r="JT256" s="575"/>
      <c r="JU256" s="575"/>
      <c r="JV256" s="575"/>
      <c r="JW256" s="575"/>
      <c r="JX256" s="575"/>
      <c r="JY256" s="575"/>
      <c r="JZ256" s="575"/>
      <c r="KA256" s="575"/>
      <c r="KB256" s="575"/>
      <c r="KC256" s="575"/>
      <c r="KD256" s="575"/>
      <c r="KE256" s="575"/>
      <c r="KF256" s="575"/>
      <c r="KG256" s="575"/>
      <c r="KH256" s="575"/>
      <c r="KI256" s="575"/>
      <c r="KJ256" s="575"/>
      <c r="KK256" s="575"/>
      <c r="KL256" s="575"/>
      <c r="KM256" s="575"/>
      <c r="KN256" s="575"/>
      <c r="KO256" s="575"/>
      <c r="KP256" s="575"/>
      <c r="KQ256" s="575"/>
      <c r="KR256" s="575"/>
      <c r="KS256" s="575"/>
      <c r="KT256" s="575"/>
      <c r="KU256" s="575"/>
      <c r="KV256" s="575"/>
      <c r="KW256" s="575"/>
      <c r="KX256" s="575"/>
      <c r="KY256" s="575"/>
      <c r="KZ256" s="575"/>
      <c r="LA256" s="575"/>
      <c r="LB256" s="575"/>
      <c r="LC256" s="575"/>
      <c r="LD256" s="575"/>
      <c r="LE256" s="575"/>
      <c r="LF256" s="575"/>
      <c r="LG256" s="575"/>
      <c r="LH256" s="575"/>
      <c r="LI256" s="575"/>
      <c r="LJ256" s="575"/>
      <c r="LK256" s="575"/>
      <c r="LL256" s="575"/>
      <c r="LM256" s="575"/>
      <c r="LN256" s="575"/>
      <c r="LO256" s="575"/>
      <c r="LP256" s="575"/>
      <c r="LQ256" s="575"/>
      <c r="LR256" s="575"/>
      <c r="LS256" s="575"/>
      <c r="LT256" s="575"/>
      <c r="LU256" s="575"/>
      <c r="LV256" s="575"/>
      <c r="LW256" s="575"/>
      <c r="LX256" s="575"/>
      <c r="LY256" s="575"/>
      <c r="LZ256" s="575"/>
      <c r="MA256" s="575"/>
      <c r="MB256" s="575"/>
      <c r="MC256" s="575"/>
      <c r="MD256" s="575"/>
      <c r="ME256" s="575"/>
      <c r="MF256" s="575"/>
      <c r="MG256" s="575"/>
      <c r="MH256" s="575"/>
      <c r="MI256" s="575"/>
      <c r="MJ256" s="575"/>
      <c r="MK256" s="575"/>
      <c r="ML256" s="575"/>
      <c r="MM256" s="575"/>
      <c r="MN256" s="575"/>
      <c r="MO256" s="575"/>
      <c r="MP256" s="575"/>
      <c r="MQ256" s="575"/>
      <c r="MR256" s="575"/>
      <c r="MS256" s="575"/>
      <c r="MT256" s="575"/>
      <c r="MU256" s="575"/>
      <c r="MV256" s="575"/>
      <c r="MW256" s="575"/>
      <c r="MX256" s="575"/>
      <c r="MY256" s="575"/>
      <c r="MZ256" s="575"/>
      <c r="NA256" s="575"/>
      <c r="NB256" s="575"/>
      <c r="NC256" s="575"/>
      <c r="ND256" s="575"/>
      <c r="NE256" s="575"/>
      <c r="NF256" s="575"/>
      <c r="NG256" s="575"/>
      <c r="NH256" s="575"/>
      <c r="NI256" s="575"/>
      <c r="NJ256" s="575"/>
      <c r="NK256" s="575"/>
      <c r="NL256" s="575"/>
      <c r="NM256" s="575"/>
      <c r="NN256" s="575"/>
      <c r="NO256" s="575"/>
      <c r="NP256" s="575"/>
      <c r="NQ256" s="575"/>
      <c r="NR256" s="575"/>
      <c r="NS256" s="575"/>
      <c r="NT256" s="575"/>
      <c r="NU256" s="575"/>
      <c r="NV256" s="575"/>
      <c r="NW256" s="575"/>
      <c r="NX256" s="575"/>
      <c r="NY256" s="575"/>
      <c r="NZ256" s="575"/>
      <c r="OA256" s="575"/>
      <c r="OB256" s="575"/>
      <c r="OC256" s="575"/>
      <c r="OD256" s="575"/>
      <c r="OE256" s="575"/>
      <c r="OF256" s="575"/>
      <c r="OG256" s="575"/>
      <c r="OH256" s="575"/>
      <c r="OI256" s="575"/>
      <c r="OJ256" s="575"/>
      <c r="OK256" s="575"/>
      <c r="OL256" s="575"/>
      <c r="OM256" s="575"/>
      <c r="ON256" s="575"/>
      <c r="OO256" s="575"/>
      <c r="OP256" s="575"/>
      <c r="OQ256" s="575"/>
      <c r="OR256" s="575"/>
      <c r="OS256" s="575"/>
      <c r="OT256" s="575"/>
      <c r="OU256" s="575"/>
      <c r="OV256" s="575"/>
      <c r="OW256" s="575"/>
      <c r="OX256" s="575"/>
      <c r="OY256" s="575"/>
      <c r="OZ256" s="575"/>
      <c r="PA256" s="575"/>
      <c r="PB256" s="575"/>
      <c r="PC256" s="575"/>
      <c r="PD256" s="575"/>
      <c r="PE256" s="575"/>
      <c r="PF256" s="575"/>
      <c r="PG256" s="575"/>
      <c r="PH256" s="575"/>
      <c r="PI256" s="575"/>
      <c r="PJ256" s="575"/>
      <c r="PK256" s="575"/>
      <c r="PL256" s="575"/>
      <c r="PM256" s="575"/>
      <c r="PN256" s="575"/>
      <c r="PO256" s="575"/>
      <c r="PP256" s="575"/>
      <c r="PQ256" s="575"/>
      <c r="PR256" s="575"/>
      <c r="PS256" s="575"/>
      <c r="PT256" s="575"/>
      <c r="PU256" s="575"/>
      <c r="PV256" s="575"/>
      <c r="PW256" s="575"/>
      <c r="PX256" s="575"/>
      <c r="PY256" s="575"/>
      <c r="PZ256" s="575"/>
      <c r="QA256" s="575"/>
      <c r="QB256" s="575"/>
      <c r="QC256" s="575"/>
      <c r="QD256" s="575"/>
      <c r="QE256" s="575"/>
      <c r="QF256" s="575"/>
      <c r="QG256" s="575"/>
      <c r="QH256" s="575"/>
      <c r="QI256" s="575"/>
      <c r="QJ256" s="575"/>
      <c r="QK256" s="575"/>
      <c r="QL256" s="575"/>
      <c r="QM256" s="575"/>
      <c r="QN256" s="575"/>
      <c r="QO256" s="575"/>
      <c r="QP256" s="575"/>
      <c r="QQ256" s="575"/>
      <c r="QR256" s="575"/>
      <c r="QS256" s="575"/>
      <c r="QT256" s="575"/>
      <c r="QU256" s="575"/>
      <c r="QV256" s="575"/>
      <c r="QW256" s="575"/>
      <c r="QX256" s="575"/>
      <c r="QY256" s="575"/>
      <c r="QZ256" s="575"/>
      <c r="RA256" s="575"/>
      <c r="RB256" s="575"/>
      <c r="RC256" s="575"/>
      <c r="RD256" s="575"/>
      <c r="RE256" s="575"/>
      <c r="RF256" s="575"/>
      <c r="RG256" s="575"/>
      <c r="RH256" s="575"/>
      <c r="RI256" s="575"/>
      <c r="RJ256" s="575"/>
      <c r="RK256" s="575"/>
      <c r="RL256" s="575"/>
      <c r="RM256" s="575"/>
      <c r="RN256" s="575"/>
      <c r="RO256" s="575"/>
      <c r="RP256" s="575"/>
      <c r="RQ256" s="575"/>
      <c r="RR256" s="575"/>
      <c r="RS256" s="575"/>
      <c r="RT256" s="575"/>
      <c r="RU256" s="575"/>
      <c r="RV256" s="575"/>
      <c r="RW256" s="575"/>
      <c r="RX256" s="575"/>
      <c r="RY256" s="575"/>
      <c r="RZ256" s="575"/>
      <c r="SA256" s="575"/>
      <c r="SB256" s="575"/>
      <c r="SC256" s="575"/>
      <c r="SD256" s="575"/>
      <c r="SE256" s="575"/>
      <c r="SF256" s="575"/>
      <c r="SG256" s="575"/>
      <c r="SH256" s="575"/>
      <c r="SI256" s="575"/>
      <c r="SJ256" s="575"/>
      <c r="SK256" s="575"/>
      <c r="SL256" s="575"/>
      <c r="SM256" s="575"/>
      <c r="SN256" s="575"/>
      <c r="SO256" s="575"/>
      <c r="SP256" s="575"/>
      <c r="SQ256" s="575"/>
      <c r="SR256" s="575"/>
      <c r="SS256" s="575"/>
      <c r="ST256" s="575"/>
      <c r="SU256" s="575"/>
      <c r="SV256" s="575"/>
      <c r="SW256" s="575"/>
      <c r="SX256" s="575"/>
      <c r="SY256" s="575"/>
      <c r="SZ256" s="575"/>
      <c r="TA256" s="575"/>
      <c r="TB256" s="575"/>
      <c r="TC256" s="575"/>
      <c r="TD256" s="575"/>
      <c r="TE256" s="575"/>
      <c r="TF256" s="575"/>
      <c r="TG256" s="575"/>
      <c r="TH256" s="575"/>
      <c r="TI256" s="575"/>
      <c r="TJ256" s="575"/>
      <c r="TK256" s="575"/>
      <c r="TL256" s="575"/>
      <c r="TM256" s="575"/>
      <c r="TN256" s="575"/>
      <c r="TO256" s="575"/>
      <c r="TP256" s="575"/>
      <c r="TQ256" s="575"/>
      <c r="TR256" s="575"/>
      <c r="TS256" s="575"/>
      <c r="TT256" s="575"/>
      <c r="TU256" s="575"/>
      <c r="TV256" s="575"/>
      <c r="TW256" s="575"/>
      <c r="TX256" s="575"/>
      <c r="TY256" s="575"/>
      <c r="TZ256" s="575"/>
      <c r="UA256" s="575"/>
      <c r="UB256" s="575"/>
      <c r="UC256" s="575"/>
      <c r="UD256" s="575"/>
      <c r="UE256" s="575"/>
      <c r="UF256" s="575"/>
      <c r="UG256" s="575"/>
      <c r="UH256" s="575"/>
      <c r="UI256" s="575"/>
      <c r="UJ256" s="575"/>
      <c r="UK256" s="575"/>
      <c r="UL256" s="575"/>
      <c r="UM256" s="575"/>
      <c r="UN256" s="575"/>
      <c r="UO256" s="575"/>
      <c r="UP256" s="575"/>
      <c r="UQ256" s="575"/>
      <c r="UR256" s="575"/>
      <c r="US256" s="575"/>
      <c r="UT256" s="575"/>
      <c r="UU256" s="575"/>
      <c r="UV256" s="575"/>
      <c r="UW256" s="575"/>
      <c r="UX256" s="575"/>
      <c r="UY256" s="575"/>
      <c r="UZ256" s="575"/>
      <c r="VA256" s="575"/>
      <c r="VB256" s="575"/>
      <c r="VC256" s="575"/>
      <c r="VD256" s="575"/>
      <c r="VE256" s="575"/>
      <c r="VF256" s="575"/>
      <c r="VG256" s="575"/>
      <c r="VH256" s="575"/>
      <c r="VI256" s="575"/>
      <c r="VJ256" s="575"/>
      <c r="VK256" s="575"/>
      <c r="VL256" s="575"/>
      <c r="VM256" s="575"/>
      <c r="VN256" s="575"/>
      <c r="VO256" s="575"/>
      <c r="VP256" s="575"/>
      <c r="VQ256" s="575"/>
      <c r="VR256" s="575"/>
      <c r="VS256" s="575"/>
      <c r="VT256" s="575"/>
      <c r="VU256" s="575"/>
      <c r="VV256" s="575"/>
      <c r="VW256" s="575"/>
      <c r="VX256" s="575"/>
      <c r="VY256" s="575"/>
      <c r="VZ256" s="575"/>
      <c r="WA256" s="575"/>
      <c r="WB256" s="575"/>
      <c r="WC256" s="575"/>
      <c r="WD256" s="575"/>
      <c r="WE256" s="575"/>
      <c r="WF256" s="575"/>
      <c r="WG256" s="575"/>
      <c r="WH256" s="575"/>
      <c r="WI256" s="575"/>
      <c r="WJ256" s="575"/>
      <c r="WK256" s="575"/>
      <c r="WL256" s="575"/>
      <c r="WM256" s="575"/>
      <c r="WN256" s="575"/>
      <c r="WO256" s="575"/>
      <c r="WP256" s="575"/>
      <c r="WQ256" s="575"/>
      <c r="WR256" s="575"/>
      <c r="WS256" s="575"/>
      <c r="WT256" s="575"/>
      <c r="WU256" s="575"/>
      <c r="WV256" s="575"/>
      <c r="WW256" s="575"/>
      <c r="WX256" s="575"/>
      <c r="WY256" s="575"/>
      <c r="WZ256" s="575"/>
      <c r="XA256" s="575"/>
      <c r="XB256" s="575"/>
      <c r="XC256" s="575"/>
      <c r="XD256" s="575"/>
      <c r="XE256" s="575"/>
      <c r="XF256" s="575"/>
      <c r="XG256" s="575"/>
      <c r="XH256" s="575"/>
      <c r="XI256" s="575"/>
      <c r="XJ256" s="575"/>
      <c r="XK256" s="575"/>
      <c r="XL256" s="575"/>
      <c r="XM256" s="575"/>
      <c r="XN256" s="575"/>
      <c r="XO256" s="575"/>
      <c r="XP256" s="575"/>
      <c r="XQ256" s="575"/>
      <c r="XR256" s="575"/>
      <c r="XS256" s="575"/>
      <c r="XT256" s="575"/>
      <c r="XU256" s="575"/>
      <c r="XV256" s="575"/>
      <c r="XW256" s="575"/>
      <c r="XX256" s="575"/>
      <c r="XY256" s="575"/>
      <c r="XZ256" s="575"/>
      <c r="YA256" s="575"/>
      <c r="YB256" s="575"/>
      <c r="YC256" s="575"/>
      <c r="YD256" s="575"/>
      <c r="YE256" s="575"/>
      <c r="YF256" s="575"/>
      <c r="YG256" s="575"/>
      <c r="YH256" s="575"/>
      <c r="YI256" s="575"/>
      <c r="YJ256" s="575"/>
      <c r="YK256" s="575"/>
      <c r="YL256" s="575"/>
      <c r="YM256" s="575"/>
      <c r="YN256" s="575"/>
      <c r="YO256" s="575"/>
      <c r="YP256" s="575"/>
      <c r="YQ256" s="575"/>
      <c r="YR256" s="575"/>
      <c r="YS256" s="575"/>
      <c r="YT256" s="575"/>
      <c r="YU256" s="575"/>
      <c r="YV256" s="575"/>
      <c r="YW256" s="575"/>
      <c r="YX256" s="575"/>
      <c r="YY256" s="575"/>
      <c r="YZ256" s="575"/>
      <c r="ZA256" s="575"/>
      <c r="ZB256" s="575"/>
      <c r="ZC256" s="575"/>
      <c r="ZD256" s="575"/>
      <c r="ZE256" s="575"/>
      <c r="ZF256" s="575"/>
      <c r="ZG256" s="575"/>
      <c r="ZH256" s="575"/>
      <c r="ZI256" s="575"/>
      <c r="ZJ256" s="575"/>
      <c r="ZK256" s="575"/>
      <c r="ZL256" s="575"/>
      <c r="ZM256" s="575"/>
      <c r="ZN256" s="575"/>
      <c r="ZO256" s="575"/>
      <c r="ZP256" s="575"/>
      <c r="ZQ256" s="575"/>
      <c r="ZR256" s="575"/>
      <c r="ZS256" s="575"/>
      <c r="ZT256" s="575"/>
      <c r="ZU256" s="575"/>
      <c r="ZV256" s="575"/>
      <c r="ZW256" s="575"/>
      <c r="ZX256" s="575"/>
      <c r="ZY256" s="575"/>
      <c r="ZZ256" s="575"/>
      <c r="AAA256" s="575"/>
      <c r="AAB256" s="575"/>
      <c r="AAC256" s="575"/>
      <c r="AAD256" s="575"/>
      <c r="AAE256" s="575"/>
      <c r="AAF256" s="575"/>
      <c r="AAG256" s="575"/>
      <c r="AAH256" s="575"/>
      <c r="AAI256" s="575"/>
      <c r="AAJ256" s="575"/>
      <c r="AAK256" s="575"/>
      <c r="AAL256" s="575"/>
      <c r="AAM256" s="575"/>
      <c r="AAN256" s="575"/>
      <c r="AAO256" s="575"/>
      <c r="AAP256" s="575"/>
      <c r="AAQ256" s="575"/>
      <c r="AAR256" s="575"/>
      <c r="AAS256" s="575"/>
      <c r="AAT256" s="575"/>
      <c r="AAU256" s="575"/>
      <c r="AAV256" s="575"/>
      <c r="AAW256" s="575"/>
      <c r="AAX256" s="575"/>
      <c r="AAY256" s="575"/>
      <c r="AAZ256" s="575"/>
      <c r="ABA256" s="575"/>
      <c r="ABB256" s="575"/>
      <c r="ABC256" s="575"/>
      <c r="ABD256" s="575"/>
      <c r="ABE256" s="575"/>
      <c r="ABF256" s="575"/>
      <c r="ABG256" s="575"/>
      <c r="ABH256" s="575"/>
      <c r="ABI256" s="575"/>
      <c r="ABJ256" s="575"/>
      <c r="ABK256" s="575"/>
      <c r="ABL256" s="575"/>
      <c r="ABM256" s="575"/>
      <c r="ABN256" s="575"/>
      <c r="ABO256" s="575"/>
      <c r="ABP256" s="575"/>
      <c r="ABQ256" s="575"/>
      <c r="ABR256" s="575"/>
      <c r="ABS256" s="575"/>
      <c r="ABT256" s="575"/>
      <c r="ABU256" s="575"/>
      <c r="ABV256" s="575"/>
      <c r="ABW256" s="575"/>
      <c r="ABX256" s="575"/>
      <c r="ABY256" s="575"/>
      <c r="ABZ256" s="575"/>
      <c r="ACA256" s="575"/>
      <c r="ACB256" s="575"/>
      <c r="ACC256" s="575"/>
      <c r="ACD256" s="575"/>
      <c r="ACE256" s="575"/>
      <c r="ACF256" s="575"/>
      <c r="ACG256" s="575"/>
      <c r="ACH256" s="575"/>
      <c r="ACI256" s="575"/>
      <c r="ACJ256" s="575"/>
      <c r="ACK256" s="575"/>
      <c r="ACL256" s="575"/>
      <c r="ACM256" s="575"/>
      <c r="ACN256" s="575"/>
      <c r="ACO256" s="575"/>
      <c r="ACP256" s="575"/>
      <c r="ACQ256" s="575"/>
      <c r="ACR256" s="575"/>
      <c r="ACS256" s="575"/>
      <c r="ACT256" s="575"/>
      <c r="ACU256" s="575"/>
      <c r="ACV256" s="575"/>
      <c r="ACW256" s="575"/>
      <c r="ACX256" s="575"/>
      <c r="ACY256" s="575"/>
      <c r="ACZ256" s="575"/>
      <c r="ADA256" s="575"/>
      <c r="ADB256" s="575"/>
      <c r="ADC256" s="575"/>
      <c r="ADD256" s="575"/>
      <c r="ADE256" s="575"/>
      <c r="ADF256" s="575"/>
      <c r="ADG256" s="575"/>
      <c r="ADH256" s="575"/>
      <c r="ADI256" s="575"/>
      <c r="ADJ256" s="575"/>
      <c r="ADK256" s="575"/>
      <c r="ADL256" s="575"/>
      <c r="ADM256" s="575"/>
      <c r="ADN256" s="575"/>
      <c r="ADO256" s="575"/>
      <c r="ADP256" s="575"/>
      <c r="ADQ256" s="575"/>
      <c r="ADR256" s="575"/>
      <c r="ADS256" s="575"/>
      <c r="ADT256" s="575"/>
      <c r="ADU256" s="575"/>
      <c r="ADV256" s="575"/>
      <c r="ADW256" s="575"/>
      <c r="ADX256" s="575"/>
      <c r="ADY256" s="575"/>
      <c r="ADZ256" s="575"/>
      <c r="AEA256" s="575"/>
      <c r="AEB256" s="575"/>
      <c r="AEC256" s="575"/>
      <c r="AED256" s="575"/>
      <c r="AEE256" s="575"/>
      <c r="AEF256" s="575"/>
      <c r="AEG256" s="575"/>
      <c r="AEH256" s="575"/>
      <c r="AEI256" s="575"/>
      <c r="AEJ256" s="575"/>
      <c r="AEK256" s="575"/>
      <c r="AEL256" s="575"/>
      <c r="AEM256" s="575"/>
      <c r="AEN256" s="575"/>
      <c r="AEO256" s="575"/>
      <c r="AEP256" s="575"/>
      <c r="AEQ256" s="575"/>
      <c r="AER256" s="575"/>
      <c r="AES256" s="575"/>
      <c r="AET256" s="575"/>
      <c r="AEU256" s="575"/>
      <c r="AEV256" s="575"/>
      <c r="AEW256" s="575"/>
      <c r="AEX256" s="575"/>
      <c r="AEY256" s="575"/>
      <c r="AEZ256" s="575"/>
      <c r="AFA256" s="575"/>
      <c r="AFB256" s="575"/>
      <c r="AFC256" s="575"/>
      <c r="AFD256" s="575"/>
      <c r="AFE256" s="575"/>
      <c r="AFF256" s="575"/>
      <c r="AFG256" s="575"/>
      <c r="AFH256" s="575"/>
      <c r="AFI256" s="575"/>
      <c r="AFJ256" s="575"/>
      <c r="AFK256" s="575"/>
      <c r="AFL256" s="575"/>
      <c r="AFM256" s="575"/>
      <c r="AFN256" s="575"/>
      <c r="AFO256" s="575"/>
      <c r="AFP256" s="575"/>
      <c r="AFQ256" s="575"/>
      <c r="AFR256" s="575"/>
      <c r="AFS256" s="575"/>
      <c r="AFT256" s="575"/>
      <c r="AFU256" s="575"/>
      <c r="AFV256" s="575"/>
      <c r="AFW256" s="575"/>
      <c r="AFX256" s="575"/>
      <c r="AFY256" s="575"/>
      <c r="AFZ256" s="575"/>
      <c r="AGA256" s="575"/>
      <c r="AGB256" s="575"/>
      <c r="AGC256" s="575"/>
      <c r="AGD256" s="575"/>
      <c r="AGE256" s="575"/>
      <c r="AGF256" s="575"/>
      <c r="AGG256" s="575"/>
      <c r="AGH256" s="575"/>
      <c r="AGI256" s="575"/>
      <c r="AGJ256" s="575"/>
      <c r="AGK256" s="575"/>
      <c r="AGL256" s="575"/>
      <c r="AGM256" s="575"/>
      <c r="AGN256" s="575"/>
      <c r="AGO256" s="575"/>
      <c r="AGP256" s="575"/>
      <c r="AGQ256" s="575"/>
      <c r="AGR256" s="575"/>
      <c r="AGS256" s="575"/>
      <c r="AGT256" s="575"/>
      <c r="AGU256" s="575"/>
      <c r="AGV256" s="575"/>
      <c r="AGW256" s="575"/>
      <c r="AGX256" s="575"/>
      <c r="AGY256" s="575"/>
      <c r="AGZ256" s="575"/>
      <c r="AHA256" s="575"/>
      <c r="AHB256" s="575"/>
      <c r="AHC256" s="575"/>
      <c r="AHD256" s="575"/>
      <c r="AHE256" s="575"/>
      <c r="AHF256" s="575"/>
      <c r="AHG256" s="575"/>
      <c r="AHH256" s="575"/>
      <c r="AHI256" s="575"/>
      <c r="AHJ256" s="575"/>
      <c r="AHK256" s="575"/>
      <c r="AHL256" s="575"/>
      <c r="AHM256" s="575"/>
      <c r="AHN256" s="575"/>
      <c r="AHO256" s="575"/>
      <c r="AHP256" s="575"/>
      <c r="AHQ256" s="575"/>
      <c r="AHR256" s="575"/>
      <c r="AHS256" s="575"/>
      <c r="AHT256" s="575"/>
      <c r="AHU256" s="575"/>
      <c r="AHV256" s="575"/>
      <c r="AHW256" s="575"/>
      <c r="AHX256" s="575"/>
      <c r="AHY256" s="575"/>
      <c r="AHZ256" s="575"/>
      <c r="AIA256" s="575"/>
      <c r="AIB256" s="575"/>
      <c r="AIC256" s="575"/>
      <c r="AID256" s="575"/>
      <c r="AIE256" s="575"/>
      <c r="AIF256" s="575"/>
      <c r="AIG256" s="575"/>
      <c r="AIH256" s="575"/>
      <c r="AII256" s="575"/>
      <c r="AIJ256" s="575"/>
      <c r="AIK256" s="575"/>
      <c r="AIL256" s="575"/>
      <c r="AIM256" s="575"/>
      <c r="AIN256" s="575"/>
      <c r="AIO256" s="575"/>
      <c r="AIP256" s="575"/>
      <c r="AIQ256" s="575"/>
      <c r="AIR256" s="575"/>
      <c r="AIS256" s="575"/>
      <c r="AIT256" s="575"/>
      <c r="AIU256" s="575"/>
      <c r="AIV256" s="575"/>
      <c r="AIW256" s="575"/>
      <c r="AIX256" s="575"/>
      <c r="AIY256" s="575"/>
      <c r="AIZ256" s="575"/>
      <c r="AJA256" s="575"/>
      <c r="AJB256" s="575"/>
      <c r="AJC256" s="575"/>
      <c r="AJD256" s="575"/>
      <c r="AJE256" s="575"/>
      <c r="AJF256" s="575"/>
      <c r="AJG256" s="575"/>
      <c r="AJH256" s="575"/>
      <c r="AJI256" s="575"/>
      <c r="AJJ256" s="575"/>
      <c r="AJK256" s="575"/>
      <c r="AJL256" s="575"/>
      <c r="AJM256" s="575"/>
      <c r="AJN256" s="575"/>
      <c r="AJO256" s="575"/>
      <c r="AJP256" s="575"/>
      <c r="AJQ256" s="575"/>
      <c r="AJR256" s="575"/>
      <c r="AJS256" s="575"/>
      <c r="AJT256" s="575"/>
      <c r="AJU256" s="575"/>
      <c r="AJV256" s="575"/>
      <c r="AJW256" s="575"/>
      <c r="AJX256" s="575"/>
      <c r="AJY256" s="575"/>
      <c r="AJZ256" s="575"/>
      <c r="AKA256" s="575"/>
      <c r="AKB256" s="575"/>
      <c r="AKC256" s="575"/>
      <c r="AKD256" s="575"/>
      <c r="AKE256" s="575"/>
      <c r="AKF256" s="575"/>
      <c r="AKG256" s="575"/>
      <c r="AKH256" s="575"/>
      <c r="AKI256" s="575"/>
      <c r="AKJ256" s="575"/>
      <c r="AKK256" s="575"/>
      <c r="AKL256" s="575"/>
      <c r="AKM256" s="575"/>
      <c r="AKN256" s="575"/>
      <c r="AKO256" s="575"/>
      <c r="AKP256" s="575"/>
      <c r="AKQ256" s="575"/>
      <c r="AKR256" s="575"/>
      <c r="AKS256" s="575"/>
      <c r="AKT256" s="575"/>
      <c r="AKU256" s="575"/>
      <c r="AKV256" s="575"/>
      <c r="AKW256" s="575"/>
      <c r="AKX256" s="575"/>
      <c r="AKY256" s="575"/>
      <c r="AKZ256" s="575"/>
      <c r="ALA256" s="575"/>
      <c r="ALB256" s="575"/>
      <c r="ALC256" s="575"/>
      <c r="ALD256" s="575"/>
      <c r="ALE256" s="575"/>
      <c r="ALF256" s="575"/>
      <c r="ALG256" s="575"/>
      <c r="ALH256" s="575"/>
      <c r="ALI256" s="575"/>
      <c r="ALJ256" s="575"/>
      <c r="ALK256" s="575"/>
      <c r="ALL256" s="575"/>
      <c r="ALM256" s="575"/>
      <c r="ALN256" s="575"/>
      <c r="ALO256" s="575"/>
      <c r="ALP256" s="575"/>
      <c r="ALQ256" s="575"/>
      <c r="ALR256" s="575"/>
      <c r="ALS256" s="575"/>
      <c r="ALT256" s="575"/>
      <c r="ALU256" s="575"/>
      <c r="ALV256" s="575"/>
      <c r="ALW256" s="575"/>
      <c r="ALX256" s="575"/>
      <c r="ALY256" s="575"/>
      <c r="ALZ256" s="575"/>
      <c r="AMA256" s="575"/>
      <c r="AMB256" s="575"/>
      <c r="AMC256" s="575"/>
      <c r="AMD256" s="575"/>
      <c r="AME256" s="575"/>
      <c r="AMF256" s="575"/>
      <c r="AMG256" s="575"/>
      <c r="AMH256" s="575"/>
      <c r="AMI256" s="575"/>
      <c r="AMJ256" s="575"/>
      <c r="AMK256" s="575"/>
      <c r="AML256" s="575"/>
      <c r="AMM256" s="575"/>
      <c r="AMN256" s="575"/>
      <c r="AMO256" s="575"/>
      <c r="AMP256" s="575"/>
      <c r="AMQ256" s="575"/>
      <c r="AMR256" s="575"/>
      <c r="AMS256" s="575"/>
      <c r="AMT256" s="575"/>
      <c r="AMU256" s="575"/>
      <c r="AMV256" s="575"/>
      <c r="AMW256" s="575"/>
      <c r="AMX256" s="575"/>
      <c r="AMY256" s="575"/>
      <c r="AMZ256" s="575"/>
      <c r="ANA256" s="575"/>
      <c r="ANB256" s="575"/>
      <c r="ANC256" s="575"/>
      <c r="AND256" s="575"/>
      <c r="ANE256" s="575"/>
      <c r="ANF256" s="575"/>
      <c r="ANG256" s="575"/>
      <c r="ANH256" s="575"/>
      <c r="ANI256" s="575"/>
      <c r="ANJ256" s="575"/>
      <c r="ANK256" s="575"/>
      <c r="ANL256" s="575"/>
      <c r="ANM256" s="575"/>
      <c r="ANN256" s="575"/>
      <c r="ANO256" s="575"/>
      <c r="ANP256" s="575"/>
      <c r="ANQ256" s="575"/>
      <c r="ANR256" s="575"/>
      <c r="ANS256" s="575"/>
      <c r="ANT256" s="575"/>
      <c r="ANU256" s="575"/>
      <c r="ANV256" s="575"/>
      <c r="ANW256" s="575"/>
      <c r="ANX256" s="575"/>
      <c r="ANY256" s="575"/>
      <c r="ANZ256" s="575"/>
      <c r="AOA256" s="575"/>
      <c r="AOB256" s="575"/>
      <c r="AOC256" s="575"/>
      <c r="AOD256" s="575"/>
      <c r="AOE256" s="575"/>
      <c r="AOF256" s="575"/>
      <c r="AOG256" s="575"/>
      <c r="AOH256" s="575"/>
      <c r="AOI256" s="575"/>
      <c r="AOJ256" s="575"/>
      <c r="AOK256" s="575"/>
      <c r="AOL256" s="575"/>
      <c r="AOM256" s="575"/>
      <c r="AON256" s="575"/>
      <c r="AOO256" s="575"/>
      <c r="AOP256" s="575"/>
      <c r="AOQ256" s="575"/>
      <c r="AOR256" s="575"/>
      <c r="AOS256" s="575"/>
      <c r="AOT256" s="575"/>
      <c r="AOU256" s="575"/>
      <c r="AOV256" s="575"/>
      <c r="AOW256" s="575"/>
      <c r="AOX256" s="575"/>
      <c r="AOY256" s="575"/>
      <c r="AOZ256" s="575"/>
      <c r="APA256" s="575"/>
      <c r="APB256" s="575"/>
      <c r="APC256" s="575"/>
      <c r="APD256" s="575"/>
      <c r="APE256" s="575"/>
      <c r="APF256" s="575"/>
      <c r="APG256" s="575"/>
      <c r="APH256" s="575"/>
      <c r="API256" s="575"/>
      <c r="APJ256" s="575"/>
      <c r="APK256" s="575"/>
      <c r="APL256" s="575"/>
      <c r="APM256" s="575"/>
      <c r="APN256" s="575"/>
      <c r="APO256" s="575"/>
      <c r="APP256" s="575"/>
      <c r="APQ256" s="575"/>
      <c r="APR256" s="575"/>
      <c r="APS256" s="575"/>
      <c r="APT256" s="575"/>
      <c r="APU256" s="575"/>
      <c r="APV256" s="575"/>
      <c r="APW256" s="575"/>
      <c r="APX256" s="575"/>
      <c r="APY256" s="575"/>
      <c r="APZ256" s="575"/>
      <c r="AQA256" s="575"/>
      <c r="AQB256" s="575"/>
      <c r="AQC256" s="575"/>
      <c r="AQD256" s="575"/>
      <c r="AQE256" s="575"/>
      <c r="AQF256" s="575"/>
      <c r="AQG256" s="575"/>
      <c r="AQH256" s="575"/>
      <c r="AQI256" s="575"/>
      <c r="AQJ256" s="575"/>
      <c r="AQK256" s="575"/>
      <c r="AQL256" s="575"/>
      <c r="AQM256" s="575"/>
      <c r="AQN256" s="575"/>
      <c r="AQO256" s="575"/>
      <c r="AQP256" s="575"/>
      <c r="AQQ256" s="575"/>
      <c r="AQR256" s="575"/>
      <c r="AQS256" s="575"/>
      <c r="AQT256" s="575"/>
      <c r="AQU256" s="575"/>
      <c r="AQV256" s="575"/>
      <c r="AQW256" s="575"/>
      <c r="AQX256" s="575"/>
      <c r="AQY256" s="575"/>
      <c r="AQZ256" s="575"/>
      <c r="ARA256" s="575"/>
      <c r="ARB256" s="575"/>
      <c r="ARC256" s="575"/>
      <c r="ARD256" s="575"/>
      <c r="ARE256" s="575"/>
      <c r="ARF256" s="575"/>
      <c r="ARG256" s="575"/>
      <c r="ARH256" s="575"/>
      <c r="ARI256" s="575"/>
      <c r="ARJ256" s="575"/>
      <c r="ARK256" s="575"/>
      <c r="ARL256" s="575"/>
      <c r="ARM256" s="575"/>
      <c r="ARN256" s="575"/>
      <c r="ARO256" s="575"/>
      <c r="ARP256" s="575"/>
      <c r="ARQ256" s="575"/>
      <c r="ARR256" s="575"/>
      <c r="ARS256" s="575"/>
      <c r="ART256" s="575"/>
      <c r="ARU256" s="575"/>
      <c r="ARV256" s="575"/>
      <c r="ARW256" s="575"/>
      <c r="ARX256" s="575"/>
      <c r="ARY256" s="575"/>
      <c r="ARZ256" s="575"/>
      <c r="ASA256" s="575"/>
      <c r="ASB256" s="575"/>
      <c r="ASC256" s="575"/>
      <c r="ASD256" s="575"/>
      <c r="ASE256" s="575"/>
      <c r="ASF256" s="575"/>
      <c r="ASG256" s="575"/>
      <c r="ASH256" s="575"/>
      <c r="ASI256" s="575"/>
      <c r="ASJ256" s="575"/>
      <c r="ASK256" s="575"/>
      <c r="ASL256" s="575"/>
      <c r="ASM256" s="575"/>
      <c r="ASN256" s="575"/>
      <c r="ASO256" s="575"/>
      <c r="ASP256" s="575"/>
      <c r="ASQ256" s="575"/>
      <c r="ASR256" s="575"/>
      <c r="ASS256" s="575"/>
      <c r="AST256" s="575"/>
      <c r="ASU256" s="575"/>
      <c r="ASV256" s="575"/>
      <c r="ASW256" s="575"/>
      <c r="ASX256" s="575"/>
      <c r="ASY256" s="575"/>
      <c r="ASZ256" s="575"/>
      <c r="ATA256" s="575"/>
      <c r="ATB256" s="575"/>
      <c r="ATC256" s="575"/>
      <c r="ATD256" s="575"/>
      <c r="ATE256" s="575"/>
      <c r="ATF256" s="575"/>
      <c r="ATG256" s="575"/>
      <c r="ATH256" s="575"/>
      <c r="ATI256" s="575"/>
      <c r="ATJ256" s="575"/>
      <c r="ATK256" s="575"/>
      <c r="ATL256" s="575"/>
      <c r="ATM256" s="575"/>
      <c r="ATN256" s="575"/>
      <c r="ATO256" s="575"/>
      <c r="ATP256" s="575"/>
      <c r="ATQ256" s="575"/>
      <c r="ATR256" s="575"/>
      <c r="ATS256" s="575"/>
      <c r="ATT256" s="575"/>
      <c r="ATU256" s="575"/>
      <c r="ATV256" s="575"/>
      <c r="ATW256" s="575"/>
      <c r="ATX256" s="575"/>
      <c r="ATY256" s="575"/>
      <c r="ATZ256" s="575"/>
      <c r="AUA256" s="575"/>
      <c r="AUB256" s="575"/>
      <c r="AUC256" s="575"/>
      <c r="AUD256" s="575"/>
      <c r="AUE256" s="575"/>
      <c r="AUF256" s="575"/>
      <c r="AUG256" s="575"/>
      <c r="AUH256" s="575"/>
      <c r="AUI256" s="575"/>
      <c r="AUJ256" s="575"/>
      <c r="AUK256" s="575"/>
      <c r="AUL256" s="575"/>
      <c r="AUM256" s="575"/>
      <c r="AUN256" s="575"/>
      <c r="AUO256" s="575"/>
      <c r="AUP256" s="575"/>
      <c r="AUQ256" s="575"/>
      <c r="AUR256" s="575"/>
      <c r="AUS256" s="575"/>
      <c r="AUT256" s="575"/>
      <c r="AUU256" s="575"/>
      <c r="AUV256" s="575"/>
      <c r="AUW256" s="575"/>
      <c r="AUX256" s="575"/>
      <c r="AUY256" s="575"/>
      <c r="AUZ256" s="575"/>
      <c r="AVA256" s="575"/>
      <c r="AVB256" s="575"/>
      <c r="AVC256" s="575"/>
      <c r="AVD256" s="575"/>
      <c r="AVE256" s="575"/>
      <c r="AVF256" s="575"/>
      <c r="AVG256" s="575"/>
      <c r="AVH256" s="575"/>
      <c r="AVI256" s="575"/>
      <c r="AVJ256" s="575"/>
      <c r="AVK256" s="575"/>
      <c r="AVL256" s="575"/>
      <c r="AVM256" s="575"/>
      <c r="AVN256" s="575"/>
      <c r="AVO256" s="575"/>
      <c r="AVP256" s="575"/>
      <c r="AVQ256" s="575"/>
      <c r="AVR256" s="575"/>
      <c r="AVS256" s="575"/>
      <c r="AVT256" s="575"/>
      <c r="AVU256" s="575"/>
      <c r="AVV256" s="575"/>
      <c r="AVW256" s="575"/>
      <c r="AVX256" s="575"/>
      <c r="AVY256" s="575"/>
      <c r="AVZ256" s="575"/>
      <c r="AWA256" s="575"/>
      <c r="AWB256" s="575"/>
      <c r="AWC256" s="575"/>
      <c r="AWD256" s="575"/>
      <c r="AWE256" s="575"/>
      <c r="AWF256" s="575"/>
      <c r="AWG256" s="575"/>
      <c r="AWH256" s="575"/>
      <c r="AWI256" s="575"/>
      <c r="AWJ256" s="575"/>
      <c r="AWK256" s="575"/>
      <c r="AWL256" s="575"/>
      <c r="AWM256" s="575"/>
      <c r="AWN256" s="575"/>
      <c r="AWO256" s="575"/>
      <c r="AWP256" s="575"/>
      <c r="AWQ256" s="575"/>
      <c r="AWR256" s="575"/>
      <c r="AWS256" s="575"/>
      <c r="AWT256" s="575"/>
      <c r="AWU256" s="575"/>
      <c r="AWV256" s="575"/>
      <c r="AWW256" s="575"/>
      <c r="AWX256" s="575"/>
      <c r="AWY256" s="575"/>
      <c r="AWZ256" s="575"/>
      <c r="AXA256" s="575"/>
      <c r="AXB256" s="575"/>
      <c r="AXC256" s="575"/>
      <c r="AXD256" s="575"/>
      <c r="AXE256" s="575"/>
      <c r="AXF256" s="575"/>
      <c r="AXG256" s="575"/>
      <c r="AXH256" s="575"/>
      <c r="AXI256" s="575"/>
      <c r="AXJ256" s="575"/>
      <c r="AXK256" s="575"/>
      <c r="AXL256" s="575"/>
      <c r="AXM256" s="575"/>
      <c r="AXN256" s="575"/>
      <c r="AXO256" s="575"/>
      <c r="AXP256" s="575"/>
      <c r="AXQ256" s="575"/>
      <c r="AXR256" s="575"/>
      <c r="AXS256" s="575"/>
      <c r="AXT256" s="575"/>
      <c r="AXU256" s="575"/>
      <c r="AXV256" s="575"/>
      <c r="AXW256" s="575"/>
      <c r="AXX256" s="575"/>
      <c r="AXY256" s="575"/>
      <c r="AXZ256" s="575"/>
      <c r="AYA256" s="575"/>
      <c r="AYB256" s="575"/>
      <c r="AYC256" s="575"/>
      <c r="AYD256" s="575"/>
      <c r="AYE256" s="575"/>
      <c r="AYF256" s="575"/>
      <c r="AYG256" s="575"/>
      <c r="AYH256" s="575"/>
      <c r="AYI256" s="575"/>
      <c r="AYJ256" s="575"/>
      <c r="AYK256" s="575"/>
      <c r="AYL256" s="575"/>
      <c r="AYM256" s="575"/>
      <c r="AYN256" s="575"/>
      <c r="AYO256" s="575"/>
      <c r="AYP256" s="575"/>
      <c r="AYQ256" s="575"/>
      <c r="AYR256" s="575"/>
      <c r="AYS256" s="575"/>
      <c r="AYT256" s="575"/>
      <c r="AYU256" s="575"/>
      <c r="AYV256" s="575"/>
      <c r="AYW256" s="575"/>
      <c r="AYX256" s="575"/>
      <c r="AYY256" s="575"/>
      <c r="AYZ256" s="575"/>
      <c r="AZA256" s="575"/>
      <c r="AZB256" s="575"/>
      <c r="AZC256" s="575"/>
      <c r="AZD256" s="575"/>
      <c r="AZE256" s="575"/>
      <c r="AZF256" s="575"/>
      <c r="AZG256" s="575"/>
      <c r="AZH256" s="575"/>
      <c r="AZI256" s="575"/>
      <c r="AZJ256" s="575"/>
      <c r="AZK256" s="575"/>
      <c r="AZL256" s="575"/>
      <c r="AZM256" s="575"/>
      <c r="AZN256" s="575"/>
      <c r="AZO256" s="575"/>
      <c r="AZP256" s="575"/>
      <c r="AZQ256" s="575"/>
      <c r="AZR256" s="575"/>
      <c r="AZS256" s="575"/>
      <c r="AZT256" s="575"/>
      <c r="AZU256" s="575"/>
      <c r="AZV256" s="575"/>
      <c r="AZW256" s="575"/>
      <c r="AZX256" s="575"/>
      <c r="AZY256" s="575"/>
      <c r="AZZ256" s="575"/>
      <c r="BAA256" s="575"/>
      <c r="BAB256" s="575"/>
      <c r="BAC256" s="575"/>
      <c r="BAD256" s="575"/>
      <c r="BAE256" s="575"/>
      <c r="BAF256" s="575"/>
      <c r="BAG256" s="575"/>
      <c r="BAH256" s="575"/>
      <c r="BAI256" s="575"/>
      <c r="BAJ256" s="575"/>
      <c r="BAK256" s="575"/>
      <c r="BAL256" s="575"/>
      <c r="BAM256" s="575"/>
      <c r="BAN256" s="575"/>
      <c r="BAO256" s="575"/>
      <c r="BAP256" s="575"/>
      <c r="BAQ256" s="575"/>
      <c r="BAR256" s="575"/>
      <c r="BAS256" s="575"/>
      <c r="BAT256" s="575"/>
      <c r="BAU256" s="575"/>
      <c r="BAV256" s="575"/>
      <c r="BAW256" s="575"/>
      <c r="BAX256" s="575"/>
      <c r="BAY256" s="575"/>
      <c r="BAZ256" s="575"/>
      <c r="BBA256" s="575"/>
      <c r="BBB256" s="575"/>
      <c r="BBC256" s="575"/>
      <c r="BBD256" s="575"/>
      <c r="BBE256" s="575"/>
      <c r="BBF256" s="575"/>
      <c r="BBG256" s="575"/>
      <c r="BBH256" s="575"/>
      <c r="BBI256" s="575"/>
      <c r="BBJ256" s="575"/>
      <c r="BBK256" s="575"/>
      <c r="BBL256" s="575"/>
      <c r="BBM256" s="575"/>
      <c r="BBN256" s="575"/>
      <c r="BBO256" s="575"/>
      <c r="BBP256" s="575"/>
      <c r="BBQ256" s="575"/>
      <c r="BBR256" s="575"/>
      <c r="BBS256" s="575"/>
      <c r="BBT256" s="575"/>
      <c r="BBU256" s="575"/>
      <c r="BBV256" s="575"/>
      <c r="BBW256" s="575"/>
      <c r="BBX256" s="575"/>
      <c r="BBY256" s="575"/>
      <c r="BBZ256" s="575"/>
      <c r="BCA256" s="575"/>
      <c r="BCB256" s="575"/>
      <c r="BCC256" s="575"/>
      <c r="BCD256" s="575"/>
      <c r="BCE256" s="575"/>
      <c r="BCF256" s="575"/>
      <c r="BCG256" s="575"/>
      <c r="BCH256" s="575"/>
      <c r="BCI256" s="575"/>
      <c r="BCJ256" s="575"/>
      <c r="BCK256" s="575"/>
      <c r="BCL256" s="575"/>
      <c r="BCM256" s="575"/>
      <c r="BCN256" s="575"/>
      <c r="BCO256" s="575"/>
      <c r="BCP256" s="575"/>
      <c r="BCQ256" s="575"/>
      <c r="BCR256" s="575"/>
      <c r="BCS256" s="575"/>
      <c r="BCT256" s="575"/>
      <c r="BCU256" s="575"/>
      <c r="BCV256" s="575"/>
      <c r="BCW256" s="575"/>
      <c r="BCX256" s="575"/>
      <c r="BCY256" s="575"/>
      <c r="BCZ256" s="575"/>
      <c r="BDA256" s="575"/>
      <c r="BDB256" s="575"/>
      <c r="BDC256" s="575"/>
      <c r="BDD256" s="575"/>
      <c r="BDE256" s="575"/>
      <c r="BDF256" s="575"/>
      <c r="BDG256" s="575"/>
      <c r="BDH256" s="575"/>
      <c r="BDI256" s="575"/>
      <c r="BDJ256" s="575"/>
      <c r="BDK256" s="575"/>
      <c r="BDL256" s="575"/>
      <c r="BDM256" s="575"/>
      <c r="BDN256" s="575"/>
      <c r="BDO256" s="575"/>
      <c r="BDP256" s="575"/>
      <c r="BDQ256" s="575"/>
      <c r="BDR256" s="575"/>
      <c r="BDS256" s="575"/>
      <c r="BDT256" s="575"/>
    </row>
    <row r="257" spans="1:1476" x14ac:dyDescent="0.25">
      <c r="A257" s="608">
        <v>5857</v>
      </c>
      <c r="B257" s="609" t="s">
        <v>21</v>
      </c>
      <c r="C257" s="610">
        <v>4506377.58</v>
      </c>
      <c r="D257" s="610">
        <v>690679.01</v>
      </c>
      <c r="E257" s="610"/>
      <c r="F257" s="611"/>
      <c r="G257" s="610">
        <v>-120739.75</v>
      </c>
      <c r="H257" s="610">
        <v>4612.3999999999996</v>
      </c>
      <c r="I257" s="610"/>
      <c r="J257" s="610">
        <v>122367.82</v>
      </c>
      <c r="K257" s="610">
        <v>18053.400000000001</v>
      </c>
      <c r="L257" s="610">
        <v>424415.65</v>
      </c>
      <c r="M257" s="434">
        <f t="shared" si="12"/>
        <v>5645766.1100000013</v>
      </c>
      <c r="N257" s="612">
        <v>80326.95</v>
      </c>
      <c r="O257" s="612">
        <v>6510.8</v>
      </c>
      <c r="P257" s="612">
        <v>243115.25</v>
      </c>
      <c r="Q257" s="612">
        <v>13.25</v>
      </c>
      <c r="R257" s="612">
        <v>204711.85</v>
      </c>
      <c r="S257" s="610">
        <v>-12135.9</v>
      </c>
      <c r="T257" s="543">
        <f t="shared" si="13"/>
        <v>6168308.3100000005</v>
      </c>
      <c r="U257" s="575">
        <v>-32334.42</v>
      </c>
      <c r="V257" s="612"/>
      <c r="W257" s="612">
        <v>-858.55</v>
      </c>
      <c r="X257" s="624">
        <v>64.5</v>
      </c>
      <c r="Y257" s="631">
        <v>1</v>
      </c>
      <c r="Z257" s="628">
        <f>VLOOKUP(A257,'[2]2022 toutes communes'!$B$9:$D$317,3,FALSE)</f>
        <v>1446</v>
      </c>
      <c r="AA257" s="617"/>
      <c r="AB257" s="618"/>
      <c r="AC257" s="547">
        <f>AB257/VPI!R257</f>
        <v>0</v>
      </c>
      <c r="AD257" s="548">
        <f t="shared" si="14"/>
        <v>0</v>
      </c>
      <c r="AE257" s="547">
        <f>AD257/VPI!R257</f>
        <v>0</v>
      </c>
      <c r="AF257" s="618"/>
      <c r="AG257" s="618"/>
      <c r="AH257" s="618"/>
      <c r="AI257" s="637"/>
      <c r="AJ257" s="628"/>
      <c r="AK257" s="547">
        <f>AJ257/VPI!R257</f>
        <v>0</v>
      </c>
      <c r="AL257" s="548">
        <f t="shared" si="15"/>
        <v>0</v>
      </c>
      <c r="AM257" s="547">
        <f>AL257/VPI!R257</f>
        <v>0</v>
      </c>
      <c r="AN257" s="628"/>
      <c r="AO257" s="637"/>
      <c r="AP257" s="629">
        <v>30.914347949082504</v>
      </c>
      <c r="AR257" s="630">
        <v>0</v>
      </c>
    </row>
    <row r="258" spans="1:1476" s="632" customFormat="1" x14ac:dyDescent="0.25">
      <c r="A258" s="608">
        <v>5858</v>
      </c>
      <c r="B258" s="609" t="s">
        <v>22</v>
      </c>
      <c r="C258" s="610">
        <v>1898305.13</v>
      </c>
      <c r="D258" s="610">
        <v>398920.54</v>
      </c>
      <c r="E258" s="610"/>
      <c r="F258" s="611"/>
      <c r="G258" s="610">
        <v>-934.35</v>
      </c>
      <c r="H258" s="610">
        <v>815.9</v>
      </c>
      <c r="I258" s="610">
        <v>9528</v>
      </c>
      <c r="J258" s="610">
        <v>-49788.35</v>
      </c>
      <c r="K258" s="610">
        <v>1257.9000000000001</v>
      </c>
      <c r="L258" s="610">
        <v>239582.65</v>
      </c>
      <c r="M258" s="434">
        <f t="shared" si="12"/>
        <v>2497687.4199999995</v>
      </c>
      <c r="N258" s="612">
        <v>4889.3</v>
      </c>
      <c r="O258" s="612">
        <v>95001.1</v>
      </c>
      <c r="P258" s="612">
        <v>137974.45000000001</v>
      </c>
      <c r="Q258" s="612"/>
      <c r="R258" s="612">
        <v>144928.9</v>
      </c>
      <c r="S258" s="610">
        <v>-12.38</v>
      </c>
      <c r="T258" s="543">
        <f t="shared" si="13"/>
        <v>2880468.7899999996</v>
      </c>
      <c r="U258" s="575">
        <v>-7650.13</v>
      </c>
      <c r="V258" s="612"/>
      <c r="W258" s="612">
        <v>-2228.8000000000002</v>
      </c>
      <c r="X258" s="624">
        <v>58.5</v>
      </c>
      <c r="Y258" s="631">
        <v>1.5</v>
      </c>
      <c r="Z258" s="628">
        <f>VLOOKUP(A258,'[2]2022 toutes communes'!$B$9:$D$317,3,FALSE)</f>
        <v>618</v>
      </c>
      <c r="AA258" s="617"/>
      <c r="AB258" s="618"/>
      <c r="AC258" s="547">
        <f>AB258/VPI!R258</f>
        <v>0</v>
      </c>
      <c r="AD258" s="548">
        <f t="shared" si="14"/>
        <v>0</v>
      </c>
      <c r="AE258" s="547">
        <f>AD258/VPI!R258</f>
        <v>0</v>
      </c>
      <c r="AF258" s="618"/>
      <c r="AG258" s="618"/>
      <c r="AH258" s="618"/>
      <c r="AI258" s="637"/>
      <c r="AJ258" s="628"/>
      <c r="AK258" s="547">
        <f>AJ258/VPI!R258</f>
        <v>0</v>
      </c>
      <c r="AL258" s="548">
        <f t="shared" si="15"/>
        <v>0</v>
      </c>
      <c r="AM258" s="547">
        <f>AL258/VPI!R258</f>
        <v>0</v>
      </c>
      <c r="AN258" s="628"/>
      <c r="AO258" s="637"/>
      <c r="AP258" s="629">
        <v>31.428078368315767</v>
      </c>
      <c r="AQ258" s="575"/>
      <c r="AR258" s="630">
        <v>0</v>
      </c>
      <c r="AS258" s="575"/>
      <c r="AT258" s="575"/>
      <c r="AU258" s="575"/>
      <c r="AV258" s="575"/>
      <c r="AW258" s="575"/>
      <c r="AX258" s="575"/>
      <c r="AY258" s="575"/>
      <c r="AZ258" s="575"/>
      <c r="BA258" s="575"/>
      <c r="BB258" s="575"/>
      <c r="BC258" s="575"/>
      <c r="BD258" s="575"/>
      <c r="BE258" s="575"/>
      <c r="BF258" s="575"/>
      <c r="BG258" s="575"/>
      <c r="BH258" s="575"/>
      <c r="BI258" s="575"/>
      <c r="BJ258" s="575"/>
      <c r="BK258" s="575"/>
      <c r="BL258" s="575"/>
      <c r="BM258" s="575"/>
      <c r="BN258" s="575"/>
      <c r="BO258" s="575"/>
      <c r="BP258" s="575"/>
      <c r="BQ258" s="575"/>
      <c r="BR258" s="575"/>
      <c r="BS258" s="575"/>
      <c r="BT258" s="575"/>
      <c r="BU258" s="575"/>
      <c r="BV258" s="575"/>
      <c r="BW258" s="575"/>
      <c r="BX258" s="575"/>
      <c r="BY258" s="575"/>
      <c r="BZ258" s="575"/>
      <c r="CA258" s="575"/>
      <c r="CB258" s="575"/>
      <c r="CC258" s="575"/>
      <c r="CD258" s="575"/>
      <c r="CE258" s="575"/>
      <c r="CF258" s="575"/>
      <c r="CG258" s="575"/>
      <c r="CH258" s="575"/>
      <c r="CI258" s="575"/>
      <c r="CJ258" s="575"/>
      <c r="CK258" s="575"/>
      <c r="CL258" s="575"/>
      <c r="CM258" s="575"/>
      <c r="CN258" s="575"/>
      <c r="CO258" s="575"/>
      <c r="CP258" s="575"/>
      <c r="CQ258" s="575"/>
      <c r="CR258" s="575"/>
      <c r="CS258" s="575"/>
      <c r="CT258" s="575"/>
      <c r="CU258" s="575"/>
      <c r="CV258" s="575"/>
      <c r="CW258" s="575"/>
      <c r="CX258" s="575"/>
      <c r="CY258" s="575"/>
      <c r="CZ258" s="575"/>
      <c r="DA258" s="575"/>
      <c r="DB258" s="575"/>
      <c r="DC258" s="575"/>
      <c r="DD258" s="575"/>
      <c r="DE258" s="575"/>
      <c r="DF258" s="575"/>
      <c r="DG258" s="575"/>
      <c r="DH258" s="575"/>
      <c r="DI258" s="575"/>
      <c r="DJ258" s="575"/>
      <c r="DK258" s="575"/>
      <c r="DL258" s="575"/>
      <c r="DM258" s="575"/>
      <c r="DN258" s="575"/>
      <c r="DO258" s="575"/>
      <c r="DP258" s="575"/>
      <c r="DQ258" s="575"/>
      <c r="DR258" s="575"/>
      <c r="DS258" s="575"/>
      <c r="DT258" s="575"/>
      <c r="DU258" s="575"/>
      <c r="DV258" s="575"/>
      <c r="DW258" s="575"/>
      <c r="DX258" s="575"/>
      <c r="DY258" s="575"/>
      <c r="DZ258" s="575"/>
      <c r="EA258" s="575"/>
      <c r="EB258" s="575"/>
      <c r="EC258" s="575"/>
      <c r="ED258" s="575"/>
      <c r="EE258" s="575"/>
      <c r="EF258" s="575"/>
      <c r="EG258" s="575"/>
      <c r="EH258" s="575"/>
      <c r="EI258" s="575"/>
      <c r="EJ258" s="575"/>
      <c r="EK258" s="575"/>
      <c r="EL258" s="575"/>
      <c r="EM258" s="575"/>
      <c r="EN258" s="575"/>
      <c r="EO258" s="575"/>
      <c r="EP258" s="575"/>
      <c r="EQ258" s="575"/>
      <c r="ER258" s="575"/>
      <c r="ES258" s="575"/>
      <c r="ET258" s="575"/>
      <c r="EU258" s="575"/>
      <c r="EV258" s="575"/>
      <c r="EW258" s="575"/>
      <c r="EX258" s="575"/>
      <c r="EY258" s="575"/>
      <c r="EZ258" s="575"/>
      <c r="FA258" s="575"/>
      <c r="FB258" s="575"/>
      <c r="FC258" s="575"/>
      <c r="FD258" s="575"/>
      <c r="FE258" s="575"/>
      <c r="FF258" s="575"/>
      <c r="FG258" s="575"/>
      <c r="FH258" s="575"/>
      <c r="FI258" s="575"/>
      <c r="FJ258" s="575"/>
      <c r="FK258" s="575"/>
      <c r="FL258" s="575"/>
      <c r="FM258" s="575"/>
      <c r="FN258" s="575"/>
      <c r="FO258" s="575"/>
      <c r="FP258" s="575"/>
      <c r="FQ258" s="575"/>
      <c r="FR258" s="575"/>
      <c r="FS258" s="575"/>
      <c r="FT258" s="575"/>
      <c r="FU258" s="575"/>
      <c r="FV258" s="575"/>
      <c r="FW258" s="575"/>
      <c r="FX258" s="575"/>
      <c r="FY258" s="575"/>
      <c r="FZ258" s="575"/>
      <c r="GA258" s="575"/>
      <c r="GB258" s="575"/>
      <c r="GC258" s="575"/>
      <c r="GD258" s="575"/>
      <c r="GE258" s="575"/>
      <c r="GF258" s="575"/>
      <c r="GG258" s="575"/>
      <c r="GH258" s="575"/>
      <c r="GI258" s="575"/>
      <c r="GJ258" s="575"/>
      <c r="GK258" s="575"/>
      <c r="GL258" s="575"/>
      <c r="GM258" s="575"/>
      <c r="GN258" s="575"/>
      <c r="GO258" s="575"/>
      <c r="GP258" s="575"/>
      <c r="GQ258" s="575"/>
      <c r="GR258" s="575"/>
      <c r="GS258" s="575"/>
      <c r="GT258" s="575"/>
      <c r="GU258" s="575"/>
      <c r="GV258" s="575"/>
      <c r="GW258" s="575"/>
      <c r="GX258" s="575"/>
      <c r="GY258" s="575"/>
      <c r="GZ258" s="575"/>
      <c r="HA258" s="575"/>
      <c r="HB258" s="575"/>
      <c r="HC258" s="575"/>
      <c r="HD258" s="575"/>
      <c r="HE258" s="575"/>
      <c r="HF258" s="575"/>
      <c r="HG258" s="575"/>
      <c r="HH258" s="575"/>
      <c r="HI258" s="575"/>
      <c r="HJ258" s="575"/>
      <c r="HK258" s="575"/>
      <c r="HL258" s="575"/>
      <c r="HM258" s="575"/>
      <c r="HN258" s="575"/>
      <c r="HO258" s="575"/>
      <c r="HP258" s="575"/>
      <c r="HQ258" s="575"/>
      <c r="HR258" s="575"/>
      <c r="HS258" s="575"/>
      <c r="HT258" s="575"/>
      <c r="HU258" s="575"/>
      <c r="HV258" s="575"/>
      <c r="HW258" s="575"/>
      <c r="HX258" s="575"/>
      <c r="HY258" s="575"/>
      <c r="HZ258" s="575"/>
      <c r="IA258" s="575"/>
      <c r="IB258" s="575"/>
      <c r="IC258" s="575"/>
      <c r="ID258" s="575"/>
      <c r="IE258" s="575"/>
      <c r="IF258" s="575"/>
      <c r="IG258" s="575"/>
      <c r="IH258" s="575"/>
      <c r="II258" s="575"/>
      <c r="IJ258" s="575"/>
      <c r="IK258" s="575"/>
      <c r="IL258" s="575"/>
      <c r="IM258" s="575"/>
      <c r="IN258" s="575"/>
      <c r="IO258" s="575"/>
      <c r="IP258" s="575"/>
      <c r="IQ258" s="575"/>
      <c r="IR258" s="575"/>
      <c r="IS258" s="575"/>
      <c r="IT258" s="575"/>
      <c r="IU258" s="575"/>
      <c r="IV258" s="575"/>
      <c r="IW258" s="575"/>
      <c r="IX258" s="575"/>
      <c r="IY258" s="575"/>
      <c r="IZ258" s="575"/>
      <c r="JA258" s="575"/>
      <c r="JB258" s="575"/>
      <c r="JC258" s="575"/>
      <c r="JD258" s="575"/>
      <c r="JE258" s="575"/>
      <c r="JF258" s="575"/>
      <c r="JG258" s="575"/>
      <c r="JH258" s="575"/>
      <c r="JI258" s="575"/>
      <c r="JJ258" s="575"/>
      <c r="JK258" s="575"/>
      <c r="JL258" s="575"/>
      <c r="JM258" s="575"/>
      <c r="JN258" s="575"/>
      <c r="JO258" s="575"/>
      <c r="JP258" s="575"/>
      <c r="JQ258" s="575"/>
      <c r="JR258" s="575"/>
      <c r="JS258" s="575"/>
      <c r="JT258" s="575"/>
      <c r="JU258" s="575"/>
      <c r="JV258" s="575"/>
      <c r="JW258" s="575"/>
      <c r="JX258" s="575"/>
      <c r="JY258" s="575"/>
      <c r="JZ258" s="575"/>
      <c r="KA258" s="575"/>
      <c r="KB258" s="575"/>
      <c r="KC258" s="575"/>
      <c r="KD258" s="575"/>
      <c r="KE258" s="575"/>
      <c r="KF258" s="575"/>
      <c r="KG258" s="575"/>
      <c r="KH258" s="575"/>
      <c r="KI258" s="575"/>
      <c r="KJ258" s="575"/>
      <c r="KK258" s="575"/>
      <c r="KL258" s="575"/>
      <c r="KM258" s="575"/>
      <c r="KN258" s="575"/>
      <c r="KO258" s="575"/>
      <c r="KP258" s="575"/>
      <c r="KQ258" s="575"/>
      <c r="KR258" s="575"/>
      <c r="KS258" s="575"/>
      <c r="KT258" s="575"/>
      <c r="KU258" s="575"/>
      <c r="KV258" s="575"/>
      <c r="KW258" s="575"/>
      <c r="KX258" s="575"/>
      <c r="KY258" s="575"/>
      <c r="KZ258" s="575"/>
      <c r="LA258" s="575"/>
      <c r="LB258" s="575"/>
      <c r="LC258" s="575"/>
      <c r="LD258" s="575"/>
      <c r="LE258" s="575"/>
      <c r="LF258" s="575"/>
      <c r="LG258" s="575"/>
      <c r="LH258" s="575"/>
      <c r="LI258" s="575"/>
      <c r="LJ258" s="575"/>
      <c r="LK258" s="575"/>
      <c r="LL258" s="575"/>
      <c r="LM258" s="575"/>
      <c r="LN258" s="575"/>
      <c r="LO258" s="575"/>
      <c r="LP258" s="575"/>
      <c r="LQ258" s="575"/>
      <c r="LR258" s="575"/>
      <c r="LS258" s="575"/>
      <c r="LT258" s="575"/>
      <c r="LU258" s="575"/>
      <c r="LV258" s="575"/>
      <c r="LW258" s="575"/>
      <c r="LX258" s="575"/>
      <c r="LY258" s="575"/>
      <c r="LZ258" s="575"/>
      <c r="MA258" s="575"/>
      <c r="MB258" s="575"/>
      <c r="MC258" s="575"/>
      <c r="MD258" s="575"/>
      <c r="ME258" s="575"/>
      <c r="MF258" s="575"/>
      <c r="MG258" s="575"/>
      <c r="MH258" s="575"/>
      <c r="MI258" s="575"/>
      <c r="MJ258" s="575"/>
      <c r="MK258" s="575"/>
      <c r="ML258" s="575"/>
      <c r="MM258" s="575"/>
      <c r="MN258" s="575"/>
      <c r="MO258" s="575"/>
      <c r="MP258" s="575"/>
      <c r="MQ258" s="575"/>
      <c r="MR258" s="575"/>
      <c r="MS258" s="575"/>
      <c r="MT258" s="575"/>
      <c r="MU258" s="575"/>
      <c r="MV258" s="575"/>
      <c r="MW258" s="575"/>
      <c r="MX258" s="575"/>
      <c r="MY258" s="575"/>
      <c r="MZ258" s="575"/>
      <c r="NA258" s="575"/>
      <c r="NB258" s="575"/>
      <c r="NC258" s="575"/>
      <c r="ND258" s="575"/>
      <c r="NE258" s="575"/>
      <c r="NF258" s="575"/>
      <c r="NG258" s="575"/>
      <c r="NH258" s="575"/>
      <c r="NI258" s="575"/>
      <c r="NJ258" s="575"/>
      <c r="NK258" s="575"/>
      <c r="NL258" s="575"/>
      <c r="NM258" s="575"/>
      <c r="NN258" s="575"/>
      <c r="NO258" s="575"/>
      <c r="NP258" s="575"/>
      <c r="NQ258" s="575"/>
      <c r="NR258" s="575"/>
      <c r="NS258" s="575"/>
      <c r="NT258" s="575"/>
      <c r="NU258" s="575"/>
      <c r="NV258" s="575"/>
      <c r="NW258" s="575"/>
      <c r="NX258" s="575"/>
      <c r="NY258" s="575"/>
      <c r="NZ258" s="575"/>
      <c r="OA258" s="575"/>
      <c r="OB258" s="575"/>
      <c r="OC258" s="575"/>
      <c r="OD258" s="575"/>
      <c r="OE258" s="575"/>
      <c r="OF258" s="575"/>
      <c r="OG258" s="575"/>
      <c r="OH258" s="575"/>
      <c r="OI258" s="575"/>
      <c r="OJ258" s="575"/>
      <c r="OK258" s="575"/>
      <c r="OL258" s="575"/>
      <c r="OM258" s="575"/>
      <c r="ON258" s="575"/>
      <c r="OO258" s="575"/>
      <c r="OP258" s="575"/>
      <c r="OQ258" s="575"/>
      <c r="OR258" s="575"/>
      <c r="OS258" s="575"/>
      <c r="OT258" s="575"/>
      <c r="OU258" s="575"/>
      <c r="OV258" s="575"/>
      <c r="OW258" s="575"/>
      <c r="OX258" s="575"/>
      <c r="OY258" s="575"/>
      <c r="OZ258" s="575"/>
      <c r="PA258" s="575"/>
      <c r="PB258" s="575"/>
      <c r="PC258" s="575"/>
      <c r="PD258" s="575"/>
      <c r="PE258" s="575"/>
      <c r="PF258" s="575"/>
      <c r="PG258" s="575"/>
      <c r="PH258" s="575"/>
      <c r="PI258" s="575"/>
      <c r="PJ258" s="575"/>
      <c r="PK258" s="575"/>
      <c r="PL258" s="575"/>
      <c r="PM258" s="575"/>
      <c r="PN258" s="575"/>
      <c r="PO258" s="575"/>
      <c r="PP258" s="575"/>
      <c r="PQ258" s="575"/>
      <c r="PR258" s="575"/>
      <c r="PS258" s="575"/>
      <c r="PT258" s="575"/>
      <c r="PU258" s="575"/>
      <c r="PV258" s="575"/>
      <c r="PW258" s="575"/>
      <c r="PX258" s="575"/>
      <c r="PY258" s="575"/>
      <c r="PZ258" s="575"/>
      <c r="QA258" s="575"/>
      <c r="QB258" s="575"/>
      <c r="QC258" s="575"/>
      <c r="QD258" s="575"/>
      <c r="QE258" s="575"/>
      <c r="QF258" s="575"/>
      <c r="QG258" s="575"/>
      <c r="QH258" s="575"/>
      <c r="QI258" s="575"/>
      <c r="QJ258" s="575"/>
      <c r="QK258" s="575"/>
      <c r="QL258" s="575"/>
      <c r="QM258" s="575"/>
      <c r="QN258" s="575"/>
      <c r="QO258" s="575"/>
      <c r="QP258" s="575"/>
      <c r="QQ258" s="575"/>
      <c r="QR258" s="575"/>
      <c r="QS258" s="575"/>
      <c r="QT258" s="575"/>
      <c r="QU258" s="575"/>
      <c r="QV258" s="575"/>
      <c r="QW258" s="575"/>
      <c r="QX258" s="575"/>
      <c r="QY258" s="575"/>
      <c r="QZ258" s="575"/>
      <c r="RA258" s="575"/>
      <c r="RB258" s="575"/>
      <c r="RC258" s="575"/>
      <c r="RD258" s="575"/>
      <c r="RE258" s="575"/>
      <c r="RF258" s="575"/>
      <c r="RG258" s="575"/>
      <c r="RH258" s="575"/>
      <c r="RI258" s="575"/>
      <c r="RJ258" s="575"/>
      <c r="RK258" s="575"/>
      <c r="RL258" s="575"/>
      <c r="RM258" s="575"/>
      <c r="RN258" s="575"/>
      <c r="RO258" s="575"/>
      <c r="RP258" s="575"/>
      <c r="RQ258" s="575"/>
      <c r="RR258" s="575"/>
      <c r="RS258" s="575"/>
      <c r="RT258" s="575"/>
      <c r="RU258" s="575"/>
      <c r="RV258" s="575"/>
      <c r="RW258" s="575"/>
      <c r="RX258" s="575"/>
      <c r="RY258" s="575"/>
      <c r="RZ258" s="575"/>
      <c r="SA258" s="575"/>
      <c r="SB258" s="575"/>
      <c r="SC258" s="575"/>
      <c r="SD258" s="575"/>
      <c r="SE258" s="575"/>
      <c r="SF258" s="575"/>
      <c r="SG258" s="575"/>
      <c r="SH258" s="575"/>
      <c r="SI258" s="575"/>
      <c r="SJ258" s="575"/>
      <c r="SK258" s="575"/>
      <c r="SL258" s="575"/>
      <c r="SM258" s="575"/>
      <c r="SN258" s="575"/>
      <c r="SO258" s="575"/>
      <c r="SP258" s="575"/>
      <c r="SQ258" s="575"/>
      <c r="SR258" s="575"/>
      <c r="SS258" s="575"/>
      <c r="ST258" s="575"/>
      <c r="SU258" s="575"/>
      <c r="SV258" s="575"/>
      <c r="SW258" s="575"/>
      <c r="SX258" s="575"/>
      <c r="SY258" s="575"/>
      <c r="SZ258" s="575"/>
      <c r="TA258" s="575"/>
      <c r="TB258" s="575"/>
      <c r="TC258" s="575"/>
      <c r="TD258" s="575"/>
      <c r="TE258" s="575"/>
      <c r="TF258" s="575"/>
      <c r="TG258" s="575"/>
      <c r="TH258" s="575"/>
      <c r="TI258" s="575"/>
      <c r="TJ258" s="575"/>
      <c r="TK258" s="575"/>
      <c r="TL258" s="575"/>
      <c r="TM258" s="575"/>
      <c r="TN258" s="575"/>
      <c r="TO258" s="575"/>
      <c r="TP258" s="575"/>
      <c r="TQ258" s="575"/>
      <c r="TR258" s="575"/>
      <c r="TS258" s="575"/>
      <c r="TT258" s="575"/>
      <c r="TU258" s="575"/>
      <c r="TV258" s="575"/>
      <c r="TW258" s="575"/>
      <c r="TX258" s="575"/>
      <c r="TY258" s="575"/>
      <c r="TZ258" s="575"/>
      <c r="UA258" s="575"/>
      <c r="UB258" s="575"/>
      <c r="UC258" s="575"/>
      <c r="UD258" s="575"/>
      <c r="UE258" s="575"/>
      <c r="UF258" s="575"/>
      <c r="UG258" s="575"/>
      <c r="UH258" s="575"/>
      <c r="UI258" s="575"/>
      <c r="UJ258" s="575"/>
      <c r="UK258" s="575"/>
      <c r="UL258" s="575"/>
      <c r="UM258" s="575"/>
      <c r="UN258" s="575"/>
      <c r="UO258" s="575"/>
      <c r="UP258" s="575"/>
      <c r="UQ258" s="575"/>
      <c r="UR258" s="575"/>
      <c r="US258" s="575"/>
      <c r="UT258" s="575"/>
      <c r="UU258" s="575"/>
      <c r="UV258" s="575"/>
      <c r="UW258" s="575"/>
      <c r="UX258" s="575"/>
      <c r="UY258" s="575"/>
      <c r="UZ258" s="575"/>
      <c r="VA258" s="575"/>
      <c r="VB258" s="575"/>
      <c r="VC258" s="575"/>
      <c r="VD258" s="575"/>
      <c r="VE258" s="575"/>
      <c r="VF258" s="575"/>
      <c r="VG258" s="575"/>
      <c r="VH258" s="575"/>
      <c r="VI258" s="575"/>
      <c r="VJ258" s="575"/>
      <c r="VK258" s="575"/>
      <c r="VL258" s="575"/>
      <c r="VM258" s="575"/>
      <c r="VN258" s="575"/>
      <c r="VO258" s="575"/>
      <c r="VP258" s="575"/>
      <c r="VQ258" s="575"/>
      <c r="VR258" s="575"/>
      <c r="VS258" s="575"/>
      <c r="VT258" s="575"/>
      <c r="VU258" s="575"/>
      <c r="VV258" s="575"/>
      <c r="VW258" s="575"/>
      <c r="VX258" s="575"/>
      <c r="VY258" s="575"/>
      <c r="VZ258" s="575"/>
      <c r="WA258" s="575"/>
      <c r="WB258" s="575"/>
      <c r="WC258" s="575"/>
      <c r="WD258" s="575"/>
      <c r="WE258" s="575"/>
      <c r="WF258" s="575"/>
      <c r="WG258" s="575"/>
      <c r="WH258" s="575"/>
      <c r="WI258" s="575"/>
      <c r="WJ258" s="575"/>
      <c r="WK258" s="575"/>
      <c r="WL258" s="575"/>
      <c r="WM258" s="575"/>
      <c r="WN258" s="575"/>
      <c r="WO258" s="575"/>
      <c r="WP258" s="575"/>
      <c r="WQ258" s="575"/>
      <c r="WR258" s="575"/>
      <c r="WS258" s="575"/>
      <c r="WT258" s="575"/>
      <c r="WU258" s="575"/>
      <c r="WV258" s="575"/>
      <c r="WW258" s="575"/>
      <c r="WX258" s="575"/>
      <c r="WY258" s="575"/>
      <c r="WZ258" s="575"/>
      <c r="XA258" s="575"/>
      <c r="XB258" s="575"/>
      <c r="XC258" s="575"/>
      <c r="XD258" s="575"/>
      <c r="XE258" s="575"/>
      <c r="XF258" s="575"/>
      <c r="XG258" s="575"/>
      <c r="XH258" s="575"/>
      <c r="XI258" s="575"/>
      <c r="XJ258" s="575"/>
      <c r="XK258" s="575"/>
      <c r="XL258" s="575"/>
      <c r="XM258" s="575"/>
      <c r="XN258" s="575"/>
      <c r="XO258" s="575"/>
      <c r="XP258" s="575"/>
      <c r="XQ258" s="575"/>
      <c r="XR258" s="575"/>
      <c r="XS258" s="575"/>
      <c r="XT258" s="575"/>
      <c r="XU258" s="575"/>
      <c r="XV258" s="575"/>
      <c r="XW258" s="575"/>
      <c r="XX258" s="575"/>
      <c r="XY258" s="575"/>
      <c r="XZ258" s="575"/>
      <c r="YA258" s="575"/>
      <c r="YB258" s="575"/>
      <c r="YC258" s="575"/>
      <c r="YD258" s="575"/>
      <c r="YE258" s="575"/>
      <c r="YF258" s="575"/>
      <c r="YG258" s="575"/>
      <c r="YH258" s="575"/>
      <c r="YI258" s="575"/>
      <c r="YJ258" s="575"/>
      <c r="YK258" s="575"/>
      <c r="YL258" s="575"/>
      <c r="YM258" s="575"/>
      <c r="YN258" s="575"/>
      <c r="YO258" s="575"/>
      <c r="YP258" s="575"/>
      <c r="YQ258" s="575"/>
      <c r="YR258" s="575"/>
      <c r="YS258" s="575"/>
      <c r="YT258" s="575"/>
      <c r="YU258" s="575"/>
      <c r="YV258" s="575"/>
      <c r="YW258" s="575"/>
      <c r="YX258" s="575"/>
      <c r="YY258" s="575"/>
      <c r="YZ258" s="575"/>
      <c r="ZA258" s="575"/>
      <c r="ZB258" s="575"/>
      <c r="ZC258" s="575"/>
      <c r="ZD258" s="575"/>
      <c r="ZE258" s="575"/>
      <c r="ZF258" s="575"/>
      <c r="ZG258" s="575"/>
      <c r="ZH258" s="575"/>
      <c r="ZI258" s="575"/>
      <c r="ZJ258" s="575"/>
      <c r="ZK258" s="575"/>
      <c r="ZL258" s="575"/>
      <c r="ZM258" s="575"/>
      <c r="ZN258" s="575"/>
      <c r="ZO258" s="575"/>
      <c r="ZP258" s="575"/>
      <c r="ZQ258" s="575"/>
      <c r="ZR258" s="575"/>
      <c r="ZS258" s="575"/>
      <c r="ZT258" s="575"/>
      <c r="ZU258" s="575"/>
      <c r="ZV258" s="575"/>
      <c r="ZW258" s="575"/>
      <c r="ZX258" s="575"/>
      <c r="ZY258" s="575"/>
      <c r="ZZ258" s="575"/>
      <c r="AAA258" s="575"/>
      <c r="AAB258" s="575"/>
      <c r="AAC258" s="575"/>
      <c r="AAD258" s="575"/>
      <c r="AAE258" s="575"/>
      <c r="AAF258" s="575"/>
      <c r="AAG258" s="575"/>
      <c r="AAH258" s="575"/>
      <c r="AAI258" s="575"/>
      <c r="AAJ258" s="575"/>
      <c r="AAK258" s="575"/>
      <c r="AAL258" s="575"/>
      <c r="AAM258" s="575"/>
      <c r="AAN258" s="575"/>
      <c r="AAO258" s="575"/>
      <c r="AAP258" s="575"/>
      <c r="AAQ258" s="575"/>
      <c r="AAR258" s="575"/>
      <c r="AAS258" s="575"/>
      <c r="AAT258" s="575"/>
      <c r="AAU258" s="575"/>
      <c r="AAV258" s="575"/>
      <c r="AAW258" s="575"/>
      <c r="AAX258" s="575"/>
      <c r="AAY258" s="575"/>
      <c r="AAZ258" s="575"/>
      <c r="ABA258" s="575"/>
      <c r="ABB258" s="575"/>
      <c r="ABC258" s="575"/>
      <c r="ABD258" s="575"/>
      <c r="ABE258" s="575"/>
      <c r="ABF258" s="575"/>
      <c r="ABG258" s="575"/>
      <c r="ABH258" s="575"/>
      <c r="ABI258" s="575"/>
      <c r="ABJ258" s="575"/>
      <c r="ABK258" s="575"/>
      <c r="ABL258" s="575"/>
      <c r="ABM258" s="575"/>
      <c r="ABN258" s="575"/>
      <c r="ABO258" s="575"/>
      <c r="ABP258" s="575"/>
      <c r="ABQ258" s="575"/>
      <c r="ABR258" s="575"/>
      <c r="ABS258" s="575"/>
      <c r="ABT258" s="575"/>
      <c r="ABU258" s="575"/>
      <c r="ABV258" s="575"/>
      <c r="ABW258" s="575"/>
      <c r="ABX258" s="575"/>
      <c r="ABY258" s="575"/>
      <c r="ABZ258" s="575"/>
      <c r="ACA258" s="575"/>
      <c r="ACB258" s="575"/>
      <c r="ACC258" s="575"/>
      <c r="ACD258" s="575"/>
      <c r="ACE258" s="575"/>
      <c r="ACF258" s="575"/>
      <c r="ACG258" s="575"/>
      <c r="ACH258" s="575"/>
      <c r="ACI258" s="575"/>
      <c r="ACJ258" s="575"/>
      <c r="ACK258" s="575"/>
      <c r="ACL258" s="575"/>
      <c r="ACM258" s="575"/>
      <c r="ACN258" s="575"/>
      <c r="ACO258" s="575"/>
      <c r="ACP258" s="575"/>
      <c r="ACQ258" s="575"/>
      <c r="ACR258" s="575"/>
      <c r="ACS258" s="575"/>
      <c r="ACT258" s="575"/>
      <c r="ACU258" s="575"/>
      <c r="ACV258" s="575"/>
      <c r="ACW258" s="575"/>
      <c r="ACX258" s="575"/>
      <c r="ACY258" s="575"/>
      <c r="ACZ258" s="575"/>
      <c r="ADA258" s="575"/>
      <c r="ADB258" s="575"/>
      <c r="ADC258" s="575"/>
      <c r="ADD258" s="575"/>
      <c r="ADE258" s="575"/>
      <c r="ADF258" s="575"/>
      <c r="ADG258" s="575"/>
      <c r="ADH258" s="575"/>
      <c r="ADI258" s="575"/>
      <c r="ADJ258" s="575"/>
      <c r="ADK258" s="575"/>
      <c r="ADL258" s="575"/>
      <c r="ADM258" s="575"/>
      <c r="ADN258" s="575"/>
      <c r="ADO258" s="575"/>
      <c r="ADP258" s="575"/>
      <c r="ADQ258" s="575"/>
      <c r="ADR258" s="575"/>
      <c r="ADS258" s="575"/>
      <c r="ADT258" s="575"/>
      <c r="ADU258" s="575"/>
      <c r="ADV258" s="575"/>
      <c r="ADW258" s="575"/>
      <c r="ADX258" s="575"/>
      <c r="ADY258" s="575"/>
      <c r="ADZ258" s="575"/>
      <c r="AEA258" s="575"/>
      <c r="AEB258" s="575"/>
      <c r="AEC258" s="575"/>
      <c r="AED258" s="575"/>
      <c r="AEE258" s="575"/>
      <c r="AEF258" s="575"/>
      <c r="AEG258" s="575"/>
      <c r="AEH258" s="575"/>
      <c r="AEI258" s="575"/>
      <c r="AEJ258" s="575"/>
      <c r="AEK258" s="575"/>
      <c r="AEL258" s="575"/>
      <c r="AEM258" s="575"/>
      <c r="AEN258" s="575"/>
      <c r="AEO258" s="575"/>
      <c r="AEP258" s="575"/>
      <c r="AEQ258" s="575"/>
      <c r="AER258" s="575"/>
      <c r="AES258" s="575"/>
      <c r="AET258" s="575"/>
      <c r="AEU258" s="575"/>
      <c r="AEV258" s="575"/>
      <c r="AEW258" s="575"/>
      <c r="AEX258" s="575"/>
      <c r="AEY258" s="575"/>
      <c r="AEZ258" s="575"/>
      <c r="AFA258" s="575"/>
      <c r="AFB258" s="575"/>
      <c r="AFC258" s="575"/>
      <c r="AFD258" s="575"/>
      <c r="AFE258" s="575"/>
      <c r="AFF258" s="575"/>
      <c r="AFG258" s="575"/>
      <c r="AFH258" s="575"/>
      <c r="AFI258" s="575"/>
      <c r="AFJ258" s="575"/>
      <c r="AFK258" s="575"/>
      <c r="AFL258" s="575"/>
      <c r="AFM258" s="575"/>
      <c r="AFN258" s="575"/>
      <c r="AFO258" s="575"/>
      <c r="AFP258" s="575"/>
      <c r="AFQ258" s="575"/>
      <c r="AFR258" s="575"/>
      <c r="AFS258" s="575"/>
      <c r="AFT258" s="575"/>
      <c r="AFU258" s="575"/>
      <c r="AFV258" s="575"/>
      <c r="AFW258" s="575"/>
      <c r="AFX258" s="575"/>
      <c r="AFY258" s="575"/>
      <c r="AFZ258" s="575"/>
      <c r="AGA258" s="575"/>
      <c r="AGB258" s="575"/>
      <c r="AGC258" s="575"/>
      <c r="AGD258" s="575"/>
      <c r="AGE258" s="575"/>
      <c r="AGF258" s="575"/>
      <c r="AGG258" s="575"/>
      <c r="AGH258" s="575"/>
      <c r="AGI258" s="575"/>
      <c r="AGJ258" s="575"/>
      <c r="AGK258" s="575"/>
      <c r="AGL258" s="575"/>
      <c r="AGM258" s="575"/>
      <c r="AGN258" s="575"/>
      <c r="AGO258" s="575"/>
      <c r="AGP258" s="575"/>
      <c r="AGQ258" s="575"/>
      <c r="AGR258" s="575"/>
      <c r="AGS258" s="575"/>
      <c r="AGT258" s="575"/>
      <c r="AGU258" s="575"/>
      <c r="AGV258" s="575"/>
      <c r="AGW258" s="575"/>
      <c r="AGX258" s="575"/>
      <c r="AGY258" s="575"/>
      <c r="AGZ258" s="575"/>
      <c r="AHA258" s="575"/>
      <c r="AHB258" s="575"/>
      <c r="AHC258" s="575"/>
      <c r="AHD258" s="575"/>
      <c r="AHE258" s="575"/>
      <c r="AHF258" s="575"/>
      <c r="AHG258" s="575"/>
      <c r="AHH258" s="575"/>
      <c r="AHI258" s="575"/>
      <c r="AHJ258" s="575"/>
      <c r="AHK258" s="575"/>
      <c r="AHL258" s="575"/>
      <c r="AHM258" s="575"/>
      <c r="AHN258" s="575"/>
      <c r="AHO258" s="575"/>
      <c r="AHP258" s="575"/>
      <c r="AHQ258" s="575"/>
      <c r="AHR258" s="575"/>
      <c r="AHS258" s="575"/>
      <c r="AHT258" s="575"/>
      <c r="AHU258" s="575"/>
      <c r="AHV258" s="575"/>
      <c r="AHW258" s="575"/>
      <c r="AHX258" s="575"/>
      <c r="AHY258" s="575"/>
      <c r="AHZ258" s="575"/>
      <c r="AIA258" s="575"/>
      <c r="AIB258" s="575"/>
      <c r="AIC258" s="575"/>
      <c r="AID258" s="575"/>
      <c r="AIE258" s="575"/>
      <c r="AIF258" s="575"/>
      <c r="AIG258" s="575"/>
      <c r="AIH258" s="575"/>
      <c r="AII258" s="575"/>
      <c r="AIJ258" s="575"/>
      <c r="AIK258" s="575"/>
      <c r="AIL258" s="575"/>
      <c r="AIM258" s="575"/>
      <c r="AIN258" s="575"/>
      <c r="AIO258" s="575"/>
      <c r="AIP258" s="575"/>
      <c r="AIQ258" s="575"/>
      <c r="AIR258" s="575"/>
      <c r="AIS258" s="575"/>
      <c r="AIT258" s="575"/>
      <c r="AIU258" s="575"/>
      <c r="AIV258" s="575"/>
      <c r="AIW258" s="575"/>
      <c r="AIX258" s="575"/>
      <c r="AIY258" s="575"/>
      <c r="AIZ258" s="575"/>
      <c r="AJA258" s="575"/>
      <c r="AJB258" s="575"/>
      <c r="AJC258" s="575"/>
      <c r="AJD258" s="575"/>
      <c r="AJE258" s="575"/>
      <c r="AJF258" s="575"/>
      <c r="AJG258" s="575"/>
      <c r="AJH258" s="575"/>
      <c r="AJI258" s="575"/>
      <c r="AJJ258" s="575"/>
      <c r="AJK258" s="575"/>
      <c r="AJL258" s="575"/>
      <c r="AJM258" s="575"/>
      <c r="AJN258" s="575"/>
      <c r="AJO258" s="575"/>
      <c r="AJP258" s="575"/>
      <c r="AJQ258" s="575"/>
      <c r="AJR258" s="575"/>
      <c r="AJS258" s="575"/>
      <c r="AJT258" s="575"/>
      <c r="AJU258" s="575"/>
      <c r="AJV258" s="575"/>
      <c r="AJW258" s="575"/>
      <c r="AJX258" s="575"/>
      <c r="AJY258" s="575"/>
      <c r="AJZ258" s="575"/>
      <c r="AKA258" s="575"/>
      <c r="AKB258" s="575"/>
      <c r="AKC258" s="575"/>
      <c r="AKD258" s="575"/>
      <c r="AKE258" s="575"/>
      <c r="AKF258" s="575"/>
      <c r="AKG258" s="575"/>
      <c r="AKH258" s="575"/>
      <c r="AKI258" s="575"/>
      <c r="AKJ258" s="575"/>
      <c r="AKK258" s="575"/>
      <c r="AKL258" s="575"/>
      <c r="AKM258" s="575"/>
      <c r="AKN258" s="575"/>
      <c r="AKO258" s="575"/>
      <c r="AKP258" s="575"/>
      <c r="AKQ258" s="575"/>
      <c r="AKR258" s="575"/>
      <c r="AKS258" s="575"/>
      <c r="AKT258" s="575"/>
      <c r="AKU258" s="575"/>
      <c r="AKV258" s="575"/>
      <c r="AKW258" s="575"/>
      <c r="AKX258" s="575"/>
      <c r="AKY258" s="575"/>
      <c r="AKZ258" s="575"/>
      <c r="ALA258" s="575"/>
      <c r="ALB258" s="575"/>
      <c r="ALC258" s="575"/>
      <c r="ALD258" s="575"/>
      <c r="ALE258" s="575"/>
      <c r="ALF258" s="575"/>
      <c r="ALG258" s="575"/>
      <c r="ALH258" s="575"/>
      <c r="ALI258" s="575"/>
      <c r="ALJ258" s="575"/>
      <c r="ALK258" s="575"/>
      <c r="ALL258" s="575"/>
      <c r="ALM258" s="575"/>
      <c r="ALN258" s="575"/>
      <c r="ALO258" s="575"/>
      <c r="ALP258" s="575"/>
      <c r="ALQ258" s="575"/>
      <c r="ALR258" s="575"/>
      <c r="ALS258" s="575"/>
      <c r="ALT258" s="575"/>
      <c r="ALU258" s="575"/>
      <c r="ALV258" s="575"/>
      <c r="ALW258" s="575"/>
      <c r="ALX258" s="575"/>
      <c r="ALY258" s="575"/>
      <c r="ALZ258" s="575"/>
      <c r="AMA258" s="575"/>
      <c r="AMB258" s="575"/>
      <c r="AMC258" s="575"/>
      <c r="AMD258" s="575"/>
      <c r="AME258" s="575"/>
      <c r="AMF258" s="575"/>
      <c r="AMG258" s="575"/>
      <c r="AMH258" s="575"/>
      <c r="AMI258" s="575"/>
      <c r="AMJ258" s="575"/>
      <c r="AMK258" s="575"/>
      <c r="AML258" s="575"/>
      <c r="AMM258" s="575"/>
      <c r="AMN258" s="575"/>
      <c r="AMO258" s="575"/>
      <c r="AMP258" s="575"/>
      <c r="AMQ258" s="575"/>
      <c r="AMR258" s="575"/>
      <c r="AMS258" s="575"/>
      <c r="AMT258" s="575"/>
      <c r="AMU258" s="575"/>
      <c r="AMV258" s="575"/>
      <c r="AMW258" s="575"/>
      <c r="AMX258" s="575"/>
      <c r="AMY258" s="575"/>
      <c r="AMZ258" s="575"/>
      <c r="ANA258" s="575"/>
      <c r="ANB258" s="575"/>
      <c r="ANC258" s="575"/>
      <c r="AND258" s="575"/>
      <c r="ANE258" s="575"/>
      <c r="ANF258" s="575"/>
      <c r="ANG258" s="575"/>
      <c r="ANH258" s="575"/>
      <c r="ANI258" s="575"/>
      <c r="ANJ258" s="575"/>
      <c r="ANK258" s="575"/>
      <c r="ANL258" s="575"/>
      <c r="ANM258" s="575"/>
      <c r="ANN258" s="575"/>
      <c r="ANO258" s="575"/>
      <c r="ANP258" s="575"/>
      <c r="ANQ258" s="575"/>
      <c r="ANR258" s="575"/>
      <c r="ANS258" s="575"/>
      <c r="ANT258" s="575"/>
      <c r="ANU258" s="575"/>
      <c r="ANV258" s="575"/>
      <c r="ANW258" s="575"/>
      <c r="ANX258" s="575"/>
      <c r="ANY258" s="575"/>
      <c r="ANZ258" s="575"/>
      <c r="AOA258" s="575"/>
      <c r="AOB258" s="575"/>
      <c r="AOC258" s="575"/>
      <c r="AOD258" s="575"/>
      <c r="AOE258" s="575"/>
      <c r="AOF258" s="575"/>
      <c r="AOG258" s="575"/>
      <c r="AOH258" s="575"/>
      <c r="AOI258" s="575"/>
      <c r="AOJ258" s="575"/>
      <c r="AOK258" s="575"/>
      <c r="AOL258" s="575"/>
      <c r="AOM258" s="575"/>
      <c r="AON258" s="575"/>
      <c r="AOO258" s="575"/>
      <c r="AOP258" s="575"/>
      <c r="AOQ258" s="575"/>
      <c r="AOR258" s="575"/>
      <c r="AOS258" s="575"/>
      <c r="AOT258" s="575"/>
      <c r="AOU258" s="575"/>
      <c r="AOV258" s="575"/>
      <c r="AOW258" s="575"/>
      <c r="AOX258" s="575"/>
      <c r="AOY258" s="575"/>
      <c r="AOZ258" s="575"/>
      <c r="APA258" s="575"/>
      <c r="APB258" s="575"/>
      <c r="APC258" s="575"/>
      <c r="APD258" s="575"/>
      <c r="APE258" s="575"/>
      <c r="APF258" s="575"/>
      <c r="APG258" s="575"/>
      <c r="APH258" s="575"/>
      <c r="API258" s="575"/>
      <c r="APJ258" s="575"/>
      <c r="APK258" s="575"/>
      <c r="APL258" s="575"/>
      <c r="APM258" s="575"/>
      <c r="APN258" s="575"/>
      <c r="APO258" s="575"/>
      <c r="APP258" s="575"/>
      <c r="APQ258" s="575"/>
      <c r="APR258" s="575"/>
      <c r="APS258" s="575"/>
      <c r="APT258" s="575"/>
      <c r="APU258" s="575"/>
      <c r="APV258" s="575"/>
      <c r="APW258" s="575"/>
      <c r="APX258" s="575"/>
      <c r="APY258" s="575"/>
      <c r="APZ258" s="575"/>
      <c r="AQA258" s="575"/>
      <c r="AQB258" s="575"/>
      <c r="AQC258" s="575"/>
      <c r="AQD258" s="575"/>
      <c r="AQE258" s="575"/>
      <c r="AQF258" s="575"/>
      <c r="AQG258" s="575"/>
      <c r="AQH258" s="575"/>
      <c r="AQI258" s="575"/>
      <c r="AQJ258" s="575"/>
      <c r="AQK258" s="575"/>
      <c r="AQL258" s="575"/>
      <c r="AQM258" s="575"/>
      <c r="AQN258" s="575"/>
      <c r="AQO258" s="575"/>
      <c r="AQP258" s="575"/>
      <c r="AQQ258" s="575"/>
      <c r="AQR258" s="575"/>
      <c r="AQS258" s="575"/>
      <c r="AQT258" s="575"/>
      <c r="AQU258" s="575"/>
      <c r="AQV258" s="575"/>
      <c r="AQW258" s="575"/>
      <c r="AQX258" s="575"/>
      <c r="AQY258" s="575"/>
      <c r="AQZ258" s="575"/>
      <c r="ARA258" s="575"/>
      <c r="ARB258" s="575"/>
      <c r="ARC258" s="575"/>
      <c r="ARD258" s="575"/>
      <c r="ARE258" s="575"/>
      <c r="ARF258" s="575"/>
      <c r="ARG258" s="575"/>
      <c r="ARH258" s="575"/>
      <c r="ARI258" s="575"/>
      <c r="ARJ258" s="575"/>
      <c r="ARK258" s="575"/>
      <c r="ARL258" s="575"/>
      <c r="ARM258" s="575"/>
      <c r="ARN258" s="575"/>
      <c r="ARO258" s="575"/>
      <c r="ARP258" s="575"/>
      <c r="ARQ258" s="575"/>
      <c r="ARR258" s="575"/>
      <c r="ARS258" s="575"/>
      <c r="ART258" s="575"/>
      <c r="ARU258" s="575"/>
      <c r="ARV258" s="575"/>
      <c r="ARW258" s="575"/>
      <c r="ARX258" s="575"/>
      <c r="ARY258" s="575"/>
      <c r="ARZ258" s="575"/>
      <c r="ASA258" s="575"/>
      <c r="ASB258" s="575"/>
      <c r="ASC258" s="575"/>
      <c r="ASD258" s="575"/>
      <c r="ASE258" s="575"/>
      <c r="ASF258" s="575"/>
      <c r="ASG258" s="575"/>
      <c r="ASH258" s="575"/>
      <c r="ASI258" s="575"/>
      <c r="ASJ258" s="575"/>
      <c r="ASK258" s="575"/>
      <c r="ASL258" s="575"/>
      <c r="ASM258" s="575"/>
      <c r="ASN258" s="575"/>
      <c r="ASO258" s="575"/>
      <c r="ASP258" s="575"/>
      <c r="ASQ258" s="575"/>
      <c r="ASR258" s="575"/>
      <c r="ASS258" s="575"/>
      <c r="AST258" s="575"/>
      <c r="ASU258" s="575"/>
      <c r="ASV258" s="575"/>
      <c r="ASW258" s="575"/>
      <c r="ASX258" s="575"/>
      <c r="ASY258" s="575"/>
      <c r="ASZ258" s="575"/>
      <c r="ATA258" s="575"/>
      <c r="ATB258" s="575"/>
      <c r="ATC258" s="575"/>
      <c r="ATD258" s="575"/>
      <c r="ATE258" s="575"/>
      <c r="ATF258" s="575"/>
      <c r="ATG258" s="575"/>
      <c r="ATH258" s="575"/>
      <c r="ATI258" s="575"/>
      <c r="ATJ258" s="575"/>
      <c r="ATK258" s="575"/>
      <c r="ATL258" s="575"/>
      <c r="ATM258" s="575"/>
      <c r="ATN258" s="575"/>
      <c r="ATO258" s="575"/>
      <c r="ATP258" s="575"/>
      <c r="ATQ258" s="575"/>
      <c r="ATR258" s="575"/>
      <c r="ATS258" s="575"/>
      <c r="ATT258" s="575"/>
      <c r="ATU258" s="575"/>
      <c r="ATV258" s="575"/>
      <c r="ATW258" s="575"/>
      <c r="ATX258" s="575"/>
      <c r="ATY258" s="575"/>
      <c r="ATZ258" s="575"/>
      <c r="AUA258" s="575"/>
      <c r="AUB258" s="575"/>
      <c r="AUC258" s="575"/>
      <c r="AUD258" s="575"/>
      <c r="AUE258" s="575"/>
      <c r="AUF258" s="575"/>
      <c r="AUG258" s="575"/>
      <c r="AUH258" s="575"/>
      <c r="AUI258" s="575"/>
      <c r="AUJ258" s="575"/>
      <c r="AUK258" s="575"/>
      <c r="AUL258" s="575"/>
      <c r="AUM258" s="575"/>
      <c r="AUN258" s="575"/>
      <c r="AUO258" s="575"/>
      <c r="AUP258" s="575"/>
      <c r="AUQ258" s="575"/>
      <c r="AUR258" s="575"/>
      <c r="AUS258" s="575"/>
      <c r="AUT258" s="575"/>
      <c r="AUU258" s="575"/>
      <c r="AUV258" s="575"/>
      <c r="AUW258" s="575"/>
      <c r="AUX258" s="575"/>
      <c r="AUY258" s="575"/>
      <c r="AUZ258" s="575"/>
      <c r="AVA258" s="575"/>
      <c r="AVB258" s="575"/>
      <c r="AVC258" s="575"/>
      <c r="AVD258" s="575"/>
      <c r="AVE258" s="575"/>
      <c r="AVF258" s="575"/>
      <c r="AVG258" s="575"/>
      <c r="AVH258" s="575"/>
      <c r="AVI258" s="575"/>
      <c r="AVJ258" s="575"/>
      <c r="AVK258" s="575"/>
      <c r="AVL258" s="575"/>
      <c r="AVM258" s="575"/>
      <c r="AVN258" s="575"/>
      <c r="AVO258" s="575"/>
      <c r="AVP258" s="575"/>
      <c r="AVQ258" s="575"/>
      <c r="AVR258" s="575"/>
      <c r="AVS258" s="575"/>
      <c r="AVT258" s="575"/>
      <c r="AVU258" s="575"/>
      <c r="AVV258" s="575"/>
      <c r="AVW258" s="575"/>
      <c r="AVX258" s="575"/>
      <c r="AVY258" s="575"/>
      <c r="AVZ258" s="575"/>
      <c r="AWA258" s="575"/>
      <c r="AWB258" s="575"/>
      <c r="AWC258" s="575"/>
      <c r="AWD258" s="575"/>
      <c r="AWE258" s="575"/>
      <c r="AWF258" s="575"/>
      <c r="AWG258" s="575"/>
      <c r="AWH258" s="575"/>
      <c r="AWI258" s="575"/>
      <c r="AWJ258" s="575"/>
      <c r="AWK258" s="575"/>
      <c r="AWL258" s="575"/>
      <c r="AWM258" s="575"/>
      <c r="AWN258" s="575"/>
      <c r="AWO258" s="575"/>
      <c r="AWP258" s="575"/>
      <c r="AWQ258" s="575"/>
      <c r="AWR258" s="575"/>
      <c r="AWS258" s="575"/>
      <c r="AWT258" s="575"/>
      <c r="AWU258" s="575"/>
      <c r="AWV258" s="575"/>
      <c r="AWW258" s="575"/>
      <c r="AWX258" s="575"/>
      <c r="AWY258" s="575"/>
      <c r="AWZ258" s="575"/>
      <c r="AXA258" s="575"/>
      <c r="AXB258" s="575"/>
      <c r="AXC258" s="575"/>
      <c r="AXD258" s="575"/>
      <c r="AXE258" s="575"/>
      <c r="AXF258" s="575"/>
      <c r="AXG258" s="575"/>
      <c r="AXH258" s="575"/>
      <c r="AXI258" s="575"/>
      <c r="AXJ258" s="575"/>
      <c r="AXK258" s="575"/>
      <c r="AXL258" s="575"/>
      <c r="AXM258" s="575"/>
      <c r="AXN258" s="575"/>
      <c r="AXO258" s="575"/>
      <c r="AXP258" s="575"/>
      <c r="AXQ258" s="575"/>
      <c r="AXR258" s="575"/>
      <c r="AXS258" s="575"/>
      <c r="AXT258" s="575"/>
      <c r="AXU258" s="575"/>
      <c r="AXV258" s="575"/>
      <c r="AXW258" s="575"/>
      <c r="AXX258" s="575"/>
      <c r="AXY258" s="575"/>
      <c r="AXZ258" s="575"/>
      <c r="AYA258" s="575"/>
      <c r="AYB258" s="575"/>
      <c r="AYC258" s="575"/>
      <c r="AYD258" s="575"/>
      <c r="AYE258" s="575"/>
      <c r="AYF258" s="575"/>
      <c r="AYG258" s="575"/>
      <c r="AYH258" s="575"/>
      <c r="AYI258" s="575"/>
      <c r="AYJ258" s="575"/>
      <c r="AYK258" s="575"/>
      <c r="AYL258" s="575"/>
      <c r="AYM258" s="575"/>
      <c r="AYN258" s="575"/>
      <c r="AYO258" s="575"/>
      <c r="AYP258" s="575"/>
      <c r="AYQ258" s="575"/>
      <c r="AYR258" s="575"/>
      <c r="AYS258" s="575"/>
      <c r="AYT258" s="575"/>
      <c r="AYU258" s="575"/>
      <c r="AYV258" s="575"/>
      <c r="AYW258" s="575"/>
      <c r="AYX258" s="575"/>
      <c r="AYY258" s="575"/>
      <c r="AYZ258" s="575"/>
      <c r="AZA258" s="575"/>
      <c r="AZB258" s="575"/>
      <c r="AZC258" s="575"/>
      <c r="AZD258" s="575"/>
      <c r="AZE258" s="575"/>
      <c r="AZF258" s="575"/>
      <c r="AZG258" s="575"/>
      <c r="AZH258" s="575"/>
      <c r="AZI258" s="575"/>
      <c r="AZJ258" s="575"/>
      <c r="AZK258" s="575"/>
      <c r="AZL258" s="575"/>
      <c r="AZM258" s="575"/>
      <c r="AZN258" s="575"/>
      <c r="AZO258" s="575"/>
      <c r="AZP258" s="575"/>
      <c r="AZQ258" s="575"/>
      <c r="AZR258" s="575"/>
      <c r="AZS258" s="575"/>
      <c r="AZT258" s="575"/>
      <c r="AZU258" s="575"/>
      <c r="AZV258" s="575"/>
      <c r="AZW258" s="575"/>
      <c r="AZX258" s="575"/>
      <c r="AZY258" s="575"/>
      <c r="AZZ258" s="575"/>
      <c r="BAA258" s="575"/>
      <c r="BAB258" s="575"/>
      <c r="BAC258" s="575"/>
      <c r="BAD258" s="575"/>
      <c r="BAE258" s="575"/>
      <c r="BAF258" s="575"/>
      <c r="BAG258" s="575"/>
      <c r="BAH258" s="575"/>
      <c r="BAI258" s="575"/>
      <c r="BAJ258" s="575"/>
      <c r="BAK258" s="575"/>
      <c r="BAL258" s="575"/>
      <c r="BAM258" s="575"/>
      <c r="BAN258" s="575"/>
      <c r="BAO258" s="575"/>
      <c r="BAP258" s="575"/>
      <c r="BAQ258" s="575"/>
      <c r="BAR258" s="575"/>
      <c r="BAS258" s="575"/>
      <c r="BAT258" s="575"/>
      <c r="BAU258" s="575"/>
      <c r="BAV258" s="575"/>
      <c r="BAW258" s="575"/>
      <c r="BAX258" s="575"/>
      <c r="BAY258" s="575"/>
      <c r="BAZ258" s="575"/>
      <c r="BBA258" s="575"/>
      <c r="BBB258" s="575"/>
      <c r="BBC258" s="575"/>
      <c r="BBD258" s="575"/>
      <c r="BBE258" s="575"/>
      <c r="BBF258" s="575"/>
      <c r="BBG258" s="575"/>
      <c r="BBH258" s="575"/>
      <c r="BBI258" s="575"/>
      <c r="BBJ258" s="575"/>
      <c r="BBK258" s="575"/>
      <c r="BBL258" s="575"/>
      <c r="BBM258" s="575"/>
      <c r="BBN258" s="575"/>
      <c r="BBO258" s="575"/>
      <c r="BBP258" s="575"/>
      <c r="BBQ258" s="575"/>
      <c r="BBR258" s="575"/>
      <c r="BBS258" s="575"/>
      <c r="BBT258" s="575"/>
      <c r="BBU258" s="575"/>
      <c r="BBV258" s="575"/>
      <c r="BBW258" s="575"/>
      <c r="BBX258" s="575"/>
      <c r="BBY258" s="575"/>
      <c r="BBZ258" s="575"/>
      <c r="BCA258" s="575"/>
      <c r="BCB258" s="575"/>
      <c r="BCC258" s="575"/>
      <c r="BCD258" s="575"/>
      <c r="BCE258" s="575"/>
      <c r="BCF258" s="575"/>
      <c r="BCG258" s="575"/>
      <c r="BCH258" s="575"/>
      <c r="BCI258" s="575"/>
      <c r="BCJ258" s="575"/>
      <c r="BCK258" s="575"/>
      <c r="BCL258" s="575"/>
      <c r="BCM258" s="575"/>
      <c r="BCN258" s="575"/>
      <c r="BCO258" s="575"/>
      <c r="BCP258" s="575"/>
      <c r="BCQ258" s="575"/>
      <c r="BCR258" s="575"/>
      <c r="BCS258" s="575"/>
      <c r="BCT258" s="575"/>
      <c r="BCU258" s="575"/>
      <c r="BCV258" s="575"/>
      <c r="BCW258" s="575"/>
      <c r="BCX258" s="575"/>
      <c r="BCY258" s="575"/>
      <c r="BCZ258" s="575"/>
      <c r="BDA258" s="575"/>
      <c r="BDB258" s="575"/>
      <c r="BDC258" s="575"/>
      <c r="BDD258" s="575"/>
      <c r="BDE258" s="575"/>
      <c r="BDF258" s="575"/>
      <c r="BDG258" s="575"/>
      <c r="BDH258" s="575"/>
      <c r="BDI258" s="575"/>
      <c r="BDJ258" s="575"/>
      <c r="BDK258" s="575"/>
      <c r="BDL258" s="575"/>
      <c r="BDM258" s="575"/>
      <c r="BDN258" s="575"/>
      <c r="BDO258" s="575"/>
      <c r="BDP258" s="575"/>
      <c r="BDQ258" s="575"/>
      <c r="BDR258" s="575"/>
      <c r="BDS258" s="575"/>
      <c r="BDT258" s="575"/>
    </row>
    <row r="259" spans="1:1476" s="632" customFormat="1" x14ac:dyDescent="0.25">
      <c r="A259" s="608">
        <v>5859</v>
      </c>
      <c r="B259" s="609" t="s">
        <v>23</v>
      </c>
      <c r="C259" s="610">
        <v>7054386.1900000004</v>
      </c>
      <c r="D259" s="610">
        <v>1647800.64</v>
      </c>
      <c r="E259" s="610"/>
      <c r="F259" s="611"/>
      <c r="G259" s="610">
        <v>253196.79999999999</v>
      </c>
      <c r="H259" s="610">
        <v>30834.55</v>
      </c>
      <c r="I259" s="610">
        <v>327716.25</v>
      </c>
      <c r="J259" s="610">
        <v>65015.519999999997</v>
      </c>
      <c r="K259" s="610">
        <v>5880.6</v>
      </c>
      <c r="L259" s="610">
        <v>701543.95</v>
      </c>
      <c r="M259" s="434">
        <f t="shared" si="12"/>
        <v>10086374.5</v>
      </c>
      <c r="N259" s="612">
        <v>120650.05</v>
      </c>
      <c r="O259" s="612">
        <v>501474</v>
      </c>
      <c r="P259" s="612">
        <v>373643.75</v>
      </c>
      <c r="Q259" s="612">
        <v>48842.239999999998</v>
      </c>
      <c r="R259" s="612">
        <v>462011.3</v>
      </c>
      <c r="S259" s="610">
        <v>29682.73</v>
      </c>
      <c r="T259" s="543">
        <f t="shared" si="13"/>
        <v>11622678.570000002</v>
      </c>
      <c r="U259" s="575">
        <v>-95986.17</v>
      </c>
      <c r="V259" s="612"/>
      <c r="W259" s="612">
        <v>-8201.41</v>
      </c>
      <c r="X259" s="624">
        <v>63.5</v>
      </c>
      <c r="Y259" s="631">
        <v>1</v>
      </c>
      <c r="Z259" s="628">
        <f>VLOOKUP(A259,'[2]2022 toutes communes'!$B$9:$D$317,3,FALSE)</f>
        <v>2759</v>
      </c>
      <c r="AA259" s="617"/>
      <c r="AB259" s="618">
        <v>97206</v>
      </c>
      <c r="AC259" s="547">
        <f>AB259/VPI!R259</f>
        <v>0.61353322384028641</v>
      </c>
      <c r="AD259" s="548">
        <f t="shared" si="14"/>
        <v>1079518</v>
      </c>
      <c r="AE259" s="547">
        <f>AD259/VPI!R259</f>
        <v>6.8135728116949394</v>
      </c>
      <c r="AF259" s="618">
        <v>1176724</v>
      </c>
      <c r="AG259" s="618">
        <v>140668</v>
      </c>
      <c r="AH259" s="618">
        <v>256437</v>
      </c>
      <c r="AI259" s="637"/>
      <c r="AJ259" s="628">
        <v>0</v>
      </c>
      <c r="AK259" s="547">
        <f>AJ259/VPI!R259</f>
        <v>0</v>
      </c>
      <c r="AL259" s="548">
        <f t="shared" si="15"/>
        <v>0</v>
      </c>
      <c r="AM259" s="547">
        <f>AL259/VPI!R259</f>
        <v>0</v>
      </c>
      <c r="AN259" s="628">
        <v>0</v>
      </c>
      <c r="AO259" s="637"/>
      <c r="AP259" s="629">
        <v>28.613893428282903</v>
      </c>
      <c r="AQ259" s="575"/>
      <c r="AR259" s="630">
        <v>0</v>
      </c>
      <c r="AS259" s="575"/>
      <c r="AT259" s="575"/>
      <c r="AU259" s="575"/>
      <c r="AV259" s="575"/>
      <c r="AW259" s="575"/>
      <c r="AX259" s="575"/>
      <c r="AY259" s="575"/>
      <c r="AZ259" s="575"/>
      <c r="BA259" s="575"/>
      <c r="BB259" s="575"/>
      <c r="BC259" s="575"/>
      <c r="BD259" s="575"/>
      <c r="BE259" s="575"/>
      <c r="BF259" s="575"/>
      <c r="BG259" s="575"/>
      <c r="BH259" s="575"/>
      <c r="BI259" s="575"/>
      <c r="BJ259" s="575"/>
      <c r="BK259" s="575"/>
      <c r="BL259" s="575"/>
      <c r="BM259" s="575"/>
      <c r="BN259" s="575"/>
      <c r="BO259" s="575"/>
      <c r="BP259" s="575"/>
      <c r="BQ259" s="575"/>
      <c r="BR259" s="575"/>
      <c r="BS259" s="575"/>
      <c r="BT259" s="575"/>
      <c r="BU259" s="575"/>
      <c r="BV259" s="575"/>
      <c r="BW259" s="575"/>
      <c r="BX259" s="575"/>
      <c r="BY259" s="575"/>
      <c r="BZ259" s="575"/>
      <c r="CA259" s="575"/>
      <c r="CB259" s="575"/>
      <c r="CC259" s="575"/>
      <c r="CD259" s="575"/>
      <c r="CE259" s="575"/>
      <c r="CF259" s="575"/>
      <c r="CG259" s="575"/>
      <c r="CH259" s="575"/>
      <c r="CI259" s="575"/>
      <c r="CJ259" s="575"/>
      <c r="CK259" s="575"/>
      <c r="CL259" s="575"/>
      <c r="CM259" s="575"/>
      <c r="CN259" s="575"/>
      <c r="CO259" s="575"/>
      <c r="CP259" s="575"/>
      <c r="CQ259" s="575"/>
      <c r="CR259" s="575"/>
      <c r="CS259" s="575"/>
      <c r="CT259" s="575"/>
      <c r="CU259" s="575"/>
      <c r="CV259" s="575"/>
      <c r="CW259" s="575"/>
      <c r="CX259" s="575"/>
      <c r="CY259" s="575"/>
      <c r="CZ259" s="575"/>
      <c r="DA259" s="575"/>
      <c r="DB259" s="575"/>
      <c r="DC259" s="575"/>
      <c r="DD259" s="575"/>
      <c r="DE259" s="575"/>
      <c r="DF259" s="575"/>
      <c r="DG259" s="575"/>
      <c r="DH259" s="575"/>
      <c r="DI259" s="575"/>
      <c r="DJ259" s="575"/>
      <c r="DK259" s="575"/>
      <c r="DL259" s="575"/>
      <c r="DM259" s="575"/>
      <c r="DN259" s="575"/>
      <c r="DO259" s="575"/>
      <c r="DP259" s="575"/>
      <c r="DQ259" s="575"/>
      <c r="DR259" s="575"/>
      <c r="DS259" s="575"/>
      <c r="DT259" s="575"/>
      <c r="DU259" s="575"/>
      <c r="DV259" s="575"/>
      <c r="DW259" s="575"/>
      <c r="DX259" s="575"/>
      <c r="DY259" s="575"/>
      <c r="DZ259" s="575"/>
      <c r="EA259" s="575"/>
      <c r="EB259" s="575"/>
      <c r="EC259" s="575"/>
      <c r="ED259" s="575"/>
      <c r="EE259" s="575"/>
      <c r="EF259" s="575"/>
      <c r="EG259" s="575"/>
      <c r="EH259" s="575"/>
      <c r="EI259" s="575"/>
      <c r="EJ259" s="575"/>
      <c r="EK259" s="575"/>
      <c r="EL259" s="575"/>
      <c r="EM259" s="575"/>
      <c r="EN259" s="575"/>
      <c r="EO259" s="575"/>
      <c r="EP259" s="575"/>
      <c r="EQ259" s="575"/>
      <c r="ER259" s="575"/>
      <c r="ES259" s="575"/>
      <c r="ET259" s="575"/>
      <c r="EU259" s="575"/>
      <c r="EV259" s="575"/>
      <c r="EW259" s="575"/>
      <c r="EX259" s="575"/>
      <c r="EY259" s="575"/>
      <c r="EZ259" s="575"/>
      <c r="FA259" s="575"/>
      <c r="FB259" s="575"/>
      <c r="FC259" s="575"/>
      <c r="FD259" s="575"/>
      <c r="FE259" s="575"/>
      <c r="FF259" s="575"/>
      <c r="FG259" s="575"/>
      <c r="FH259" s="575"/>
      <c r="FI259" s="575"/>
      <c r="FJ259" s="575"/>
      <c r="FK259" s="575"/>
      <c r="FL259" s="575"/>
      <c r="FM259" s="575"/>
      <c r="FN259" s="575"/>
      <c r="FO259" s="575"/>
      <c r="FP259" s="575"/>
      <c r="FQ259" s="575"/>
      <c r="FR259" s="575"/>
      <c r="FS259" s="575"/>
      <c r="FT259" s="575"/>
      <c r="FU259" s="575"/>
      <c r="FV259" s="575"/>
      <c r="FW259" s="575"/>
      <c r="FX259" s="575"/>
      <c r="FY259" s="575"/>
      <c r="FZ259" s="575"/>
      <c r="GA259" s="575"/>
      <c r="GB259" s="575"/>
      <c r="GC259" s="575"/>
      <c r="GD259" s="575"/>
      <c r="GE259" s="575"/>
      <c r="GF259" s="575"/>
      <c r="GG259" s="575"/>
      <c r="GH259" s="575"/>
      <c r="GI259" s="575"/>
      <c r="GJ259" s="575"/>
      <c r="GK259" s="575"/>
      <c r="GL259" s="575"/>
      <c r="GM259" s="575"/>
      <c r="GN259" s="575"/>
      <c r="GO259" s="575"/>
      <c r="GP259" s="575"/>
      <c r="GQ259" s="575"/>
      <c r="GR259" s="575"/>
      <c r="GS259" s="575"/>
      <c r="GT259" s="575"/>
      <c r="GU259" s="575"/>
      <c r="GV259" s="575"/>
      <c r="GW259" s="575"/>
      <c r="GX259" s="575"/>
      <c r="GY259" s="575"/>
      <c r="GZ259" s="575"/>
      <c r="HA259" s="575"/>
      <c r="HB259" s="575"/>
      <c r="HC259" s="575"/>
      <c r="HD259" s="575"/>
      <c r="HE259" s="575"/>
      <c r="HF259" s="575"/>
      <c r="HG259" s="575"/>
      <c r="HH259" s="575"/>
      <c r="HI259" s="575"/>
      <c r="HJ259" s="575"/>
      <c r="HK259" s="575"/>
      <c r="HL259" s="575"/>
      <c r="HM259" s="575"/>
      <c r="HN259" s="575"/>
      <c r="HO259" s="575"/>
      <c r="HP259" s="575"/>
      <c r="HQ259" s="575"/>
      <c r="HR259" s="575"/>
      <c r="HS259" s="575"/>
      <c r="HT259" s="575"/>
      <c r="HU259" s="575"/>
      <c r="HV259" s="575"/>
      <c r="HW259" s="575"/>
      <c r="HX259" s="575"/>
      <c r="HY259" s="575"/>
      <c r="HZ259" s="575"/>
      <c r="IA259" s="575"/>
      <c r="IB259" s="575"/>
      <c r="IC259" s="575"/>
      <c r="ID259" s="575"/>
      <c r="IE259" s="575"/>
      <c r="IF259" s="575"/>
      <c r="IG259" s="575"/>
      <c r="IH259" s="575"/>
      <c r="II259" s="575"/>
      <c r="IJ259" s="575"/>
      <c r="IK259" s="575"/>
      <c r="IL259" s="575"/>
      <c r="IM259" s="575"/>
      <c r="IN259" s="575"/>
      <c r="IO259" s="575"/>
      <c r="IP259" s="575"/>
      <c r="IQ259" s="575"/>
      <c r="IR259" s="575"/>
      <c r="IS259" s="575"/>
      <c r="IT259" s="575"/>
      <c r="IU259" s="575"/>
      <c r="IV259" s="575"/>
      <c r="IW259" s="575"/>
      <c r="IX259" s="575"/>
      <c r="IY259" s="575"/>
      <c r="IZ259" s="575"/>
      <c r="JA259" s="575"/>
      <c r="JB259" s="575"/>
      <c r="JC259" s="575"/>
      <c r="JD259" s="575"/>
      <c r="JE259" s="575"/>
      <c r="JF259" s="575"/>
      <c r="JG259" s="575"/>
      <c r="JH259" s="575"/>
      <c r="JI259" s="575"/>
      <c r="JJ259" s="575"/>
      <c r="JK259" s="575"/>
      <c r="JL259" s="575"/>
      <c r="JM259" s="575"/>
      <c r="JN259" s="575"/>
      <c r="JO259" s="575"/>
      <c r="JP259" s="575"/>
      <c r="JQ259" s="575"/>
      <c r="JR259" s="575"/>
      <c r="JS259" s="575"/>
      <c r="JT259" s="575"/>
      <c r="JU259" s="575"/>
      <c r="JV259" s="575"/>
      <c r="JW259" s="575"/>
      <c r="JX259" s="575"/>
      <c r="JY259" s="575"/>
      <c r="JZ259" s="575"/>
      <c r="KA259" s="575"/>
      <c r="KB259" s="575"/>
      <c r="KC259" s="575"/>
      <c r="KD259" s="575"/>
      <c r="KE259" s="575"/>
      <c r="KF259" s="575"/>
      <c r="KG259" s="575"/>
      <c r="KH259" s="575"/>
      <c r="KI259" s="575"/>
      <c r="KJ259" s="575"/>
      <c r="KK259" s="575"/>
      <c r="KL259" s="575"/>
      <c r="KM259" s="575"/>
      <c r="KN259" s="575"/>
      <c r="KO259" s="575"/>
      <c r="KP259" s="575"/>
      <c r="KQ259" s="575"/>
      <c r="KR259" s="575"/>
      <c r="KS259" s="575"/>
      <c r="KT259" s="575"/>
      <c r="KU259" s="575"/>
      <c r="KV259" s="575"/>
      <c r="KW259" s="575"/>
      <c r="KX259" s="575"/>
      <c r="KY259" s="575"/>
      <c r="KZ259" s="575"/>
      <c r="LA259" s="575"/>
      <c r="LB259" s="575"/>
      <c r="LC259" s="575"/>
      <c r="LD259" s="575"/>
      <c r="LE259" s="575"/>
      <c r="LF259" s="575"/>
      <c r="LG259" s="575"/>
      <c r="LH259" s="575"/>
      <c r="LI259" s="575"/>
      <c r="LJ259" s="575"/>
      <c r="LK259" s="575"/>
      <c r="LL259" s="575"/>
      <c r="LM259" s="575"/>
      <c r="LN259" s="575"/>
      <c r="LO259" s="575"/>
      <c r="LP259" s="575"/>
      <c r="LQ259" s="575"/>
      <c r="LR259" s="575"/>
      <c r="LS259" s="575"/>
      <c r="LT259" s="575"/>
      <c r="LU259" s="575"/>
      <c r="LV259" s="575"/>
      <c r="LW259" s="575"/>
      <c r="LX259" s="575"/>
      <c r="LY259" s="575"/>
      <c r="LZ259" s="575"/>
      <c r="MA259" s="575"/>
      <c r="MB259" s="575"/>
      <c r="MC259" s="575"/>
      <c r="MD259" s="575"/>
      <c r="ME259" s="575"/>
      <c r="MF259" s="575"/>
      <c r="MG259" s="575"/>
      <c r="MH259" s="575"/>
      <c r="MI259" s="575"/>
      <c r="MJ259" s="575"/>
      <c r="MK259" s="575"/>
      <c r="ML259" s="575"/>
      <c r="MM259" s="575"/>
      <c r="MN259" s="575"/>
      <c r="MO259" s="575"/>
      <c r="MP259" s="575"/>
      <c r="MQ259" s="575"/>
      <c r="MR259" s="575"/>
      <c r="MS259" s="575"/>
      <c r="MT259" s="575"/>
      <c r="MU259" s="575"/>
      <c r="MV259" s="575"/>
      <c r="MW259" s="575"/>
      <c r="MX259" s="575"/>
      <c r="MY259" s="575"/>
      <c r="MZ259" s="575"/>
      <c r="NA259" s="575"/>
      <c r="NB259" s="575"/>
      <c r="NC259" s="575"/>
      <c r="ND259" s="575"/>
      <c r="NE259" s="575"/>
      <c r="NF259" s="575"/>
      <c r="NG259" s="575"/>
      <c r="NH259" s="575"/>
      <c r="NI259" s="575"/>
      <c r="NJ259" s="575"/>
      <c r="NK259" s="575"/>
      <c r="NL259" s="575"/>
      <c r="NM259" s="575"/>
      <c r="NN259" s="575"/>
      <c r="NO259" s="575"/>
      <c r="NP259" s="575"/>
      <c r="NQ259" s="575"/>
      <c r="NR259" s="575"/>
      <c r="NS259" s="575"/>
      <c r="NT259" s="575"/>
      <c r="NU259" s="575"/>
      <c r="NV259" s="575"/>
      <c r="NW259" s="575"/>
      <c r="NX259" s="575"/>
      <c r="NY259" s="575"/>
      <c r="NZ259" s="575"/>
      <c r="OA259" s="575"/>
      <c r="OB259" s="575"/>
      <c r="OC259" s="575"/>
      <c r="OD259" s="575"/>
      <c r="OE259" s="575"/>
      <c r="OF259" s="575"/>
      <c r="OG259" s="575"/>
      <c r="OH259" s="575"/>
      <c r="OI259" s="575"/>
      <c r="OJ259" s="575"/>
      <c r="OK259" s="575"/>
      <c r="OL259" s="575"/>
      <c r="OM259" s="575"/>
      <c r="ON259" s="575"/>
      <c r="OO259" s="575"/>
      <c r="OP259" s="575"/>
      <c r="OQ259" s="575"/>
      <c r="OR259" s="575"/>
      <c r="OS259" s="575"/>
      <c r="OT259" s="575"/>
      <c r="OU259" s="575"/>
      <c r="OV259" s="575"/>
      <c r="OW259" s="575"/>
      <c r="OX259" s="575"/>
      <c r="OY259" s="575"/>
      <c r="OZ259" s="575"/>
      <c r="PA259" s="575"/>
      <c r="PB259" s="575"/>
      <c r="PC259" s="575"/>
      <c r="PD259" s="575"/>
      <c r="PE259" s="575"/>
      <c r="PF259" s="575"/>
      <c r="PG259" s="575"/>
      <c r="PH259" s="575"/>
      <c r="PI259" s="575"/>
      <c r="PJ259" s="575"/>
      <c r="PK259" s="575"/>
      <c r="PL259" s="575"/>
      <c r="PM259" s="575"/>
      <c r="PN259" s="575"/>
      <c r="PO259" s="575"/>
      <c r="PP259" s="575"/>
      <c r="PQ259" s="575"/>
      <c r="PR259" s="575"/>
      <c r="PS259" s="575"/>
      <c r="PT259" s="575"/>
      <c r="PU259" s="575"/>
      <c r="PV259" s="575"/>
      <c r="PW259" s="575"/>
      <c r="PX259" s="575"/>
      <c r="PY259" s="575"/>
      <c r="PZ259" s="575"/>
      <c r="QA259" s="575"/>
      <c r="QB259" s="575"/>
      <c r="QC259" s="575"/>
      <c r="QD259" s="575"/>
      <c r="QE259" s="575"/>
      <c r="QF259" s="575"/>
      <c r="QG259" s="575"/>
      <c r="QH259" s="575"/>
      <c r="QI259" s="575"/>
      <c r="QJ259" s="575"/>
      <c r="QK259" s="575"/>
      <c r="QL259" s="575"/>
      <c r="QM259" s="575"/>
      <c r="QN259" s="575"/>
      <c r="QO259" s="575"/>
      <c r="QP259" s="575"/>
      <c r="QQ259" s="575"/>
      <c r="QR259" s="575"/>
      <c r="QS259" s="575"/>
      <c r="QT259" s="575"/>
      <c r="QU259" s="575"/>
      <c r="QV259" s="575"/>
      <c r="QW259" s="575"/>
      <c r="QX259" s="575"/>
      <c r="QY259" s="575"/>
      <c r="QZ259" s="575"/>
      <c r="RA259" s="575"/>
      <c r="RB259" s="575"/>
      <c r="RC259" s="575"/>
      <c r="RD259" s="575"/>
      <c r="RE259" s="575"/>
      <c r="RF259" s="575"/>
      <c r="RG259" s="575"/>
      <c r="RH259" s="575"/>
      <c r="RI259" s="575"/>
      <c r="RJ259" s="575"/>
      <c r="RK259" s="575"/>
      <c r="RL259" s="575"/>
      <c r="RM259" s="575"/>
      <c r="RN259" s="575"/>
      <c r="RO259" s="575"/>
      <c r="RP259" s="575"/>
      <c r="RQ259" s="575"/>
      <c r="RR259" s="575"/>
      <c r="RS259" s="575"/>
      <c r="RT259" s="575"/>
      <c r="RU259" s="575"/>
      <c r="RV259" s="575"/>
      <c r="RW259" s="575"/>
      <c r="RX259" s="575"/>
      <c r="RY259" s="575"/>
      <c r="RZ259" s="575"/>
      <c r="SA259" s="575"/>
      <c r="SB259" s="575"/>
      <c r="SC259" s="575"/>
      <c r="SD259" s="575"/>
      <c r="SE259" s="575"/>
      <c r="SF259" s="575"/>
      <c r="SG259" s="575"/>
      <c r="SH259" s="575"/>
      <c r="SI259" s="575"/>
      <c r="SJ259" s="575"/>
      <c r="SK259" s="575"/>
      <c r="SL259" s="575"/>
      <c r="SM259" s="575"/>
      <c r="SN259" s="575"/>
      <c r="SO259" s="575"/>
      <c r="SP259" s="575"/>
      <c r="SQ259" s="575"/>
      <c r="SR259" s="575"/>
      <c r="SS259" s="575"/>
      <c r="ST259" s="575"/>
      <c r="SU259" s="575"/>
      <c r="SV259" s="575"/>
      <c r="SW259" s="575"/>
      <c r="SX259" s="575"/>
      <c r="SY259" s="575"/>
      <c r="SZ259" s="575"/>
      <c r="TA259" s="575"/>
      <c r="TB259" s="575"/>
      <c r="TC259" s="575"/>
      <c r="TD259" s="575"/>
      <c r="TE259" s="575"/>
      <c r="TF259" s="575"/>
      <c r="TG259" s="575"/>
      <c r="TH259" s="575"/>
      <c r="TI259" s="575"/>
      <c r="TJ259" s="575"/>
      <c r="TK259" s="575"/>
      <c r="TL259" s="575"/>
      <c r="TM259" s="575"/>
      <c r="TN259" s="575"/>
      <c r="TO259" s="575"/>
      <c r="TP259" s="575"/>
      <c r="TQ259" s="575"/>
      <c r="TR259" s="575"/>
      <c r="TS259" s="575"/>
      <c r="TT259" s="575"/>
      <c r="TU259" s="575"/>
      <c r="TV259" s="575"/>
      <c r="TW259" s="575"/>
      <c r="TX259" s="575"/>
      <c r="TY259" s="575"/>
      <c r="TZ259" s="575"/>
      <c r="UA259" s="575"/>
      <c r="UB259" s="575"/>
      <c r="UC259" s="575"/>
      <c r="UD259" s="575"/>
      <c r="UE259" s="575"/>
      <c r="UF259" s="575"/>
      <c r="UG259" s="575"/>
      <c r="UH259" s="575"/>
      <c r="UI259" s="575"/>
      <c r="UJ259" s="575"/>
      <c r="UK259" s="575"/>
      <c r="UL259" s="575"/>
      <c r="UM259" s="575"/>
      <c r="UN259" s="575"/>
      <c r="UO259" s="575"/>
      <c r="UP259" s="575"/>
      <c r="UQ259" s="575"/>
      <c r="UR259" s="575"/>
      <c r="US259" s="575"/>
      <c r="UT259" s="575"/>
      <c r="UU259" s="575"/>
      <c r="UV259" s="575"/>
      <c r="UW259" s="575"/>
      <c r="UX259" s="575"/>
      <c r="UY259" s="575"/>
      <c r="UZ259" s="575"/>
      <c r="VA259" s="575"/>
      <c r="VB259" s="575"/>
      <c r="VC259" s="575"/>
      <c r="VD259" s="575"/>
      <c r="VE259" s="575"/>
      <c r="VF259" s="575"/>
      <c r="VG259" s="575"/>
      <c r="VH259" s="575"/>
      <c r="VI259" s="575"/>
      <c r="VJ259" s="575"/>
      <c r="VK259" s="575"/>
      <c r="VL259" s="575"/>
      <c r="VM259" s="575"/>
      <c r="VN259" s="575"/>
      <c r="VO259" s="575"/>
      <c r="VP259" s="575"/>
      <c r="VQ259" s="575"/>
      <c r="VR259" s="575"/>
      <c r="VS259" s="575"/>
      <c r="VT259" s="575"/>
      <c r="VU259" s="575"/>
      <c r="VV259" s="575"/>
      <c r="VW259" s="575"/>
      <c r="VX259" s="575"/>
      <c r="VY259" s="575"/>
      <c r="VZ259" s="575"/>
      <c r="WA259" s="575"/>
      <c r="WB259" s="575"/>
      <c r="WC259" s="575"/>
      <c r="WD259" s="575"/>
      <c r="WE259" s="575"/>
      <c r="WF259" s="575"/>
      <c r="WG259" s="575"/>
      <c r="WH259" s="575"/>
      <c r="WI259" s="575"/>
      <c r="WJ259" s="575"/>
      <c r="WK259" s="575"/>
      <c r="WL259" s="575"/>
      <c r="WM259" s="575"/>
      <c r="WN259" s="575"/>
      <c r="WO259" s="575"/>
      <c r="WP259" s="575"/>
      <c r="WQ259" s="575"/>
      <c r="WR259" s="575"/>
      <c r="WS259" s="575"/>
      <c r="WT259" s="575"/>
      <c r="WU259" s="575"/>
      <c r="WV259" s="575"/>
      <c r="WW259" s="575"/>
      <c r="WX259" s="575"/>
      <c r="WY259" s="575"/>
      <c r="WZ259" s="575"/>
      <c r="XA259" s="575"/>
      <c r="XB259" s="575"/>
      <c r="XC259" s="575"/>
      <c r="XD259" s="575"/>
      <c r="XE259" s="575"/>
      <c r="XF259" s="575"/>
      <c r="XG259" s="575"/>
      <c r="XH259" s="575"/>
      <c r="XI259" s="575"/>
      <c r="XJ259" s="575"/>
      <c r="XK259" s="575"/>
      <c r="XL259" s="575"/>
      <c r="XM259" s="575"/>
      <c r="XN259" s="575"/>
      <c r="XO259" s="575"/>
      <c r="XP259" s="575"/>
      <c r="XQ259" s="575"/>
      <c r="XR259" s="575"/>
      <c r="XS259" s="575"/>
      <c r="XT259" s="575"/>
      <c r="XU259" s="575"/>
      <c r="XV259" s="575"/>
      <c r="XW259" s="575"/>
      <c r="XX259" s="575"/>
      <c r="XY259" s="575"/>
      <c r="XZ259" s="575"/>
      <c r="YA259" s="575"/>
      <c r="YB259" s="575"/>
      <c r="YC259" s="575"/>
      <c r="YD259" s="575"/>
      <c r="YE259" s="575"/>
      <c r="YF259" s="575"/>
      <c r="YG259" s="575"/>
      <c r="YH259" s="575"/>
      <c r="YI259" s="575"/>
      <c r="YJ259" s="575"/>
      <c r="YK259" s="575"/>
      <c r="YL259" s="575"/>
      <c r="YM259" s="575"/>
      <c r="YN259" s="575"/>
      <c r="YO259" s="575"/>
      <c r="YP259" s="575"/>
      <c r="YQ259" s="575"/>
      <c r="YR259" s="575"/>
      <c r="YS259" s="575"/>
      <c r="YT259" s="575"/>
      <c r="YU259" s="575"/>
      <c r="YV259" s="575"/>
      <c r="YW259" s="575"/>
      <c r="YX259" s="575"/>
      <c r="YY259" s="575"/>
      <c r="YZ259" s="575"/>
      <c r="ZA259" s="575"/>
      <c r="ZB259" s="575"/>
      <c r="ZC259" s="575"/>
      <c r="ZD259" s="575"/>
      <c r="ZE259" s="575"/>
      <c r="ZF259" s="575"/>
      <c r="ZG259" s="575"/>
      <c r="ZH259" s="575"/>
      <c r="ZI259" s="575"/>
      <c r="ZJ259" s="575"/>
      <c r="ZK259" s="575"/>
      <c r="ZL259" s="575"/>
      <c r="ZM259" s="575"/>
      <c r="ZN259" s="575"/>
      <c r="ZO259" s="575"/>
      <c r="ZP259" s="575"/>
      <c r="ZQ259" s="575"/>
      <c r="ZR259" s="575"/>
      <c r="ZS259" s="575"/>
      <c r="ZT259" s="575"/>
      <c r="ZU259" s="575"/>
      <c r="ZV259" s="575"/>
      <c r="ZW259" s="575"/>
      <c r="ZX259" s="575"/>
      <c r="ZY259" s="575"/>
      <c r="ZZ259" s="575"/>
      <c r="AAA259" s="575"/>
      <c r="AAB259" s="575"/>
      <c r="AAC259" s="575"/>
      <c r="AAD259" s="575"/>
      <c r="AAE259" s="575"/>
      <c r="AAF259" s="575"/>
      <c r="AAG259" s="575"/>
      <c r="AAH259" s="575"/>
      <c r="AAI259" s="575"/>
      <c r="AAJ259" s="575"/>
      <c r="AAK259" s="575"/>
      <c r="AAL259" s="575"/>
      <c r="AAM259" s="575"/>
      <c r="AAN259" s="575"/>
      <c r="AAO259" s="575"/>
      <c r="AAP259" s="575"/>
      <c r="AAQ259" s="575"/>
      <c r="AAR259" s="575"/>
      <c r="AAS259" s="575"/>
      <c r="AAT259" s="575"/>
      <c r="AAU259" s="575"/>
      <c r="AAV259" s="575"/>
      <c r="AAW259" s="575"/>
      <c r="AAX259" s="575"/>
      <c r="AAY259" s="575"/>
      <c r="AAZ259" s="575"/>
      <c r="ABA259" s="575"/>
      <c r="ABB259" s="575"/>
      <c r="ABC259" s="575"/>
      <c r="ABD259" s="575"/>
      <c r="ABE259" s="575"/>
      <c r="ABF259" s="575"/>
      <c r="ABG259" s="575"/>
      <c r="ABH259" s="575"/>
      <c r="ABI259" s="575"/>
      <c r="ABJ259" s="575"/>
      <c r="ABK259" s="575"/>
      <c r="ABL259" s="575"/>
      <c r="ABM259" s="575"/>
      <c r="ABN259" s="575"/>
      <c r="ABO259" s="575"/>
      <c r="ABP259" s="575"/>
      <c r="ABQ259" s="575"/>
      <c r="ABR259" s="575"/>
      <c r="ABS259" s="575"/>
      <c r="ABT259" s="575"/>
      <c r="ABU259" s="575"/>
      <c r="ABV259" s="575"/>
      <c r="ABW259" s="575"/>
      <c r="ABX259" s="575"/>
      <c r="ABY259" s="575"/>
      <c r="ABZ259" s="575"/>
      <c r="ACA259" s="575"/>
      <c r="ACB259" s="575"/>
      <c r="ACC259" s="575"/>
      <c r="ACD259" s="575"/>
      <c r="ACE259" s="575"/>
      <c r="ACF259" s="575"/>
      <c r="ACG259" s="575"/>
      <c r="ACH259" s="575"/>
      <c r="ACI259" s="575"/>
      <c r="ACJ259" s="575"/>
      <c r="ACK259" s="575"/>
      <c r="ACL259" s="575"/>
      <c r="ACM259" s="575"/>
      <c r="ACN259" s="575"/>
      <c r="ACO259" s="575"/>
      <c r="ACP259" s="575"/>
      <c r="ACQ259" s="575"/>
      <c r="ACR259" s="575"/>
      <c r="ACS259" s="575"/>
      <c r="ACT259" s="575"/>
      <c r="ACU259" s="575"/>
      <c r="ACV259" s="575"/>
      <c r="ACW259" s="575"/>
      <c r="ACX259" s="575"/>
      <c r="ACY259" s="575"/>
      <c r="ACZ259" s="575"/>
      <c r="ADA259" s="575"/>
      <c r="ADB259" s="575"/>
      <c r="ADC259" s="575"/>
      <c r="ADD259" s="575"/>
      <c r="ADE259" s="575"/>
      <c r="ADF259" s="575"/>
      <c r="ADG259" s="575"/>
      <c r="ADH259" s="575"/>
      <c r="ADI259" s="575"/>
      <c r="ADJ259" s="575"/>
      <c r="ADK259" s="575"/>
      <c r="ADL259" s="575"/>
      <c r="ADM259" s="575"/>
      <c r="ADN259" s="575"/>
      <c r="ADO259" s="575"/>
      <c r="ADP259" s="575"/>
      <c r="ADQ259" s="575"/>
      <c r="ADR259" s="575"/>
      <c r="ADS259" s="575"/>
      <c r="ADT259" s="575"/>
      <c r="ADU259" s="575"/>
      <c r="ADV259" s="575"/>
      <c r="ADW259" s="575"/>
      <c r="ADX259" s="575"/>
      <c r="ADY259" s="575"/>
      <c r="ADZ259" s="575"/>
      <c r="AEA259" s="575"/>
      <c r="AEB259" s="575"/>
      <c r="AEC259" s="575"/>
      <c r="AED259" s="575"/>
      <c r="AEE259" s="575"/>
      <c r="AEF259" s="575"/>
      <c r="AEG259" s="575"/>
      <c r="AEH259" s="575"/>
      <c r="AEI259" s="575"/>
      <c r="AEJ259" s="575"/>
      <c r="AEK259" s="575"/>
      <c r="AEL259" s="575"/>
      <c r="AEM259" s="575"/>
      <c r="AEN259" s="575"/>
      <c r="AEO259" s="575"/>
      <c r="AEP259" s="575"/>
      <c r="AEQ259" s="575"/>
      <c r="AER259" s="575"/>
      <c r="AES259" s="575"/>
      <c r="AET259" s="575"/>
      <c r="AEU259" s="575"/>
      <c r="AEV259" s="575"/>
      <c r="AEW259" s="575"/>
      <c r="AEX259" s="575"/>
      <c r="AEY259" s="575"/>
      <c r="AEZ259" s="575"/>
      <c r="AFA259" s="575"/>
      <c r="AFB259" s="575"/>
      <c r="AFC259" s="575"/>
      <c r="AFD259" s="575"/>
      <c r="AFE259" s="575"/>
      <c r="AFF259" s="575"/>
      <c r="AFG259" s="575"/>
      <c r="AFH259" s="575"/>
      <c r="AFI259" s="575"/>
      <c r="AFJ259" s="575"/>
      <c r="AFK259" s="575"/>
      <c r="AFL259" s="575"/>
      <c r="AFM259" s="575"/>
      <c r="AFN259" s="575"/>
      <c r="AFO259" s="575"/>
      <c r="AFP259" s="575"/>
      <c r="AFQ259" s="575"/>
      <c r="AFR259" s="575"/>
      <c r="AFS259" s="575"/>
      <c r="AFT259" s="575"/>
      <c r="AFU259" s="575"/>
      <c r="AFV259" s="575"/>
      <c r="AFW259" s="575"/>
      <c r="AFX259" s="575"/>
      <c r="AFY259" s="575"/>
      <c r="AFZ259" s="575"/>
      <c r="AGA259" s="575"/>
      <c r="AGB259" s="575"/>
      <c r="AGC259" s="575"/>
      <c r="AGD259" s="575"/>
      <c r="AGE259" s="575"/>
      <c r="AGF259" s="575"/>
      <c r="AGG259" s="575"/>
      <c r="AGH259" s="575"/>
      <c r="AGI259" s="575"/>
      <c r="AGJ259" s="575"/>
      <c r="AGK259" s="575"/>
      <c r="AGL259" s="575"/>
      <c r="AGM259" s="575"/>
      <c r="AGN259" s="575"/>
      <c r="AGO259" s="575"/>
      <c r="AGP259" s="575"/>
      <c r="AGQ259" s="575"/>
      <c r="AGR259" s="575"/>
      <c r="AGS259" s="575"/>
      <c r="AGT259" s="575"/>
      <c r="AGU259" s="575"/>
      <c r="AGV259" s="575"/>
      <c r="AGW259" s="575"/>
      <c r="AGX259" s="575"/>
      <c r="AGY259" s="575"/>
      <c r="AGZ259" s="575"/>
      <c r="AHA259" s="575"/>
      <c r="AHB259" s="575"/>
      <c r="AHC259" s="575"/>
      <c r="AHD259" s="575"/>
      <c r="AHE259" s="575"/>
      <c r="AHF259" s="575"/>
      <c r="AHG259" s="575"/>
      <c r="AHH259" s="575"/>
      <c r="AHI259" s="575"/>
      <c r="AHJ259" s="575"/>
      <c r="AHK259" s="575"/>
      <c r="AHL259" s="575"/>
      <c r="AHM259" s="575"/>
      <c r="AHN259" s="575"/>
      <c r="AHO259" s="575"/>
      <c r="AHP259" s="575"/>
      <c r="AHQ259" s="575"/>
      <c r="AHR259" s="575"/>
      <c r="AHS259" s="575"/>
      <c r="AHT259" s="575"/>
      <c r="AHU259" s="575"/>
      <c r="AHV259" s="575"/>
      <c r="AHW259" s="575"/>
      <c r="AHX259" s="575"/>
      <c r="AHY259" s="575"/>
      <c r="AHZ259" s="575"/>
      <c r="AIA259" s="575"/>
      <c r="AIB259" s="575"/>
      <c r="AIC259" s="575"/>
      <c r="AID259" s="575"/>
      <c r="AIE259" s="575"/>
      <c r="AIF259" s="575"/>
      <c r="AIG259" s="575"/>
      <c r="AIH259" s="575"/>
      <c r="AII259" s="575"/>
      <c r="AIJ259" s="575"/>
      <c r="AIK259" s="575"/>
      <c r="AIL259" s="575"/>
      <c r="AIM259" s="575"/>
      <c r="AIN259" s="575"/>
      <c r="AIO259" s="575"/>
      <c r="AIP259" s="575"/>
      <c r="AIQ259" s="575"/>
      <c r="AIR259" s="575"/>
      <c r="AIS259" s="575"/>
      <c r="AIT259" s="575"/>
      <c r="AIU259" s="575"/>
      <c r="AIV259" s="575"/>
      <c r="AIW259" s="575"/>
      <c r="AIX259" s="575"/>
      <c r="AIY259" s="575"/>
      <c r="AIZ259" s="575"/>
      <c r="AJA259" s="575"/>
      <c r="AJB259" s="575"/>
      <c r="AJC259" s="575"/>
      <c r="AJD259" s="575"/>
      <c r="AJE259" s="575"/>
      <c r="AJF259" s="575"/>
      <c r="AJG259" s="575"/>
      <c r="AJH259" s="575"/>
      <c r="AJI259" s="575"/>
      <c r="AJJ259" s="575"/>
      <c r="AJK259" s="575"/>
      <c r="AJL259" s="575"/>
      <c r="AJM259" s="575"/>
      <c r="AJN259" s="575"/>
      <c r="AJO259" s="575"/>
      <c r="AJP259" s="575"/>
      <c r="AJQ259" s="575"/>
      <c r="AJR259" s="575"/>
      <c r="AJS259" s="575"/>
      <c r="AJT259" s="575"/>
      <c r="AJU259" s="575"/>
      <c r="AJV259" s="575"/>
      <c r="AJW259" s="575"/>
      <c r="AJX259" s="575"/>
      <c r="AJY259" s="575"/>
      <c r="AJZ259" s="575"/>
      <c r="AKA259" s="575"/>
      <c r="AKB259" s="575"/>
      <c r="AKC259" s="575"/>
      <c r="AKD259" s="575"/>
      <c r="AKE259" s="575"/>
      <c r="AKF259" s="575"/>
      <c r="AKG259" s="575"/>
      <c r="AKH259" s="575"/>
      <c r="AKI259" s="575"/>
      <c r="AKJ259" s="575"/>
      <c r="AKK259" s="575"/>
      <c r="AKL259" s="575"/>
      <c r="AKM259" s="575"/>
      <c r="AKN259" s="575"/>
      <c r="AKO259" s="575"/>
      <c r="AKP259" s="575"/>
      <c r="AKQ259" s="575"/>
      <c r="AKR259" s="575"/>
      <c r="AKS259" s="575"/>
      <c r="AKT259" s="575"/>
      <c r="AKU259" s="575"/>
      <c r="AKV259" s="575"/>
      <c r="AKW259" s="575"/>
      <c r="AKX259" s="575"/>
      <c r="AKY259" s="575"/>
      <c r="AKZ259" s="575"/>
      <c r="ALA259" s="575"/>
      <c r="ALB259" s="575"/>
      <c r="ALC259" s="575"/>
      <c r="ALD259" s="575"/>
      <c r="ALE259" s="575"/>
      <c r="ALF259" s="575"/>
      <c r="ALG259" s="575"/>
      <c r="ALH259" s="575"/>
      <c r="ALI259" s="575"/>
      <c r="ALJ259" s="575"/>
      <c r="ALK259" s="575"/>
      <c r="ALL259" s="575"/>
      <c r="ALM259" s="575"/>
      <c r="ALN259" s="575"/>
      <c r="ALO259" s="575"/>
      <c r="ALP259" s="575"/>
      <c r="ALQ259" s="575"/>
      <c r="ALR259" s="575"/>
      <c r="ALS259" s="575"/>
      <c r="ALT259" s="575"/>
      <c r="ALU259" s="575"/>
      <c r="ALV259" s="575"/>
      <c r="ALW259" s="575"/>
      <c r="ALX259" s="575"/>
      <c r="ALY259" s="575"/>
      <c r="ALZ259" s="575"/>
      <c r="AMA259" s="575"/>
      <c r="AMB259" s="575"/>
      <c r="AMC259" s="575"/>
      <c r="AMD259" s="575"/>
      <c r="AME259" s="575"/>
      <c r="AMF259" s="575"/>
      <c r="AMG259" s="575"/>
      <c r="AMH259" s="575"/>
      <c r="AMI259" s="575"/>
      <c r="AMJ259" s="575"/>
      <c r="AMK259" s="575"/>
      <c r="AML259" s="575"/>
      <c r="AMM259" s="575"/>
      <c r="AMN259" s="575"/>
      <c r="AMO259" s="575"/>
      <c r="AMP259" s="575"/>
      <c r="AMQ259" s="575"/>
      <c r="AMR259" s="575"/>
      <c r="AMS259" s="575"/>
      <c r="AMT259" s="575"/>
      <c r="AMU259" s="575"/>
      <c r="AMV259" s="575"/>
      <c r="AMW259" s="575"/>
      <c r="AMX259" s="575"/>
      <c r="AMY259" s="575"/>
      <c r="AMZ259" s="575"/>
      <c r="ANA259" s="575"/>
      <c r="ANB259" s="575"/>
      <c r="ANC259" s="575"/>
      <c r="AND259" s="575"/>
      <c r="ANE259" s="575"/>
      <c r="ANF259" s="575"/>
      <c r="ANG259" s="575"/>
      <c r="ANH259" s="575"/>
      <c r="ANI259" s="575"/>
      <c r="ANJ259" s="575"/>
      <c r="ANK259" s="575"/>
      <c r="ANL259" s="575"/>
      <c r="ANM259" s="575"/>
      <c r="ANN259" s="575"/>
      <c r="ANO259" s="575"/>
      <c r="ANP259" s="575"/>
      <c r="ANQ259" s="575"/>
      <c r="ANR259" s="575"/>
      <c r="ANS259" s="575"/>
      <c r="ANT259" s="575"/>
      <c r="ANU259" s="575"/>
      <c r="ANV259" s="575"/>
      <c r="ANW259" s="575"/>
      <c r="ANX259" s="575"/>
      <c r="ANY259" s="575"/>
      <c r="ANZ259" s="575"/>
      <c r="AOA259" s="575"/>
      <c r="AOB259" s="575"/>
      <c r="AOC259" s="575"/>
      <c r="AOD259" s="575"/>
      <c r="AOE259" s="575"/>
      <c r="AOF259" s="575"/>
      <c r="AOG259" s="575"/>
      <c r="AOH259" s="575"/>
      <c r="AOI259" s="575"/>
      <c r="AOJ259" s="575"/>
      <c r="AOK259" s="575"/>
      <c r="AOL259" s="575"/>
      <c r="AOM259" s="575"/>
      <c r="AON259" s="575"/>
      <c r="AOO259" s="575"/>
      <c r="AOP259" s="575"/>
      <c r="AOQ259" s="575"/>
      <c r="AOR259" s="575"/>
      <c r="AOS259" s="575"/>
      <c r="AOT259" s="575"/>
      <c r="AOU259" s="575"/>
      <c r="AOV259" s="575"/>
      <c r="AOW259" s="575"/>
      <c r="AOX259" s="575"/>
      <c r="AOY259" s="575"/>
      <c r="AOZ259" s="575"/>
      <c r="APA259" s="575"/>
      <c r="APB259" s="575"/>
      <c r="APC259" s="575"/>
      <c r="APD259" s="575"/>
      <c r="APE259" s="575"/>
      <c r="APF259" s="575"/>
      <c r="APG259" s="575"/>
      <c r="APH259" s="575"/>
      <c r="API259" s="575"/>
      <c r="APJ259" s="575"/>
      <c r="APK259" s="575"/>
      <c r="APL259" s="575"/>
      <c r="APM259" s="575"/>
      <c r="APN259" s="575"/>
      <c r="APO259" s="575"/>
      <c r="APP259" s="575"/>
      <c r="APQ259" s="575"/>
      <c r="APR259" s="575"/>
      <c r="APS259" s="575"/>
      <c r="APT259" s="575"/>
      <c r="APU259" s="575"/>
      <c r="APV259" s="575"/>
      <c r="APW259" s="575"/>
      <c r="APX259" s="575"/>
      <c r="APY259" s="575"/>
      <c r="APZ259" s="575"/>
      <c r="AQA259" s="575"/>
      <c r="AQB259" s="575"/>
      <c r="AQC259" s="575"/>
      <c r="AQD259" s="575"/>
      <c r="AQE259" s="575"/>
      <c r="AQF259" s="575"/>
      <c r="AQG259" s="575"/>
      <c r="AQH259" s="575"/>
      <c r="AQI259" s="575"/>
      <c r="AQJ259" s="575"/>
      <c r="AQK259" s="575"/>
      <c r="AQL259" s="575"/>
      <c r="AQM259" s="575"/>
      <c r="AQN259" s="575"/>
      <c r="AQO259" s="575"/>
      <c r="AQP259" s="575"/>
      <c r="AQQ259" s="575"/>
      <c r="AQR259" s="575"/>
      <c r="AQS259" s="575"/>
      <c r="AQT259" s="575"/>
      <c r="AQU259" s="575"/>
      <c r="AQV259" s="575"/>
      <c r="AQW259" s="575"/>
      <c r="AQX259" s="575"/>
      <c r="AQY259" s="575"/>
      <c r="AQZ259" s="575"/>
      <c r="ARA259" s="575"/>
      <c r="ARB259" s="575"/>
      <c r="ARC259" s="575"/>
      <c r="ARD259" s="575"/>
      <c r="ARE259" s="575"/>
      <c r="ARF259" s="575"/>
      <c r="ARG259" s="575"/>
      <c r="ARH259" s="575"/>
      <c r="ARI259" s="575"/>
      <c r="ARJ259" s="575"/>
      <c r="ARK259" s="575"/>
      <c r="ARL259" s="575"/>
      <c r="ARM259" s="575"/>
      <c r="ARN259" s="575"/>
      <c r="ARO259" s="575"/>
      <c r="ARP259" s="575"/>
      <c r="ARQ259" s="575"/>
      <c r="ARR259" s="575"/>
      <c r="ARS259" s="575"/>
      <c r="ART259" s="575"/>
      <c r="ARU259" s="575"/>
      <c r="ARV259" s="575"/>
      <c r="ARW259" s="575"/>
      <c r="ARX259" s="575"/>
      <c r="ARY259" s="575"/>
      <c r="ARZ259" s="575"/>
      <c r="ASA259" s="575"/>
      <c r="ASB259" s="575"/>
      <c r="ASC259" s="575"/>
      <c r="ASD259" s="575"/>
      <c r="ASE259" s="575"/>
      <c r="ASF259" s="575"/>
      <c r="ASG259" s="575"/>
      <c r="ASH259" s="575"/>
      <c r="ASI259" s="575"/>
      <c r="ASJ259" s="575"/>
      <c r="ASK259" s="575"/>
      <c r="ASL259" s="575"/>
      <c r="ASM259" s="575"/>
      <c r="ASN259" s="575"/>
      <c r="ASO259" s="575"/>
      <c r="ASP259" s="575"/>
      <c r="ASQ259" s="575"/>
      <c r="ASR259" s="575"/>
      <c r="ASS259" s="575"/>
      <c r="AST259" s="575"/>
      <c r="ASU259" s="575"/>
      <c r="ASV259" s="575"/>
      <c r="ASW259" s="575"/>
      <c r="ASX259" s="575"/>
      <c r="ASY259" s="575"/>
      <c r="ASZ259" s="575"/>
      <c r="ATA259" s="575"/>
      <c r="ATB259" s="575"/>
      <c r="ATC259" s="575"/>
      <c r="ATD259" s="575"/>
      <c r="ATE259" s="575"/>
      <c r="ATF259" s="575"/>
      <c r="ATG259" s="575"/>
      <c r="ATH259" s="575"/>
      <c r="ATI259" s="575"/>
      <c r="ATJ259" s="575"/>
      <c r="ATK259" s="575"/>
      <c r="ATL259" s="575"/>
      <c r="ATM259" s="575"/>
      <c r="ATN259" s="575"/>
      <c r="ATO259" s="575"/>
      <c r="ATP259" s="575"/>
      <c r="ATQ259" s="575"/>
      <c r="ATR259" s="575"/>
      <c r="ATS259" s="575"/>
      <c r="ATT259" s="575"/>
      <c r="ATU259" s="575"/>
      <c r="ATV259" s="575"/>
      <c r="ATW259" s="575"/>
      <c r="ATX259" s="575"/>
      <c r="ATY259" s="575"/>
      <c r="ATZ259" s="575"/>
      <c r="AUA259" s="575"/>
      <c r="AUB259" s="575"/>
      <c r="AUC259" s="575"/>
      <c r="AUD259" s="575"/>
      <c r="AUE259" s="575"/>
      <c r="AUF259" s="575"/>
      <c r="AUG259" s="575"/>
      <c r="AUH259" s="575"/>
      <c r="AUI259" s="575"/>
      <c r="AUJ259" s="575"/>
      <c r="AUK259" s="575"/>
      <c r="AUL259" s="575"/>
      <c r="AUM259" s="575"/>
      <c r="AUN259" s="575"/>
      <c r="AUO259" s="575"/>
      <c r="AUP259" s="575"/>
      <c r="AUQ259" s="575"/>
      <c r="AUR259" s="575"/>
      <c r="AUS259" s="575"/>
      <c r="AUT259" s="575"/>
      <c r="AUU259" s="575"/>
      <c r="AUV259" s="575"/>
      <c r="AUW259" s="575"/>
      <c r="AUX259" s="575"/>
      <c r="AUY259" s="575"/>
      <c r="AUZ259" s="575"/>
      <c r="AVA259" s="575"/>
      <c r="AVB259" s="575"/>
      <c r="AVC259" s="575"/>
      <c r="AVD259" s="575"/>
      <c r="AVE259" s="575"/>
      <c r="AVF259" s="575"/>
      <c r="AVG259" s="575"/>
      <c r="AVH259" s="575"/>
      <c r="AVI259" s="575"/>
      <c r="AVJ259" s="575"/>
      <c r="AVK259" s="575"/>
      <c r="AVL259" s="575"/>
      <c r="AVM259" s="575"/>
      <c r="AVN259" s="575"/>
      <c r="AVO259" s="575"/>
      <c r="AVP259" s="575"/>
      <c r="AVQ259" s="575"/>
      <c r="AVR259" s="575"/>
      <c r="AVS259" s="575"/>
      <c r="AVT259" s="575"/>
      <c r="AVU259" s="575"/>
      <c r="AVV259" s="575"/>
      <c r="AVW259" s="575"/>
      <c r="AVX259" s="575"/>
      <c r="AVY259" s="575"/>
      <c r="AVZ259" s="575"/>
      <c r="AWA259" s="575"/>
      <c r="AWB259" s="575"/>
      <c r="AWC259" s="575"/>
      <c r="AWD259" s="575"/>
      <c r="AWE259" s="575"/>
      <c r="AWF259" s="575"/>
      <c r="AWG259" s="575"/>
      <c r="AWH259" s="575"/>
      <c r="AWI259" s="575"/>
      <c r="AWJ259" s="575"/>
      <c r="AWK259" s="575"/>
      <c r="AWL259" s="575"/>
      <c r="AWM259" s="575"/>
      <c r="AWN259" s="575"/>
      <c r="AWO259" s="575"/>
      <c r="AWP259" s="575"/>
      <c r="AWQ259" s="575"/>
      <c r="AWR259" s="575"/>
      <c r="AWS259" s="575"/>
      <c r="AWT259" s="575"/>
      <c r="AWU259" s="575"/>
      <c r="AWV259" s="575"/>
      <c r="AWW259" s="575"/>
      <c r="AWX259" s="575"/>
      <c r="AWY259" s="575"/>
      <c r="AWZ259" s="575"/>
      <c r="AXA259" s="575"/>
      <c r="AXB259" s="575"/>
      <c r="AXC259" s="575"/>
      <c r="AXD259" s="575"/>
      <c r="AXE259" s="575"/>
      <c r="AXF259" s="575"/>
      <c r="AXG259" s="575"/>
      <c r="AXH259" s="575"/>
      <c r="AXI259" s="575"/>
      <c r="AXJ259" s="575"/>
      <c r="AXK259" s="575"/>
      <c r="AXL259" s="575"/>
      <c r="AXM259" s="575"/>
      <c r="AXN259" s="575"/>
      <c r="AXO259" s="575"/>
      <c r="AXP259" s="575"/>
      <c r="AXQ259" s="575"/>
      <c r="AXR259" s="575"/>
      <c r="AXS259" s="575"/>
      <c r="AXT259" s="575"/>
      <c r="AXU259" s="575"/>
      <c r="AXV259" s="575"/>
      <c r="AXW259" s="575"/>
      <c r="AXX259" s="575"/>
      <c r="AXY259" s="575"/>
      <c r="AXZ259" s="575"/>
      <c r="AYA259" s="575"/>
      <c r="AYB259" s="575"/>
      <c r="AYC259" s="575"/>
      <c r="AYD259" s="575"/>
      <c r="AYE259" s="575"/>
      <c r="AYF259" s="575"/>
      <c r="AYG259" s="575"/>
      <c r="AYH259" s="575"/>
      <c r="AYI259" s="575"/>
      <c r="AYJ259" s="575"/>
      <c r="AYK259" s="575"/>
      <c r="AYL259" s="575"/>
      <c r="AYM259" s="575"/>
      <c r="AYN259" s="575"/>
      <c r="AYO259" s="575"/>
      <c r="AYP259" s="575"/>
      <c r="AYQ259" s="575"/>
      <c r="AYR259" s="575"/>
      <c r="AYS259" s="575"/>
      <c r="AYT259" s="575"/>
      <c r="AYU259" s="575"/>
      <c r="AYV259" s="575"/>
      <c r="AYW259" s="575"/>
      <c r="AYX259" s="575"/>
      <c r="AYY259" s="575"/>
      <c r="AYZ259" s="575"/>
      <c r="AZA259" s="575"/>
      <c r="AZB259" s="575"/>
      <c r="AZC259" s="575"/>
      <c r="AZD259" s="575"/>
      <c r="AZE259" s="575"/>
      <c r="AZF259" s="575"/>
      <c r="AZG259" s="575"/>
      <c r="AZH259" s="575"/>
      <c r="AZI259" s="575"/>
      <c r="AZJ259" s="575"/>
      <c r="AZK259" s="575"/>
      <c r="AZL259" s="575"/>
      <c r="AZM259" s="575"/>
      <c r="AZN259" s="575"/>
      <c r="AZO259" s="575"/>
      <c r="AZP259" s="575"/>
      <c r="AZQ259" s="575"/>
      <c r="AZR259" s="575"/>
      <c r="AZS259" s="575"/>
      <c r="AZT259" s="575"/>
      <c r="AZU259" s="575"/>
      <c r="AZV259" s="575"/>
      <c r="AZW259" s="575"/>
      <c r="AZX259" s="575"/>
      <c r="AZY259" s="575"/>
      <c r="AZZ259" s="575"/>
      <c r="BAA259" s="575"/>
      <c r="BAB259" s="575"/>
      <c r="BAC259" s="575"/>
      <c r="BAD259" s="575"/>
      <c r="BAE259" s="575"/>
      <c r="BAF259" s="575"/>
      <c r="BAG259" s="575"/>
      <c r="BAH259" s="575"/>
      <c r="BAI259" s="575"/>
      <c r="BAJ259" s="575"/>
      <c r="BAK259" s="575"/>
      <c r="BAL259" s="575"/>
      <c r="BAM259" s="575"/>
      <c r="BAN259" s="575"/>
      <c r="BAO259" s="575"/>
      <c r="BAP259" s="575"/>
      <c r="BAQ259" s="575"/>
      <c r="BAR259" s="575"/>
      <c r="BAS259" s="575"/>
      <c r="BAT259" s="575"/>
      <c r="BAU259" s="575"/>
      <c r="BAV259" s="575"/>
      <c r="BAW259" s="575"/>
      <c r="BAX259" s="575"/>
      <c r="BAY259" s="575"/>
      <c r="BAZ259" s="575"/>
      <c r="BBA259" s="575"/>
      <c r="BBB259" s="575"/>
      <c r="BBC259" s="575"/>
      <c r="BBD259" s="575"/>
      <c r="BBE259" s="575"/>
      <c r="BBF259" s="575"/>
      <c r="BBG259" s="575"/>
      <c r="BBH259" s="575"/>
      <c r="BBI259" s="575"/>
      <c r="BBJ259" s="575"/>
      <c r="BBK259" s="575"/>
      <c r="BBL259" s="575"/>
      <c r="BBM259" s="575"/>
      <c r="BBN259" s="575"/>
      <c r="BBO259" s="575"/>
      <c r="BBP259" s="575"/>
      <c r="BBQ259" s="575"/>
      <c r="BBR259" s="575"/>
      <c r="BBS259" s="575"/>
      <c r="BBT259" s="575"/>
      <c r="BBU259" s="575"/>
      <c r="BBV259" s="575"/>
      <c r="BBW259" s="575"/>
      <c r="BBX259" s="575"/>
      <c r="BBY259" s="575"/>
      <c r="BBZ259" s="575"/>
      <c r="BCA259" s="575"/>
      <c r="BCB259" s="575"/>
      <c r="BCC259" s="575"/>
      <c r="BCD259" s="575"/>
      <c r="BCE259" s="575"/>
      <c r="BCF259" s="575"/>
      <c r="BCG259" s="575"/>
      <c r="BCH259" s="575"/>
      <c r="BCI259" s="575"/>
      <c r="BCJ259" s="575"/>
      <c r="BCK259" s="575"/>
      <c r="BCL259" s="575"/>
      <c r="BCM259" s="575"/>
      <c r="BCN259" s="575"/>
      <c r="BCO259" s="575"/>
      <c r="BCP259" s="575"/>
      <c r="BCQ259" s="575"/>
      <c r="BCR259" s="575"/>
      <c r="BCS259" s="575"/>
      <c r="BCT259" s="575"/>
      <c r="BCU259" s="575"/>
      <c r="BCV259" s="575"/>
      <c r="BCW259" s="575"/>
      <c r="BCX259" s="575"/>
      <c r="BCY259" s="575"/>
      <c r="BCZ259" s="575"/>
      <c r="BDA259" s="575"/>
      <c r="BDB259" s="575"/>
      <c r="BDC259" s="575"/>
      <c r="BDD259" s="575"/>
      <c r="BDE259" s="575"/>
      <c r="BDF259" s="575"/>
      <c r="BDG259" s="575"/>
      <c r="BDH259" s="575"/>
      <c r="BDI259" s="575"/>
      <c r="BDJ259" s="575"/>
      <c r="BDK259" s="575"/>
      <c r="BDL259" s="575"/>
      <c r="BDM259" s="575"/>
      <c r="BDN259" s="575"/>
      <c r="BDO259" s="575"/>
      <c r="BDP259" s="575"/>
      <c r="BDQ259" s="575"/>
      <c r="BDR259" s="575"/>
      <c r="BDS259" s="575"/>
      <c r="BDT259" s="575"/>
    </row>
    <row r="260" spans="1:1476" x14ac:dyDescent="0.25">
      <c r="A260" s="608">
        <v>5860</v>
      </c>
      <c r="B260" s="609" t="s">
        <v>24</v>
      </c>
      <c r="C260" s="610">
        <v>4556788.5599999996</v>
      </c>
      <c r="D260" s="610">
        <v>2206822.9500000002</v>
      </c>
      <c r="E260" s="610"/>
      <c r="F260" s="611"/>
      <c r="G260" s="610">
        <v>96272.75</v>
      </c>
      <c r="H260" s="610">
        <v>38091.199999999997</v>
      </c>
      <c r="I260" s="610">
        <v>317639.3</v>
      </c>
      <c r="J260" s="610">
        <v>84515.83</v>
      </c>
      <c r="K260" s="610">
        <v>24838.400000000001</v>
      </c>
      <c r="L260" s="610">
        <v>719817.5</v>
      </c>
      <c r="M260" s="434">
        <f t="shared" si="12"/>
        <v>8044786.4900000002</v>
      </c>
      <c r="N260" s="612">
        <v>29243.5</v>
      </c>
      <c r="O260" s="612">
        <v>29002.45</v>
      </c>
      <c r="P260" s="612">
        <v>345579.65</v>
      </c>
      <c r="Q260" s="612"/>
      <c r="R260" s="612">
        <v>396315.35</v>
      </c>
      <c r="S260" s="610">
        <v>14041.72</v>
      </c>
      <c r="T260" s="543">
        <f t="shared" si="13"/>
        <v>8858969.1600000001</v>
      </c>
      <c r="U260" s="575">
        <v>-111920.79</v>
      </c>
      <c r="V260" s="612"/>
      <c r="W260" s="612">
        <v>-36858.93</v>
      </c>
      <c r="X260" s="624">
        <v>58.5</v>
      </c>
      <c r="Y260" s="631">
        <v>1.3</v>
      </c>
      <c r="Z260" s="628">
        <f>VLOOKUP(A260,'[2]2022 toutes communes'!$B$9:$D$317,3,FALSE)</f>
        <v>1542</v>
      </c>
      <c r="AA260" s="617"/>
      <c r="AB260" s="618"/>
      <c r="AC260" s="547">
        <f>AB260/VPI!R260</f>
        <v>0</v>
      </c>
      <c r="AD260" s="548">
        <f t="shared" si="14"/>
        <v>0</v>
      </c>
      <c r="AE260" s="547">
        <f>AD260/VPI!R260</f>
        <v>0</v>
      </c>
      <c r="AF260" s="618"/>
      <c r="AG260" s="618"/>
      <c r="AH260" s="618"/>
      <c r="AI260" s="637"/>
      <c r="AJ260" s="628"/>
      <c r="AK260" s="547">
        <f>AJ260/VPI!R260</f>
        <v>0</v>
      </c>
      <c r="AL260" s="548">
        <f t="shared" si="15"/>
        <v>0</v>
      </c>
      <c r="AM260" s="547">
        <f>AL260/VPI!R260</f>
        <v>0</v>
      </c>
      <c r="AN260" s="628"/>
      <c r="AO260" s="637"/>
      <c r="AP260" s="629">
        <v>35.589111334884009</v>
      </c>
      <c r="AR260" s="630">
        <v>0</v>
      </c>
    </row>
    <row r="261" spans="1:1476" x14ac:dyDescent="0.25">
      <c r="A261" s="608">
        <v>5861</v>
      </c>
      <c r="B261" s="609" t="s">
        <v>25</v>
      </c>
      <c r="C261" s="610">
        <v>14617244.279999999</v>
      </c>
      <c r="D261" s="610">
        <v>3819852.95</v>
      </c>
      <c r="E261" s="610"/>
      <c r="F261" s="611"/>
      <c r="G261" s="610">
        <v>26065871.719999999</v>
      </c>
      <c r="H261" s="610">
        <v>2302904.35</v>
      </c>
      <c r="I261" s="610">
        <v>344467.67</v>
      </c>
      <c r="J261" s="610">
        <v>1339455.58</v>
      </c>
      <c r="K261" s="610">
        <v>346635.6</v>
      </c>
      <c r="L261" s="610">
        <v>1916767.1</v>
      </c>
      <c r="M261" s="434">
        <f t="shared" si="12"/>
        <v>50753199.250000007</v>
      </c>
      <c r="N261" s="612">
        <v>705395.85</v>
      </c>
      <c r="O261" s="612">
        <v>135943.29999999999</v>
      </c>
      <c r="P261" s="612">
        <v>842829.6</v>
      </c>
      <c r="Q261" s="612">
        <v>10425.290000000001</v>
      </c>
      <c r="R261" s="612">
        <v>647419.65</v>
      </c>
      <c r="S261" s="610">
        <v>2964682.74</v>
      </c>
      <c r="T261" s="543">
        <f t="shared" si="13"/>
        <v>56059895.680000007</v>
      </c>
      <c r="U261" s="575">
        <v>-97474.64</v>
      </c>
      <c r="V261" s="612"/>
      <c r="W261" s="612">
        <v>-228761.65</v>
      </c>
      <c r="X261" s="624">
        <v>59.5</v>
      </c>
      <c r="Y261" s="631">
        <v>1</v>
      </c>
      <c r="Z261" s="628">
        <f>VLOOKUP(A261,'[2]2022 toutes communes'!$B$9:$D$317,3,FALSE)</f>
        <v>6321</v>
      </c>
      <c r="AA261" s="617"/>
      <c r="AB261" s="618"/>
      <c r="AC261" s="547">
        <f>AB261/VPI!R261</f>
        <v>0</v>
      </c>
      <c r="AD261" s="548">
        <f t="shared" si="14"/>
        <v>0</v>
      </c>
      <c r="AE261" s="547">
        <f>AD261/VPI!R261</f>
        <v>0</v>
      </c>
      <c r="AF261" s="618"/>
      <c r="AG261" s="618"/>
      <c r="AH261" s="618"/>
      <c r="AI261" s="637"/>
      <c r="AJ261" s="628"/>
      <c r="AK261" s="547">
        <f>AJ261/VPI!R261</f>
        <v>0</v>
      </c>
      <c r="AL261" s="548">
        <f t="shared" si="15"/>
        <v>0</v>
      </c>
      <c r="AM261" s="547">
        <f>AL261/VPI!R261</f>
        <v>0</v>
      </c>
      <c r="AN261" s="628"/>
      <c r="AO261" s="637"/>
      <c r="AP261" s="629">
        <v>37.518156761907811</v>
      </c>
      <c r="AR261" s="630">
        <v>0</v>
      </c>
    </row>
    <row r="262" spans="1:1476" x14ac:dyDescent="0.25">
      <c r="A262" s="608">
        <v>5862</v>
      </c>
      <c r="B262" s="609" t="s">
        <v>26</v>
      </c>
      <c r="C262" s="610">
        <v>627322.27</v>
      </c>
      <c r="D262" s="610">
        <v>80154.850000000006</v>
      </c>
      <c r="E262" s="610"/>
      <c r="F262" s="611"/>
      <c r="G262" s="610">
        <v>8243.4</v>
      </c>
      <c r="H262" s="610">
        <v>1736.6</v>
      </c>
      <c r="I262" s="610"/>
      <c r="J262" s="610">
        <v>56362.67</v>
      </c>
      <c r="K262" s="610"/>
      <c r="L262" s="610">
        <v>50622.5</v>
      </c>
      <c r="M262" s="434">
        <f t="shared" si="12"/>
        <v>824442.29</v>
      </c>
      <c r="N262" s="612">
        <v>7523.45</v>
      </c>
      <c r="O262" s="612">
        <v>464</v>
      </c>
      <c r="P262" s="612">
        <v>75024.149999999994</v>
      </c>
      <c r="Q262" s="612"/>
      <c r="R262" s="612">
        <v>85476.1</v>
      </c>
      <c r="S262" s="610">
        <v>1042.96</v>
      </c>
      <c r="T262" s="543">
        <f t="shared" si="13"/>
        <v>993972.95</v>
      </c>
      <c r="U262" s="575">
        <v>-6136.95</v>
      </c>
      <c r="V262" s="612"/>
      <c r="W262" s="612">
        <v>0</v>
      </c>
      <c r="X262" s="624">
        <v>79</v>
      </c>
      <c r="Y262" s="631">
        <v>1</v>
      </c>
      <c r="Z262" s="628">
        <f>VLOOKUP(A262,'[2]2022 toutes communes'!$B$9:$D$317,3,FALSE)</f>
        <v>249</v>
      </c>
      <c r="AA262" s="617"/>
      <c r="AB262" s="618">
        <v>0</v>
      </c>
      <c r="AC262" s="547">
        <f>AB262/VPI!R262</f>
        <v>0</v>
      </c>
      <c r="AD262" s="548">
        <f t="shared" si="14"/>
        <v>27805</v>
      </c>
      <c r="AE262" s="547">
        <f>AD262/VPI!R262</f>
        <v>2.6809050558840481</v>
      </c>
      <c r="AF262" s="618">
        <v>27805</v>
      </c>
      <c r="AG262" s="618">
        <v>15584</v>
      </c>
      <c r="AH262" s="618">
        <v>22920</v>
      </c>
      <c r="AI262" s="637"/>
      <c r="AJ262" s="628">
        <v>0</v>
      </c>
      <c r="AK262" s="547">
        <f>AJ262/VPI!R262</f>
        <v>0</v>
      </c>
      <c r="AL262" s="548">
        <f>AN262-AJ262</f>
        <v>4418</v>
      </c>
      <c r="AM262" s="547">
        <f>AL262/VPI!R262</f>
        <v>0.42597513169918089</v>
      </c>
      <c r="AN262" s="628">
        <v>4418</v>
      </c>
      <c r="AO262" s="637"/>
      <c r="AP262" s="629">
        <v>15.13036296141965</v>
      </c>
      <c r="AR262" s="630">
        <v>0</v>
      </c>
    </row>
    <row r="263" spans="1:1476" x14ac:dyDescent="0.25">
      <c r="A263" s="608">
        <v>5863</v>
      </c>
      <c r="B263" s="609" t="s">
        <v>27</v>
      </c>
      <c r="C263" s="610">
        <v>1109539.18</v>
      </c>
      <c r="D263" s="610">
        <v>233939.48</v>
      </c>
      <c r="F263" s="611"/>
      <c r="G263" s="610">
        <v>62362.25</v>
      </c>
      <c r="H263" s="610">
        <v>18779.55</v>
      </c>
      <c r="I263" s="610">
        <v>42873.3</v>
      </c>
      <c r="J263" s="610">
        <v>12152.93</v>
      </c>
      <c r="K263" s="610">
        <v>2534.9</v>
      </c>
      <c r="L263" s="610">
        <v>96302.1</v>
      </c>
      <c r="M263" s="434">
        <f t="shared" ref="M263:M305" si="16">SUM(C263:L263)</f>
        <v>1578483.69</v>
      </c>
      <c r="N263" s="612">
        <v>20078.099999999999</v>
      </c>
      <c r="O263" s="612"/>
      <c r="P263" s="612">
        <v>88715</v>
      </c>
      <c r="Q263" s="612">
        <v>1074.53</v>
      </c>
      <c r="R263" s="612">
        <v>69554.100000000006</v>
      </c>
      <c r="S263" s="610">
        <v>8479.73</v>
      </c>
      <c r="T263" s="543">
        <f t="shared" ref="T263:T305" si="17">SUM(M263:S263)</f>
        <v>1766385.1500000001</v>
      </c>
      <c r="U263" s="575">
        <v>-1314.72</v>
      </c>
      <c r="V263" s="612"/>
      <c r="W263" s="612">
        <v>-1373.95</v>
      </c>
      <c r="X263" s="624">
        <v>67</v>
      </c>
      <c r="Y263" s="631">
        <v>1</v>
      </c>
      <c r="Z263" s="628">
        <f>VLOOKUP(A263,'[2]2022 toutes communes'!$B$9:$D$317,3,FALSE)</f>
        <v>378</v>
      </c>
      <c r="AA263" s="617"/>
      <c r="AB263" s="618"/>
      <c r="AC263" s="547">
        <f>AB263/VPI!R263</f>
        <v>0</v>
      </c>
      <c r="AD263" s="548">
        <f t="shared" ref="AD263:AD305" si="18">AF263-AB263</f>
        <v>0</v>
      </c>
      <c r="AE263" s="547">
        <f>AD263/VPI!R263</f>
        <v>0</v>
      </c>
      <c r="AF263" s="618"/>
      <c r="AG263" s="618"/>
      <c r="AH263" s="618"/>
      <c r="AI263" s="637"/>
      <c r="AJ263" s="628"/>
      <c r="AK263" s="547">
        <f>AJ263/VPI!R263</f>
        <v>0</v>
      </c>
      <c r="AL263" s="548">
        <f t="shared" ref="AL263" si="19">AN263-AJ263</f>
        <v>0</v>
      </c>
      <c r="AM263" s="547">
        <f>AL263/VPI!R263</f>
        <v>0</v>
      </c>
      <c r="AN263" s="628"/>
      <c r="AO263" s="637"/>
      <c r="AP263" s="629">
        <v>30.934327384796951</v>
      </c>
      <c r="AR263" s="630">
        <v>0</v>
      </c>
    </row>
    <row r="264" spans="1:1476" x14ac:dyDescent="0.25">
      <c r="A264" s="608">
        <v>5871</v>
      </c>
      <c r="B264" s="609" t="s">
        <v>28</v>
      </c>
      <c r="C264" s="610">
        <v>2797427.79</v>
      </c>
      <c r="D264" s="610">
        <v>634933.77</v>
      </c>
      <c r="F264" s="611"/>
      <c r="G264" s="610">
        <v>54828.55</v>
      </c>
      <c r="H264" s="575">
        <v>27539.3</v>
      </c>
      <c r="I264" s="610"/>
      <c r="J264" s="610">
        <v>114138.05</v>
      </c>
      <c r="K264" s="610">
        <v>5570.65</v>
      </c>
      <c r="L264" s="610">
        <v>294470.8</v>
      </c>
      <c r="M264" s="434">
        <f t="shared" si="16"/>
        <v>3928908.9099999992</v>
      </c>
      <c r="N264" s="612">
        <v>739765.05</v>
      </c>
      <c r="O264" s="612">
        <v>945.70000000000198</v>
      </c>
      <c r="P264" s="612">
        <v>236519.65</v>
      </c>
      <c r="Q264" s="612">
        <v>9753.34</v>
      </c>
      <c r="R264" s="612">
        <v>110705.25</v>
      </c>
      <c r="S264" s="610">
        <v>8607.86</v>
      </c>
      <c r="T264" s="543">
        <f t="shared" si="17"/>
        <v>5035205.76</v>
      </c>
      <c r="U264" s="575">
        <v>-63747.31</v>
      </c>
      <c r="V264" s="612"/>
      <c r="W264" s="612">
        <v>-240.08</v>
      </c>
      <c r="X264" s="624">
        <v>77.3</v>
      </c>
      <c r="Y264" s="631">
        <v>1</v>
      </c>
      <c r="Z264" s="628">
        <f>VLOOKUP(A264,'[2]2022 toutes communes'!$B$9:$D$317,3,FALSE)</f>
        <v>1534</v>
      </c>
      <c r="AA264" s="617"/>
      <c r="AB264" s="618">
        <v>137357</v>
      </c>
      <c r="AC264" s="547">
        <f>AB264/VPI!R264</f>
        <v>2.734206305741242</v>
      </c>
      <c r="AD264" s="548">
        <f t="shared" si="18"/>
        <v>443374</v>
      </c>
      <c r="AE264" s="547">
        <f>AD264/VPI!R264</f>
        <v>8.8257313904767667</v>
      </c>
      <c r="AF264" s="618">
        <v>580731</v>
      </c>
      <c r="AG264" s="618">
        <v>181717</v>
      </c>
      <c r="AH264" s="618">
        <v>211375</v>
      </c>
      <c r="AI264" s="637"/>
      <c r="AJ264" s="628">
        <v>0</v>
      </c>
      <c r="AK264" s="547">
        <f>AJ264/VPI!R264</f>
        <v>0</v>
      </c>
      <c r="AL264" s="548">
        <f t="shared" ref="AL264:AL305" si="20">AN264-AJ264</f>
        <v>-50370</v>
      </c>
      <c r="AM264" s="547">
        <f>AL264/VPI!R264</f>
        <v>-1.0026571024424409</v>
      </c>
      <c r="AN264" s="628">
        <v>-50370</v>
      </c>
      <c r="AO264" s="637"/>
      <c r="AP264" s="629">
        <v>15.055100369087794</v>
      </c>
      <c r="AR264" s="630">
        <v>0</v>
      </c>
    </row>
    <row r="265" spans="1:1476" x14ac:dyDescent="0.25">
      <c r="A265" s="608">
        <v>5872</v>
      </c>
      <c r="B265" s="609" t="s">
        <v>184</v>
      </c>
      <c r="C265" s="610">
        <v>6722731.2999999998</v>
      </c>
      <c r="D265" s="610">
        <v>1036732.85</v>
      </c>
      <c r="F265" s="611"/>
      <c r="G265" s="610">
        <v>10731951.800000001</v>
      </c>
      <c r="H265" s="610">
        <v>245658.25</v>
      </c>
      <c r="I265" s="610"/>
      <c r="J265" s="610">
        <v>568916.32999999996</v>
      </c>
      <c r="K265" s="610">
        <v>66792.75</v>
      </c>
      <c r="L265" s="610">
        <v>803935.1</v>
      </c>
      <c r="M265" s="434">
        <f t="shared" si="16"/>
        <v>20176718.379999999</v>
      </c>
      <c r="N265" s="612">
        <v>8102751.8499999996</v>
      </c>
      <c r="O265" s="612">
        <v>179177.1</v>
      </c>
      <c r="P265" s="612">
        <v>259286.1</v>
      </c>
      <c r="Q265" s="612">
        <v>6210.09</v>
      </c>
      <c r="R265" s="612">
        <v>206136.4</v>
      </c>
      <c r="S265" s="610">
        <v>1147216.6100000001</v>
      </c>
      <c r="T265" s="543">
        <f t="shared" si="17"/>
        <v>30077496.529999997</v>
      </c>
      <c r="U265" s="575">
        <v>-132586.73000000001</v>
      </c>
      <c r="V265" s="612"/>
      <c r="W265" s="612">
        <v>-8147.58</v>
      </c>
      <c r="X265" s="624">
        <v>66.83</v>
      </c>
      <c r="Y265" s="631">
        <v>1</v>
      </c>
      <c r="Z265" s="628">
        <f>VLOOKUP(A265,'[2]2022 toutes communes'!$B$9:$D$317,3,FALSE)</f>
        <v>4613</v>
      </c>
      <c r="AA265" s="617"/>
      <c r="AB265" s="618">
        <v>487988</v>
      </c>
      <c r="AC265" s="547">
        <f>AB265/VPI!R265</f>
        <v>1.5390818741487826</v>
      </c>
      <c r="AD265" s="548">
        <f t="shared" si="18"/>
        <v>2219022</v>
      </c>
      <c r="AE265" s="547">
        <f>AD265/VPI!R265</f>
        <v>6.9986486113129418</v>
      </c>
      <c r="AF265" s="618">
        <v>2707010</v>
      </c>
      <c r="AG265" s="618">
        <v>545868</v>
      </c>
      <c r="AH265" s="618">
        <v>659447</v>
      </c>
      <c r="AI265" s="637"/>
      <c r="AJ265" s="628">
        <v>0</v>
      </c>
      <c r="AK265" s="547">
        <f>AJ265/VPI!R265</f>
        <v>0</v>
      </c>
      <c r="AL265" s="548">
        <f t="shared" si="20"/>
        <v>534298</v>
      </c>
      <c r="AM265" s="547">
        <f>AL265/VPI!R265</f>
        <v>1.6851405509847501</v>
      </c>
      <c r="AN265" s="628">
        <v>534298</v>
      </c>
      <c r="AO265" s="637"/>
      <c r="AP265" s="629">
        <v>20.810475895438987</v>
      </c>
      <c r="AR265" s="630">
        <v>0</v>
      </c>
    </row>
    <row r="266" spans="1:1476" x14ac:dyDescent="0.25">
      <c r="A266" s="608">
        <v>5873</v>
      </c>
      <c r="B266" s="609" t="s">
        <v>185</v>
      </c>
      <c r="C266" s="610">
        <v>1554824.32</v>
      </c>
      <c r="D266" s="610">
        <v>416069.39</v>
      </c>
      <c r="F266" s="611"/>
      <c r="G266" s="638">
        <v>277637.2</v>
      </c>
      <c r="H266" s="575">
        <v>4755.05</v>
      </c>
      <c r="I266" s="610"/>
      <c r="J266" s="610">
        <v>57658.89</v>
      </c>
      <c r="K266" s="610">
        <v>0</v>
      </c>
      <c r="L266" s="610">
        <v>121166.3</v>
      </c>
      <c r="M266" s="434">
        <f t="shared" si="16"/>
        <v>2432111.15</v>
      </c>
      <c r="N266" s="612">
        <v>879860</v>
      </c>
      <c r="O266" s="612">
        <v>40004.699999999997</v>
      </c>
      <c r="P266" s="612">
        <v>92283.199999999997</v>
      </c>
      <c r="Q266" s="612">
        <v>4338.42</v>
      </c>
      <c r="R266" s="612">
        <v>115052.6</v>
      </c>
      <c r="S266" s="610">
        <v>29511.439999999999</v>
      </c>
      <c r="T266" s="543">
        <f t="shared" si="17"/>
        <v>3593161.5100000002</v>
      </c>
      <c r="U266" s="575">
        <v>-31339.03</v>
      </c>
      <c r="V266" s="612"/>
      <c r="W266" s="612">
        <v>-421.75</v>
      </c>
      <c r="X266" s="624">
        <v>70</v>
      </c>
      <c r="Y266" s="631">
        <v>0.8</v>
      </c>
      <c r="Z266" s="628">
        <f>VLOOKUP(A266,'[2]2022 toutes communes'!$B$9:$D$317,3,FALSE)</f>
        <v>886</v>
      </c>
      <c r="AA266" s="617"/>
      <c r="AB266" s="618">
        <v>31551</v>
      </c>
      <c r="AC266" s="547">
        <f>AB266/VPI!R266</f>
        <v>0.89615635788247228</v>
      </c>
      <c r="AD266" s="548">
        <f t="shared" si="18"/>
        <v>757158</v>
      </c>
      <c r="AE266" s="547">
        <f>AD266/VPI!R266</f>
        <v>21.505877963347498</v>
      </c>
      <c r="AF266" s="618">
        <v>788709</v>
      </c>
      <c r="AG266" s="618">
        <v>105255</v>
      </c>
      <c r="AH266" s="618">
        <v>119609</v>
      </c>
      <c r="AI266" s="637"/>
      <c r="AJ266" s="628">
        <v>0</v>
      </c>
      <c r="AK266" s="547">
        <f>AJ266/VPI!R266</f>
        <v>0</v>
      </c>
      <c r="AL266" s="548">
        <f t="shared" si="20"/>
        <v>186223</v>
      </c>
      <c r="AM266" s="547">
        <f>AL266/VPI!R266</f>
        <v>5.2893703982107585</v>
      </c>
      <c r="AN266" s="628">
        <v>186223</v>
      </c>
      <c r="AO266" s="637"/>
      <c r="AP266" s="629">
        <v>20.423181488188558</v>
      </c>
      <c r="AR266" s="630">
        <v>0</v>
      </c>
    </row>
    <row r="267" spans="1:1476" s="632" customFormat="1" x14ac:dyDescent="0.25">
      <c r="A267" s="608">
        <v>5882</v>
      </c>
      <c r="B267" s="609" t="s">
        <v>186</v>
      </c>
      <c r="C267" s="610">
        <v>8517733.3000000007</v>
      </c>
      <c r="D267" s="610">
        <v>2149481.38</v>
      </c>
      <c r="E267" s="610"/>
      <c r="F267" s="611"/>
      <c r="G267" s="610">
        <v>116369.95</v>
      </c>
      <c r="H267" s="610">
        <v>18537.400000000001</v>
      </c>
      <c r="I267" s="610">
        <v>1150791.94</v>
      </c>
      <c r="J267" s="610">
        <v>700760.93</v>
      </c>
      <c r="K267" s="610">
        <v>67255.75</v>
      </c>
      <c r="L267" s="610">
        <v>1040784.14</v>
      </c>
      <c r="M267" s="434">
        <f t="shared" si="16"/>
        <v>13761714.789999999</v>
      </c>
      <c r="N267" s="612">
        <v>17097.55</v>
      </c>
      <c r="O267" s="612">
        <v>1794840.55</v>
      </c>
      <c r="P267" s="612">
        <v>726270.8</v>
      </c>
      <c r="Q267" s="612">
        <v>19119.43</v>
      </c>
      <c r="R267" s="612">
        <v>603840.44999999995</v>
      </c>
      <c r="S267" s="610">
        <v>14098.51</v>
      </c>
      <c r="T267" s="543">
        <f t="shared" si="17"/>
        <v>16936982.080000002</v>
      </c>
      <c r="U267" s="575">
        <v>-59054.11</v>
      </c>
      <c r="V267" s="612"/>
      <c r="W267" s="612">
        <v>-16408.09</v>
      </c>
      <c r="X267" s="624">
        <v>68</v>
      </c>
      <c r="Y267" s="631">
        <v>1</v>
      </c>
      <c r="Z267" s="628">
        <f>VLOOKUP(A267,'[2]2022 toutes communes'!$B$9:$D$317,3,FALSE)</f>
        <v>3192</v>
      </c>
      <c r="AA267" s="617"/>
      <c r="AB267" s="618">
        <v>332932</v>
      </c>
      <c r="AC267" s="547">
        <f>AB267/VPI!R267</f>
        <v>1.6501639732010855</v>
      </c>
      <c r="AD267" s="548">
        <f t="shared" si="18"/>
        <v>1078758</v>
      </c>
      <c r="AE267" s="547">
        <f>AD267/VPI!R267</f>
        <v>5.3468203338893723</v>
      </c>
      <c r="AF267" s="618">
        <v>1411690</v>
      </c>
      <c r="AG267" s="618">
        <v>377961</v>
      </c>
      <c r="AH267" s="618">
        <v>185759</v>
      </c>
      <c r="AI267" s="637"/>
      <c r="AJ267" s="628">
        <v>0</v>
      </c>
      <c r="AK267" s="547">
        <f>AJ267/VPI!R267</f>
        <v>0</v>
      </c>
      <c r="AL267" s="548">
        <f t="shared" si="20"/>
        <v>1503</v>
      </c>
      <c r="AM267" s="547">
        <f>AL267/VPI!R267</f>
        <v>7.4495586237466856E-3</v>
      </c>
      <c r="AN267" s="628">
        <v>1503</v>
      </c>
      <c r="AO267" s="637"/>
      <c r="AP267" s="629">
        <v>29.30275136030145</v>
      </c>
      <c r="AQ267" s="575"/>
      <c r="AR267" s="630">
        <v>1</v>
      </c>
      <c r="AS267" s="575"/>
      <c r="AT267" s="575"/>
      <c r="AU267" s="575"/>
      <c r="AV267" s="575"/>
      <c r="AW267" s="575"/>
      <c r="AX267" s="575"/>
      <c r="AY267" s="575"/>
      <c r="AZ267" s="575"/>
      <c r="BA267" s="575"/>
      <c r="BB267" s="575"/>
      <c r="BC267" s="575"/>
      <c r="BD267" s="575"/>
      <c r="BE267" s="575"/>
      <c r="BF267" s="575"/>
      <c r="BG267" s="575"/>
      <c r="BH267" s="575"/>
      <c r="BI267" s="575"/>
      <c r="BJ267" s="575"/>
      <c r="BK267" s="575"/>
      <c r="BL267" s="575"/>
      <c r="BM267" s="575"/>
      <c r="BN267" s="575"/>
      <c r="BO267" s="575"/>
      <c r="BP267" s="575"/>
      <c r="BQ267" s="575"/>
      <c r="BR267" s="575"/>
      <c r="BS267" s="575"/>
      <c r="BT267" s="575"/>
      <c r="BU267" s="575"/>
      <c r="BV267" s="575"/>
      <c r="BW267" s="575"/>
      <c r="BX267" s="575"/>
      <c r="BY267" s="575"/>
      <c r="BZ267" s="575"/>
      <c r="CA267" s="575"/>
      <c r="CB267" s="575"/>
      <c r="CC267" s="575"/>
      <c r="CD267" s="575"/>
      <c r="CE267" s="575"/>
      <c r="CF267" s="575"/>
      <c r="CG267" s="575"/>
      <c r="CH267" s="575"/>
      <c r="CI267" s="575"/>
      <c r="CJ267" s="575"/>
      <c r="CK267" s="575"/>
      <c r="CL267" s="575"/>
      <c r="CM267" s="575"/>
      <c r="CN267" s="575"/>
      <c r="CO267" s="575"/>
      <c r="CP267" s="575"/>
      <c r="CQ267" s="575"/>
      <c r="CR267" s="575"/>
      <c r="CS267" s="575"/>
      <c r="CT267" s="575"/>
      <c r="CU267" s="575"/>
      <c r="CV267" s="575"/>
      <c r="CW267" s="575"/>
      <c r="CX267" s="575"/>
      <c r="CY267" s="575"/>
      <c r="CZ267" s="575"/>
      <c r="DA267" s="575"/>
      <c r="DB267" s="575"/>
      <c r="DC267" s="575"/>
      <c r="DD267" s="575"/>
      <c r="DE267" s="575"/>
      <c r="DF267" s="575"/>
      <c r="DG267" s="575"/>
      <c r="DH267" s="575"/>
      <c r="DI267" s="575"/>
      <c r="DJ267" s="575"/>
      <c r="DK267" s="575"/>
      <c r="DL267" s="575"/>
      <c r="DM267" s="575"/>
      <c r="DN267" s="575"/>
      <c r="DO267" s="575"/>
      <c r="DP267" s="575"/>
      <c r="DQ267" s="575"/>
      <c r="DR267" s="575"/>
      <c r="DS267" s="575"/>
      <c r="DT267" s="575"/>
      <c r="DU267" s="575"/>
      <c r="DV267" s="575"/>
      <c r="DW267" s="575"/>
      <c r="DX267" s="575"/>
      <c r="DY267" s="575"/>
      <c r="DZ267" s="575"/>
      <c r="EA267" s="575"/>
      <c r="EB267" s="575"/>
      <c r="EC267" s="575"/>
      <c r="ED267" s="575"/>
      <c r="EE267" s="575"/>
      <c r="EF267" s="575"/>
      <c r="EG267" s="575"/>
      <c r="EH267" s="575"/>
      <c r="EI267" s="575"/>
      <c r="EJ267" s="575"/>
      <c r="EK267" s="575"/>
      <c r="EL267" s="575"/>
      <c r="EM267" s="575"/>
      <c r="EN267" s="575"/>
      <c r="EO267" s="575"/>
      <c r="EP267" s="575"/>
      <c r="EQ267" s="575"/>
      <c r="ER267" s="575"/>
      <c r="ES267" s="575"/>
      <c r="ET267" s="575"/>
      <c r="EU267" s="575"/>
      <c r="EV267" s="575"/>
      <c r="EW267" s="575"/>
      <c r="EX267" s="575"/>
      <c r="EY267" s="575"/>
      <c r="EZ267" s="575"/>
      <c r="FA267" s="575"/>
      <c r="FB267" s="575"/>
      <c r="FC267" s="575"/>
      <c r="FD267" s="575"/>
      <c r="FE267" s="575"/>
      <c r="FF267" s="575"/>
      <c r="FG267" s="575"/>
      <c r="FH267" s="575"/>
      <c r="FI267" s="575"/>
      <c r="FJ267" s="575"/>
      <c r="FK267" s="575"/>
      <c r="FL267" s="575"/>
      <c r="FM267" s="575"/>
      <c r="FN267" s="575"/>
      <c r="FO267" s="575"/>
      <c r="FP267" s="575"/>
      <c r="FQ267" s="575"/>
      <c r="FR267" s="575"/>
      <c r="FS267" s="575"/>
      <c r="FT267" s="575"/>
      <c r="FU267" s="575"/>
      <c r="FV267" s="575"/>
      <c r="FW267" s="575"/>
      <c r="FX267" s="575"/>
      <c r="FY267" s="575"/>
      <c r="FZ267" s="575"/>
      <c r="GA267" s="575"/>
      <c r="GB267" s="575"/>
      <c r="GC267" s="575"/>
      <c r="GD267" s="575"/>
      <c r="GE267" s="575"/>
      <c r="GF267" s="575"/>
      <c r="GG267" s="575"/>
      <c r="GH267" s="575"/>
      <c r="GI267" s="575"/>
      <c r="GJ267" s="575"/>
      <c r="GK267" s="575"/>
      <c r="GL267" s="575"/>
      <c r="GM267" s="575"/>
      <c r="GN267" s="575"/>
      <c r="GO267" s="575"/>
      <c r="GP267" s="575"/>
      <c r="GQ267" s="575"/>
      <c r="GR267" s="575"/>
      <c r="GS267" s="575"/>
      <c r="GT267" s="575"/>
      <c r="GU267" s="575"/>
      <c r="GV267" s="575"/>
      <c r="GW267" s="575"/>
      <c r="GX267" s="575"/>
      <c r="GY267" s="575"/>
      <c r="GZ267" s="575"/>
      <c r="HA267" s="575"/>
      <c r="HB267" s="575"/>
      <c r="HC267" s="575"/>
      <c r="HD267" s="575"/>
      <c r="HE267" s="575"/>
      <c r="HF267" s="575"/>
      <c r="HG267" s="575"/>
      <c r="HH267" s="575"/>
      <c r="HI267" s="575"/>
      <c r="HJ267" s="575"/>
      <c r="HK267" s="575"/>
      <c r="HL267" s="575"/>
      <c r="HM267" s="575"/>
      <c r="HN267" s="575"/>
      <c r="HO267" s="575"/>
      <c r="HP267" s="575"/>
      <c r="HQ267" s="575"/>
      <c r="HR267" s="575"/>
      <c r="HS267" s="575"/>
      <c r="HT267" s="575"/>
      <c r="HU267" s="575"/>
      <c r="HV267" s="575"/>
      <c r="HW267" s="575"/>
      <c r="HX267" s="575"/>
      <c r="HY267" s="575"/>
      <c r="HZ267" s="575"/>
      <c r="IA267" s="575"/>
      <c r="IB267" s="575"/>
      <c r="IC267" s="575"/>
      <c r="ID267" s="575"/>
      <c r="IE267" s="575"/>
      <c r="IF267" s="575"/>
      <c r="IG267" s="575"/>
      <c r="IH267" s="575"/>
      <c r="II267" s="575"/>
      <c r="IJ267" s="575"/>
      <c r="IK267" s="575"/>
      <c r="IL267" s="575"/>
      <c r="IM267" s="575"/>
      <c r="IN267" s="575"/>
      <c r="IO267" s="575"/>
      <c r="IP267" s="575"/>
      <c r="IQ267" s="575"/>
      <c r="IR267" s="575"/>
      <c r="IS267" s="575"/>
      <c r="IT267" s="575"/>
      <c r="IU267" s="575"/>
      <c r="IV267" s="575"/>
      <c r="IW267" s="575"/>
      <c r="IX267" s="575"/>
      <c r="IY267" s="575"/>
      <c r="IZ267" s="575"/>
      <c r="JA267" s="575"/>
      <c r="JB267" s="575"/>
      <c r="JC267" s="575"/>
      <c r="JD267" s="575"/>
      <c r="JE267" s="575"/>
      <c r="JF267" s="575"/>
      <c r="JG267" s="575"/>
      <c r="JH267" s="575"/>
      <c r="JI267" s="575"/>
      <c r="JJ267" s="575"/>
      <c r="JK267" s="575"/>
      <c r="JL267" s="575"/>
      <c r="JM267" s="575"/>
      <c r="JN267" s="575"/>
      <c r="JO267" s="575"/>
      <c r="JP267" s="575"/>
      <c r="JQ267" s="575"/>
      <c r="JR267" s="575"/>
      <c r="JS267" s="575"/>
      <c r="JT267" s="575"/>
      <c r="JU267" s="575"/>
      <c r="JV267" s="575"/>
      <c r="JW267" s="575"/>
      <c r="JX267" s="575"/>
      <c r="JY267" s="575"/>
      <c r="JZ267" s="575"/>
      <c r="KA267" s="575"/>
      <c r="KB267" s="575"/>
      <c r="KC267" s="575"/>
      <c r="KD267" s="575"/>
      <c r="KE267" s="575"/>
      <c r="KF267" s="575"/>
      <c r="KG267" s="575"/>
      <c r="KH267" s="575"/>
      <c r="KI267" s="575"/>
      <c r="KJ267" s="575"/>
      <c r="KK267" s="575"/>
      <c r="KL267" s="575"/>
      <c r="KM267" s="575"/>
      <c r="KN267" s="575"/>
      <c r="KO267" s="575"/>
      <c r="KP267" s="575"/>
      <c r="KQ267" s="575"/>
      <c r="KR267" s="575"/>
      <c r="KS267" s="575"/>
      <c r="KT267" s="575"/>
      <c r="KU267" s="575"/>
      <c r="KV267" s="575"/>
      <c r="KW267" s="575"/>
      <c r="KX267" s="575"/>
      <c r="KY267" s="575"/>
      <c r="KZ267" s="575"/>
      <c r="LA267" s="575"/>
      <c r="LB267" s="575"/>
      <c r="LC267" s="575"/>
      <c r="LD267" s="575"/>
      <c r="LE267" s="575"/>
      <c r="LF267" s="575"/>
      <c r="LG267" s="575"/>
      <c r="LH267" s="575"/>
      <c r="LI267" s="575"/>
      <c r="LJ267" s="575"/>
      <c r="LK267" s="575"/>
      <c r="LL267" s="575"/>
      <c r="LM267" s="575"/>
      <c r="LN267" s="575"/>
      <c r="LO267" s="575"/>
      <c r="LP267" s="575"/>
      <c r="LQ267" s="575"/>
      <c r="LR267" s="575"/>
      <c r="LS267" s="575"/>
      <c r="LT267" s="575"/>
      <c r="LU267" s="575"/>
      <c r="LV267" s="575"/>
      <c r="LW267" s="575"/>
      <c r="LX267" s="575"/>
      <c r="LY267" s="575"/>
      <c r="LZ267" s="575"/>
      <c r="MA267" s="575"/>
      <c r="MB267" s="575"/>
      <c r="MC267" s="575"/>
      <c r="MD267" s="575"/>
      <c r="ME267" s="575"/>
      <c r="MF267" s="575"/>
      <c r="MG267" s="575"/>
      <c r="MH267" s="575"/>
      <c r="MI267" s="575"/>
      <c r="MJ267" s="575"/>
      <c r="MK267" s="575"/>
      <c r="ML267" s="575"/>
      <c r="MM267" s="575"/>
      <c r="MN267" s="575"/>
      <c r="MO267" s="575"/>
      <c r="MP267" s="575"/>
      <c r="MQ267" s="575"/>
      <c r="MR267" s="575"/>
      <c r="MS267" s="575"/>
      <c r="MT267" s="575"/>
      <c r="MU267" s="575"/>
      <c r="MV267" s="575"/>
      <c r="MW267" s="575"/>
      <c r="MX267" s="575"/>
      <c r="MY267" s="575"/>
      <c r="MZ267" s="575"/>
      <c r="NA267" s="575"/>
      <c r="NB267" s="575"/>
      <c r="NC267" s="575"/>
      <c r="ND267" s="575"/>
      <c r="NE267" s="575"/>
      <c r="NF267" s="575"/>
      <c r="NG267" s="575"/>
      <c r="NH267" s="575"/>
      <c r="NI267" s="575"/>
      <c r="NJ267" s="575"/>
      <c r="NK267" s="575"/>
      <c r="NL267" s="575"/>
      <c r="NM267" s="575"/>
      <c r="NN267" s="575"/>
      <c r="NO267" s="575"/>
      <c r="NP267" s="575"/>
      <c r="NQ267" s="575"/>
      <c r="NR267" s="575"/>
      <c r="NS267" s="575"/>
      <c r="NT267" s="575"/>
      <c r="NU267" s="575"/>
      <c r="NV267" s="575"/>
      <c r="NW267" s="575"/>
      <c r="NX267" s="575"/>
      <c r="NY267" s="575"/>
      <c r="NZ267" s="575"/>
      <c r="OA267" s="575"/>
      <c r="OB267" s="575"/>
      <c r="OC267" s="575"/>
      <c r="OD267" s="575"/>
      <c r="OE267" s="575"/>
      <c r="OF267" s="575"/>
      <c r="OG267" s="575"/>
      <c r="OH267" s="575"/>
      <c r="OI267" s="575"/>
      <c r="OJ267" s="575"/>
      <c r="OK267" s="575"/>
      <c r="OL267" s="575"/>
      <c r="OM267" s="575"/>
      <c r="ON267" s="575"/>
      <c r="OO267" s="575"/>
      <c r="OP267" s="575"/>
      <c r="OQ267" s="575"/>
      <c r="OR267" s="575"/>
      <c r="OS267" s="575"/>
      <c r="OT267" s="575"/>
      <c r="OU267" s="575"/>
      <c r="OV267" s="575"/>
      <c r="OW267" s="575"/>
      <c r="OX267" s="575"/>
      <c r="OY267" s="575"/>
      <c r="OZ267" s="575"/>
      <c r="PA267" s="575"/>
      <c r="PB267" s="575"/>
      <c r="PC267" s="575"/>
      <c r="PD267" s="575"/>
      <c r="PE267" s="575"/>
      <c r="PF267" s="575"/>
      <c r="PG267" s="575"/>
      <c r="PH267" s="575"/>
      <c r="PI267" s="575"/>
      <c r="PJ267" s="575"/>
      <c r="PK267" s="575"/>
      <c r="PL267" s="575"/>
      <c r="PM267" s="575"/>
      <c r="PN267" s="575"/>
      <c r="PO267" s="575"/>
      <c r="PP267" s="575"/>
      <c r="PQ267" s="575"/>
      <c r="PR267" s="575"/>
      <c r="PS267" s="575"/>
      <c r="PT267" s="575"/>
      <c r="PU267" s="575"/>
      <c r="PV267" s="575"/>
      <c r="PW267" s="575"/>
      <c r="PX267" s="575"/>
      <c r="PY267" s="575"/>
      <c r="PZ267" s="575"/>
      <c r="QA267" s="575"/>
      <c r="QB267" s="575"/>
      <c r="QC267" s="575"/>
      <c r="QD267" s="575"/>
      <c r="QE267" s="575"/>
      <c r="QF267" s="575"/>
      <c r="QG267" s="575"/>
      <c r="QH267" s="575"/>
      <c r="QI267" s="575"/>
      <c r="QJ267" s="575"/>
      <c r="QK267" s="575"/>
      <c r="QL267" s="575"/>
      <c r="QM267" s="575"/>
      <c r="QN267" s="575"/>
      <c r="QO267" s="575"/>
      <c r="QP267" s="575"/>
      <c r="QQ267" s="575"/>
      <c r="QR267" s="575"/>
      <c r="QS267" s="575"/>
      <c r="QT267" s="575"/>
      <c r="QU267" s="575"/>
      <c r="QV267" s="575"/>
      <c r="QW267" s="575"/>
      <c r="QX267" s="575"/>
      <c r="QY267" s="575"/>
      <c r="QZ267" s="575"/>
      <c r="RA267" s="575"/>
      <c r="RB267" s="575"/>
      <c r="RC267" s="575"/>
      <c r="RD267" s="575"/>
      <c r="RE267" s="575"/>
      <c r="RF267" s="575"/>
      <c r="RG267" s="575"/>
      <c r="RH267" s="575"/>
      <c r="RI267" s="575"/>
      <c r="RJ267" s="575"/>
      <c r="RK267" s="575"/>
      <c r="RL267" s="575"/>
      <c r="RM267" s="575"/>
      <c r="RN267" s="575"/>
      <c r="RO267" s="575"/>
      <c r="RP267" s="575"/>
      <c r="RQ267" s="575"/>
      <c r="RR267" s="575"/>
      <c r="RS267" s="575"/>
      <c r="RT267" s="575"/>
      <c r="RU267" s="575"/>
      <c r="RV267" s="575"/>
      <c r="RW267" s="575"/>
      <c r="RX267" s="575"/>
      <c r="RY267" s="575"/>
      <c r="RZ267" s="575"/>
      <c r="SA267" s="575"/>
      <c r="SB267" s="575"/>
      <c r="SC267" s="575"/>
      <c r="SD267" s="575"/>
      <c r="SE267" s="575"/>
      <c r="SF267" s="575"/>
      <c r="SG267" s="575"/>
      <c r="SH267" s="575"/>
      <c r="SI267" s="575"/>
      <c r="SJ267" s="575"/>
      <c r="SK267" s="575"/>
      <c r="SL267" s="575"/>
      <c r="SM267" s="575"/>
      <c r="SN267" s="575"/>
      <c r="SO267" s="575"/>
      <c r="SP267" s="575"/>
      <c r="SQ267" s="575"/>
      <c r="SR267" s="575"/>
      <c r="SS267" s="575"/>
      <c r="ST267" s="575"/>
      <c r="SU267" s="575"/>
      <c r="SV267" s="575"/>
      <c r="SW267" s="575"/>
      <c r="SX267" s="575"/>
      <c r="SY267" s="575"/>
      <c r="SZ267" s="575"/>
      <c r="TA267" s="575"/>
      <c r="TB267" s="575"/>
      <c r="TC267" s="575"/>
      <c r="TD267" s="575"/>
      <c r="TE267" s="575"/>
      <c r="TF267" s="575"/>
      <c r="TG267" s="575"/>
      <c r="TH267" s="575"/>
      <c r="TI267" s="575"/>
      <c r="TJ267" s="575"/>
      <c r="TK267" s="575"/>
      <c r="TL267" s="575"/>
      <c r="TM267" s="575"/>
      <c r="TN267" s="575"/>
      <c r="TO267" s="575"/>
      <c r="TP267" s="575"/>
      <c r="TQ267" s="575"/>
      <c r="TR267" s="575"/>
      <c r="TS267" s="575"/>
      <c r="TT267" s="575"/>
      <c r="TU267" s="575"/>
      <c r="TV267" s="575"/>
      <c r="TW267" s="575"/>
      <c r="TX267" s="575"/>
      <c r="TY267" s="575"/>
      <c r="TZ267" s="575"/>
      <c r="UA267" s="575"/>
      <c r="UB267" s="575"/>
      <c r="UC267" s="575"/>
      <c r="UD267" s="575"/>
      <c r="UE267" s="575"/>
      <c r="UF267" s="575"/>
      <c r="UG267" s="575"/>
      <c r="UH267" s="575"/>
      <c r="UI267" s="575"/>
      <c r="UJ267" s="575"/>
      <c r="UK267" s="575"/>
      <c r="UL267" s="575"/>
      <c r="UM267" s="575"/>
      <c r="UN267" s="575"/>
      <c r="UO267" s="575"/>
      <c r="UP267" s="575"/>
      <c r="UQ267" s="575"/>
      <c r="UR267" s="575"/>
      <c r="US267" s="575"/>
      <c r="UT267" s="575"/>
      <c r="UU267" s="575"/>
      <c r="UV267" s="575"/>
      <c r="UW267" s="575"/>
      <c r="UX267" s="575"/>
      <c r="UY267" s="575"/>
      <c r="UZ267" s="575"/>
      <c r="VA267" s="575"/>
      <c r="VB267" s="575"/>
      <c r="VC267" s="575"/>
      <c r="VD267" s="575"/>
      <c r="VE267" s="575"/>
      <c r="VF267" s="575"/>
      <c r="VG267" s="575"/>
      <c r="VH267" s="575"/>
      <c r="VI267" s="575"/>
      <c r="VJ267" s="575"/>
      <c r="VK267" s="575"/>
      <c r="VL267" s="575"/>
      <c r="VM267" s="575"/>
      <c r="VN267" s="575"/>
      <c r="VO267" s="575"/>
      <c r="VP267" s="575"/>
      <c r="VQ267" s="575"/>
      <c r="VR267" s="575"/>
      <c r="VS267" s="575"/>
      <c r="VT267" s="575"/>
      <c r="VU267" s="575"/>
      <c r="VV267" s="575"/>
      <c r="VW267" s="575"/>
      <c r="VX267" s="575"/>
      <c r="VY267" s="575"/>
      <c r="VZ267" s="575"/>
      <c r="WA267" s="575"/>
      <c r="WB267" s="575"/>
      <c r="WC267" s="575"/>
      <c r="WD267" s="575"/>
      <c r="WE267" s="575"/>
      <c r="WF267" s="575"/>
      <c r="WG267" s="575"/>
      <c r="WH267" s="575"/>
      <c r="WI267" s="575"/>
      <c r="WJ267" s="575"/>
      <c r="WK267" s="575"/>
      <c r="WL267" s="575"/>
      <c r="WM267" s="575"/>
      <c r="WN267" s="575"/>
      <c r="WO267" s="575"/>
      <c r="WP267" s="575"/>
      <c r="WQ267" s="575"/>
      <c r="WR267" s="575"/>
      <c r="WS267" s="575"/>
      <c r="WT267" s="575"/>
      <c r="WU267" s="575"/>
      <c r="WV267" s="575"/>
      <c r="WW267" s="575"/>
      <c r="WX267" s="575"/>
      <c r="WY267" s="575"/>
      <c r="WZ267" s="575"/>
      <c r="XA267" s="575"/>
      <c r="XB267" s="575"/>
      <c r="XC267" s="575"/>
      <c r="XD267" s="575"/>
      <c r="XE267" s="575"/>
      <c r="XF267" s="575"/>
      <c r="XG267" s="575"/>
      <c r="XH267" s="575"/>
      <c r="XI267" s="575"/>
      <c r="XJ267" s="575"/>
      <c r="XK267" s="575"/>
      <c r="XL267" s="575"/>
      <c r="XM267" s="575"/>
      <c r="XN267" s="575"/>
      <c r="XO267" s="575"/>
      <c r="XP267" s="575"/>
      <c r="XQ267" s="575"/>
      <c r="XR267" s="575"/>
      <c r="XS267" s="575"/>
      <c r="XT267" s="575"/>
      <c r="XU267" s="575"/>
      <c r="XV267" s="575"/>
      <c r="XW267" s="575"/>
      <c r="XX267" s="575"/>
      <c r="XY267" s="575"/>
      <c r="XZ267" s="575"/>
      <c r="YA267" s="575"/>
      <c r="YB267" s="575"/>
      <c r="YC267" s="575"/>
      <c r="YD267" s="575"/>
      <c r="YE267" s="575"/>
      <c r="YF267" s="575"/>
      <c r="YG267" s="575"/>
      <c r="YH267" s="575"/>
      <c r="YI267" s="575"/>
      <c r="YJ267" s="575"/>
      <c r="YK267" s="575"/>
      <c r="YL267" s="575"/>
      <c r="YM267" s="575"/>
      <c r="YN267" s="575"/>
      <c r="YO267" s="575"/>
      <c r="YP267" s="575"/>
      <c r="YQ267" s="575"/>
      <c r="YR267" s="575"/>
      <c r="YS267" s="575"/>
      <c r="YT267" s="575"/>
      <c r="YU267" s="575"/>
      <c r="YV267" s="575"/>
      <c r="YW267" s="575"/>
      <c r="YX267" s="575"/>
      <c r="YY267" s="575"/>
      <c r="YZ267" s="575"/>
      <c r="ZA267" s="575"/>
      <c r="ZB267" s="575"/>
      <c r="ZC267" s="575"/>
      <c r="ZD267" s="575"/>
      <c r="ZE267" s="575"/>
      <c r="ZF267" s="575"/>
      <c r="ZG267" s="575"/>
      <c r="ZH267" s="575"/>
      <c r="ZI267" s="575"/>
      <c r="ZJ267" s="575"/>
      <c r="ZK267" s="575"/>
      <c r="ZL267" s="575"/>
      <c r="ZM267" s="575"/>
      <c r="ZN267" s="575"/>
      <c r="ZO267" s="575"/>
      <c r="ZP267" s="575"/>
      <c r="ZQ267" s="575"/>
      <c r="ZR267" s="575"/>
      <c r="ZS267" s="575"/>
      <c r="ZT267" s="575"/>
      <c r="ZU267" s="575"/>
      <c r="ZV267" s="575"/>
      <c r="ZW267" s="575"/>
      <c r="ZX267" s="575"/>
      <c r="ZY267" s="575"/>
      <c r="ZZ267" s="575"/>
      <c r="AAA267" s="575"/>
      <c r="AAB267" s="575"/>
      <c r="AAC267" s="575"/>
      <c r="AAD267" s="575"/>
      <c r="AAE267" s="575"/>
      <c r="AAF267" s="575"/>
      <c r="AAG267" s="575"/>
      <c r="AAH267" s="575"/>
      <c r="AAI267" s="575"/>
      <c r="AAJ267" s="575"/>
      <c r="AAK267" s="575"/>
      <c r="AAL267" s="575"/>
      <c r="AAM267" s="575"/>
      <c r="AAN267" s="575"/>
      <c r="AAO267" s="575"/>
      <c r="AAP267" s="575"/>
      <c r="AAQ267" s="575"/>
      <c r="AAR267" s="575"/>
      <c r="AAS267" s="575"/>
      <c r="AAT267" s="575"/>
      <c r="AAU267" s="575"/>
      <c r="AAV267" s="575"/>
      <c r="AAW267" s="575"/>
      <c r="AAX267" s="575"/>
      <c r="AAY267" s="575"/>
      <c r="AAZ267" s="575"/>
      <c r="ABA267" s="575"/>
      <c r="ABB267" s="575"/>
      <c r="ABC267" s="575"/>
      <c r="ABD267" s="575"/>
      <c r="ABE267" s="575"/>
      <c r="ABF267" s="575"/>
      <c r="ABG267" s="575"/>
      <c r="ABH267" s="575"/>
      <c r="ABI267" s="575"/>
      <c r="ABJ267" s="575"/>
      <c r="ABK267" s="575"/>
      <c r="ABL267" s="575"/>
      <c r="ABM267" s="575"/>
      <c r="ABN267" s="575"/>
      <c r="ABO267" s="575"/>
      <c r="ABP267" s="575"/>
      <c r="ABQ267" s="575"/>
      <c r="ABR267" s="575"/>
      <c r="ABS267" s="575"/>
      <c r="ABT267" s="575"/>
      <c r="ABU267" s="575"/>
      <c r="ABV267" s="575"/>
      <c r="ABW267" s="575"/>
      <c r="ABX267" s="575"/>
      <c r="ABY267" s="575"/>
      <c r="ABZ267" s="575"/>
      <c r="ACA267" s="575"/>
      <c r="ACB267" s="575"/>
      <c r="ACC267" s="575"/>
      <c r="ACD267" s="575"/>
      <c r="ACE267" s="575"/>
      <c r="ACF267" s="575"/>
      <c r="ACG267" s="575"/>
      <c r="ACH267" s="575"/>
      <c r="ACI267" s="575"/>
      <c r="ACJ267" s="575"/>
      <c r="ACK267" s="575"/>
      <c r="ACL267" s="575"/>
      <c r="ACM267" s="575"/>
      <c r="ACN267" s="575"/>
      <c r="ACO267" s="575"/>
      <c r="ACP267" s="575"/>
      <c r="ACQ267" s="575"/>
      <c r="ACR267" s="575"/>
      <c r="ACS267" s="575"/>
      <c r="ACT267" s="575"/>
      <c r="ACU267" s="575"/>
      <c r="ACV267" s="575"/>
      <c r="ACW267" s="575"/>
      <c r="ACX267" s="575"/>
      <c r="ACY267" s="575"/>
      <c r="ACZ267" s="575"/>
      <c r="ADA267" s="575"/>
      <c r="ADB267" s="575"/>
      <c r="ADC267" s="575"/>
      <c r="ADD267" s="575"/>
      <c r="ADE267" s="575"/>
      <c r="ADF267" s="575"/>
      <c r="ADG267" s="575"/>
      <c r="ADH267" s="575"/>
      <c r="ADI267" s="575"/>
      <c r="ADJ267" s="575"/>
      <c r="ADK267" s="575"/>
      <c r="ADL267" s="575"/>
      <c r="ADM267" s="575"/>
      <c r="ADN267" s="575"/>
      <c r="ADO267" s="575"/>
      <c r="ADP267" s="575"/>
      <c r="ADQ267" s="575"/>
      <c r="ADR267" s="575"/>
      <c r="ADS267" s="575"/>
      <c r="ADT267" s="575"/>
      <c r="ADU267" s="575"/>
      <c r="ADV267" s="575"/>
      <c r="ADW267" s="575"/>
      <c r="ADX267" s="575"/>
      <c r="ADY267" s="575"/>
      <c r="ADZ267" s="575"/>
      <c r="AEA267" s="575"/>
      <c r="AEB267" s="575"/>
      <c r="AEC267" s="575"/>
      <c r="AED267" s="575"/>
      <c r="AEE267" s="575"/>
      <c r="AEF267" s="575"/>
      <c r="AEG267" s="575"/>
      <c r="AEH267" s="575"/>
      <c r="AEI267" s="575"/>
      <c r="AEJ267" s="575"/>
      <c r="AEK267" s="575"/>
      <c r="AEL267" s="575"/>
      <c r="AEM267" s="575"/>
      <c r="AEN267" s="575"/>
      <c r="AEO267" s="575"/>
      <c r="AEP267" s="575"/>
      <c r="AEQ267" s="575"/>
      <c r="AER267" s="575"/>
      <c r="AES267" s="575"/>
      <c r="AET267" s="575"/>
      <c r="AEU267" s="575"/>
      <c r="AEV267" s="575"/>
      <c r="AEW267" s="575"/>
      <c r="AEX267" s="575"/>
      <c r="AEY267" s="575"/>
      <c r="AEZ267" s="575"/>
      <c r="AFA267" s="575"/>
      <c r="AFB267" s="575"/>
      <c r="AFC267" s="575"/>
      <c r="AFD267" s="575"/>
      <c r="AFE267" s="575"/>
      <c r="AFF267" s="575"/>
      <c r="AFG267" s="575"/>
      <c r="AFH267" s="575"/>
      <c r="AFI267" s="575"/>
      <c r="AFJ267" s="575"/>
      <c r="AFK267" s="575"/>
      <c r="AFL267" s="575"/>
      <c r="AFM267" s="575"/>
      <c r="AFN267" s="575"/>
      <c r="AFO267" s="575"/>
      <c r="AFP267" s="575"/>
      <c r="AFQ267" s="575"/>
      <c r="AFR267" s="575"/>
      <c r="AFS267" s="575"/>
      <c r="AFT267" s="575"/>
      <c r="AFU267" s="575"/>
      <c r="AFV267" s="575"/>
      <c r="AFW267" s="575"/>
      <c r="AFX267" s="575"/>
      <c r="AFY267" s="575"/>
      <c r="AFZ267" s="575"/>
      <c r="AGA267" s="575"/>
      <c r="AGB267" s="575"/>
      <c r="AGC267" s="575"/>
      <c r="AGD267" s="575"/>
      <c r="AGE267" s="575"/>
      <c r="AGF267" s="575"/>
      <c r="AGG267" s="575"/>
      <c r="AGH267" s="575"/>
      <c r="AGI267" s="575"/>
      <c r="AGJ267" s="575"/>
      <c r="AGK267" s="575"/>
      <c r="AGL267" s="575"/>
      <c r="AGM267" s="575"/>
      <c r="AGN267" s="575"/>
      <c r="AGO267" s="575"/>
      <c r="AGP267" s="575"/>
      <c r="AGQ267" s="575"/>
      <c r="AGR267" s="575"/>
      <c r="AGS267" s="575"/>
      <c r="AGT267" s="575"/>
      <c r="AGU267" s="575"/>
      <c r="AGV267" s="575"/>
      <c r="AGW267" s="575"/>
      <c r="AGX267" s="575"/>
      <c r="AGY267" s="575"/>
      <c r="AGZ267" s="575"/>
      <c r="AHA267" s="575"/>
      <c r="AHB267" s="575"/>
      <c r="AHC267" s="575"/>
      <c r="AHD267" s="575"/>
      <c r="AHE267" s="575"/>
      <c r="AHF267" s="575"/>
      <c r="AHG267" s="575"/>
      <c r="AHH267" s="575"/>
      <c r="AHI267" s="575"/>
      <c r="AHJ267" s="575"/>
      <c r="AHK267" s="575"/>
      <c r="AHL267" s="575"/>
      <c r="AHM267" s="575"/>
      <c r="AHN267" s="575"/>
      <c r="AHO267" s="575"/>
      <c r="AHP267" s="575"/>
      <c r="AHQ267" s="575"/>
      <c r="AHR267" s="575"/>
      <c r="AHS267" s="575"/>
      <c r="AHT267" s="575"/>
      <c r="AHU267" s="575"/>
      <c r="AHV267" s="575"/>
      <c r="AHW267" s="575"/>
      <c r="AHX267" s="575"/>
      <c r="AHY267" s="575"/>
      <c r="AHZ267" s="575"/>
      <c r="AIA267" s="575"/>
      <c r="AIB267" s="575"/>
      <c r="AIC267" s="575"/>
      <c r="AID267" s="575"/>
      <c r="AIE267" s="575"/>
      <c r="AIF267" s="575"/>
      <c r="AIG267" s="575"/>
      <c r="AIH267" s="575"/>
      <c r="AII267" s="575"/>
      <c r="AIJ267" s="575"/>
      <c r="AIK267" s="575"/>
      <c r="AIL267" s="575"/>
      <c r="AIM267" s="575"/>
      <c r="AIN267" s="575"/>
      <c r="AIO267" s="575"/>
      <c r="AIP267" s="575"/>
      <c r="AIQ267" s="575"/>
      <c r="AIR267" s="575"/>
      <c r="AIS267" s="575"/>
      <c r="AIT267" s="575"/>
      <c r="AIU267" s="575"/>
      <c r="AIV267" s="575"/>
      <c r="AIW267" s="575"/>
      <c r="AIX267" s="575"/>
      <c r="AIY267" s="575"/>
      <c r="AIZ267" s="575"/>
      <c r="AJA267" s="575"/>
      <c r="AJB267" s="575"/>
      <c r="AJC267" s="575"/>
      <c r="AJD267" s="575"/>
      <c r="AJE267" s="575"/>
      <c r="AJF267" s="575"/>
      <c r="AJG267" s="575"/>
      <c r="AJH267" s="575"/>
      <c r="AJI267" s="575"/>
      <c r="AJJ267" s="575"/>
      <c r="AJK267" s="575"/>
      <c r="AJL267" s="575"/>
      <c r="AJM267" s="575"/>
      <c r="AJN267" s="575"/>
      <c r="AJO267" s="575"/>
      <c r="AJP267" s="575"/>
      <c r="AJQ267" s="575"/>
      <c r="AJR267" s="575"/>
      <c r="AJS267" s="575"/>
      <c r="AJT267" s="575"/>
      <c r="AJU267" s="575"/>
      <c r="AJV267" s="575"/>
      <c r="AJW267" s="575"/>
      <c r="AJX267" s="575"/>
      <c r="AJY267" s="575"/>
      <c r="AJZ267" s="575"/>
      <c r="AKA267" s="575"/>
      <c r="AKB267" s="575"/>
      <c r="AKC267" s="575"/>
      <c r="AKD267" s="575"/>
      <c r="AKE267" s="575"/>
      <c r="AKF267" s="575"/>
      <c r="AKG267" s="575"/>
      <c r="AKH267" s="575"/>
      <c r="AKI267" s="575"/>
      <c r="AKJ267" s="575"/>
      <c r="AKK267" s="575"/>
      <c r="AKL267" s="575"/>
      <c r="AKM267" s="575"/>
      <c r="AKN267" s="575"/>
      <c r="AKO267" s="575"/>
      <c r="AKP267" s="575"/>
      <c r="AKQ267" s="575"/>
      <c r="AKR267" s="575"/>
      <c r="AKS267" s="575"/>
      <c r="AKT267" s="575"/>
      <c r="AKU267" s="575"/>
      <c r="AKV267" s="575"/>
      <c r="AKW267" s="575"/>
      <c r="AKX267" s="575"/>
      <c r="AKY267" s="575"/>
      <c r="AKZ267" s="575"/>
      <c r="ALA267" s="575"/>
      <c r="ALB267" s="575"/>
      <c r="ALC267" s="575"/>
      <c r="ALD267" s="575"/>
      <c r="ALE267" s="575"/>
      <c r="ALF267" s="575"/>
      <c r="ALG267" s="575"/>
      <c r="ALH267" s="575"/>
      <c r="ALI267" s="575"/>
      <c r="ALJ267" s="575"/>
      <c r="ALK267" s="575"/>
      <c r="ALL267" s="575"/>
      <c r="ALM267" s="575"/>
      <c r="ALN267" s="575"/>
      <c r="ALO267" s="575"/>
      <c r="ALP267" s="575"/>
      <c r="ALQ267" s="575"/>
      <c r="ALR267" s="575"/>
      <c r="ALS267" s="575"/>
      <c r="ALT267" s="575"/>
      <c r="ALU267" s="575"/>
      <c r="ALV267" s="575"/>
      <c r="ALW267" s="575"/>
      <c r="ALX267" s="575"/>
      <c r="ALY267" s="575"/>
      <c r="ALZ267" s="575"/>
      <c r="AMA267" s="575"/>
      <c r="AMB267" s="575"/>
      <c r="AMC267" s="575"/>
      <c r="AMD267" s="575"/>
      <c r="AME267" s="575"/>
      <c r="AMF267" s="575"/>
      <c r="AMG267" s="575"/>
      <c r="AMH267" s="575"/>
      <c r="AMI267" s="575"/>
      <c r="AMJ267" s="575"/>
      <c r="AMK267" s="575"/>
      <c r="AML267" s="575"/>
      <c r="AMM267" s="575"/>
      <c r="AMN267" s="575"/>
      <c r="AMO267" s="575"/>
      <c r="AMP267" s="575"/>
      <c r="AMQ267" s="575"/>
      <c r="AMR267" s="575"/>
      <c r="AMS267" s="575"/>
      <c r="AMT267" s="575"/>
      <c r="AMU267" s="575"/>
      <c r="AMV267" s="575"/>
      <c r="AMW267" s="575"/>
      <c r="AMX267" s="575"/>
      <c r="AMY267" s="575"/>
      <c r="AMZ267" s="575"/>
      <c r="ANA267" s="575"/>
      <c r="ANB267" s="575"/>
      <c r="ANC267" s="575"/>
      <c r="AND267" s="575"/>
      <c r="ANE267" s="575"/>
      <c r="ANF267" s="575"/>
      <c r="ANG267" s="575"/>
      <c r="ANH267" s="575"/>
      <c r="ANI267" s="575"/>
      <c r="ANJ267" s="575"/>
      <c r="ANK267" s="575"/>
      <c r="ANL267" s="575"/>
      <c r="ANM267" s="575"/>
      <c r="ANN267" s="575"/>
      <c r="ANO267" s="575"/>
      <c r="ANP267" s="575"/>
      <c r="ANQ267" s="575"/>
      <c r="ANR267" s="575"/>
      <c r="ANS267" s="575"/>
      <c r="ANT267" s="575"/>
      <c r="ANU267" s="575"/>
      <c r="ANV267" s="575"/>
      <c r="ANW267" s="575"/>
      <c r="ANX267" s="575"/>
      <c r="ANY267" s="575"/>
      <c r="ANZ267" s="575"/>
      <c r="AOA267" s="575"/>
      <c r="AOB267" s="575"/>
      <c r="AOC267" s="575"/>
      <c r="AOD267" s="575"/>
      <c r="AOE267" s="575"/>
      <c r="AOF267" s="575"/>
      <c r="AOG267" s="575"/>
      <c r="AOH267" s="575"/>
      <c r="AOI267" s="575"/>
      <c r="AOJ267" s="575"/>
      <c r="AOK267" s="575"/>
      <c r="AOL267" s="575"/>
      <c r="AOM267" s="575"/>
      <c r="AON267" s="575"/>
      <c r="AOO267" s="575"/>
      <c r="AOP267" s="575"/>
      <c r="AOQ267" s="575"/>
      <c r="AOR267" s="575"/>
      <c r="AOS267" s="575"/>
      <c r="AOT267" s="575"/>
      <c r="AOU267" s="575"/>
      <c r="AOV267" s="575"/>
      <c r="AOW267" s="575"/>
      <c r="AOX267" s="575"/>
      <c r="AOY267" s="575"/>
      <c r="AOZ267" s="575"/>
      <c r="APA267" s="575"/>
      <c r="APB267" s="575"/>
      <c r="APC267" s="575"/>
      <c r="APD267" s="575"/>
      <c r="APE267" s="575"/>
      <c r="APF267" s="575"/>
      <c r="APG267" s="575"/>
      <c r="APH267" s="575"/>
      <c r="API267" s="575"/>
      <c r="APJ267" s="575"/>
      <c r="APK267" s="575"/>
      <c r="APL267" s="575"/>
      <c r="APM267" s="575"/>
      <c r="APN267" s="575"/>
      <c r="APO267" s="575"/>
      <c r="APP267" s="575"/>
      <c r="APQ267" s="575"/>
      <c r="APR267" s="575"/>
      <c r="APS267" s="575"/>
      <c r="APT267" s="575"/>
      <c r="APU267" s="575"/>
      <c r="APV267" s="575"/>
      <c r="APW267" s="575"/>
      <c r="APX267" s="575"/>
      <c r="APY267" s="575"/>
      <c r="APZ267" s="575"/>
      <c r="AQA267" s="575"/>
      <c r="AQB267" s="575"/>
      <c r="AQC267" s="575"/>
      <c r="AQD267" s="575"/>
      <c r="AQE267" s="575"/>
      <c r="AQF267" s="575"/>
      <c r="AQG267" s="575"/>
      <c r="AQH267" s="575"/>
      <c r="AQI267" s="575"/>
      <c r="AQJ267" s="575"/>
      <c r="AQK267" s="575"/>
      <c r="AQL267" s="575"/>
      <c r="AQM267" s="575"/>
      <c r="AQN267" s="575"/>
      <c r="AQO267" s="575"/>
      <c r="AQP267" s="575"/>
      <c r="AQQ267" s="575"/>
      <c r="AQR267" s="575"/>
      <c r="AQS267" s="575"/>
      <c r="AQT267" s="575"/>
      <c r="AQU267" s="575"/>
      <c r="AQV267" s="575"/>
      <c r="AQW267" s="575"/>
      <c r="AQX267" s="575"/>
      <c r="AQY267" s="575"/>
      <c r="AQZ267" s="575"/>
      <c r="ARA267" s="575"/>
      <c r="ARB267" s="575"/>
      <c r="ARC267" s="575"/>
      <c r="ARD267" s="575"/>
      <c r="ARE267" s="575"/>
      <c r="ARF267" s="575"/>
      <c r="ARG267" s="575"/>
      <c r="ARH267" s="575"/>
      <c r="ARI267" s="575"/>
      <c r="ARJ267" s="575"/>
      <c r="ARK267" s="575"/>
      <c r="ARL267" s="575"/>
      <c r="ARM267" s="575"/>
      <c r="ARN267" s="575"/>
      <c r="ARO267" s="575"/>
      <c r="ARP267" s="575"/>
      <c r="ARQ267" s="575"/>
      <c r="ARR267" s="575"/>
      <c r="ARS267" s="575"/>
      <c r="ART267" s="575"/>
      <c r="ARU267" s="575"/>
      <c r="ARV267" s="575"/>
      <c r="ARW267" s="575"/>
      <c r="ARX267" s="575"/>
      <c r="ARY267" s="575"/>
      <c r="ARZ267" s="575"/>
      <c r="ASA267" s="575"/>
      <c r="ASB267" s="575"/>
      <c r="ASC267" s="575"/>
      <c r="ASD267" s="575"/>
      <c r="ASE267" s="575"/>
      <c r="ASF267" s="575"/>
      <c r="ASG267" s="575"/>
      <c r="ASH267" s="575"/>
      <c r="ASI267" s="575"/>
      <c r="ASJ267" s="575"/>
      <c r="ASK267" s="575"/>
      <c r="ASL267" s="575"/>
      <c r="ASM267" s="575"/>
      <c r="ASN267" s="575"/>
      <c r="ASO267" s="575"/>
      <c r="ASP267" s="575"/>
      <c r="ASQ267" s="575"/>
      <c r="ASR267" s="575"/>
      <c r="ASS267" s="575"/>
      <c r="AST267" s="575"/>
      <c r="ASU267" s="575"/>
      <c r="ASV267" s="575"/>
      <c r="ASW267" s="575"/>
      <c r="ASX267" s="575"/>
      <c r="ASY267" s="575"/>
      <c r="ASZ267" s="575"/>
      <c r="ATA267" s="575"/>
      <c r="ATB267" s="575"/>
      <c r="ATC267" s="575"/>
      <c r="ATD267" s="575"/>
      <c r="ATE267" s="575"/>
      <c r="ATF267" s="575"/>
      <c r="ATG267" s="575"/>
      <c r="ATH267" s="575"/>
      <c r="ATI267" s="575"/>
      <c r="ATJ267" s="575"/>
      <c r="ATK267" s="575"/>
      <c r="ATL267" s="575"/>
      <c r="ATM267" s="575"/>
      <c r="ATN267" s="575"/>
      <c r="ATO267" s="575"/>
      <c r="ATP267" s="575"/>
      <c r="ATQ267" s="575"/>
      <c r="ATR267" s="575"/>
      <c r="ATS267" s="575"/>
      <c r="ATT267" s="575"/>
      <c r="ATU267" s="575"/>
      <c r="ATV267" s="575"/>
      <c r="ATW267" s="575"/>
      <c r="ATX267" s="575"/>
      <c r="ATY267" s="575"/>
      <c r="ATZ267" s="575"/>
      <c r="AUA267" s="575"/>
      <c r="AUB267" s="575"/>
      <c r="AUC267" s="575"/>
      <c r="AUD267" s="575"/>
      <c r="AUE267" s="575"/>
      <c r="AUF267" s="575"/>
      <c r="AUG267" s="575"/>
      <c r="AUH267" s="575"/>
      <c r="AUI267" s="575"/>
      <c r="AUJ267" s="575"/>
      <c r="AUK267" s="575"/>
      <c r="AUL267" s="575"/>
      <c r="AUM267" s="575"/>
      <c r="AUN267" s="575"/>
      <c r="AUO267" s="575"/>
      <c r="AUP267" s="575"/>
      <c r="AUQ267" s="575"/>
      <c r="AUR267" s="575"/>
      <c r="AUS267" s="575"/>
      <c r="AUT267" s="575"/>
      <c r="AUU267" s="575"/>
      <c r="AUV267" s="575"/>
      <c r="AUW267" s="575"/>
      <c r="AUX267" s="575"/>
      <c r="AUY267" s="575"/>
      <c r="AUZ267" s="575"/>
      <c r="AVA267" s="575"/>
      <c r="AVB267" s="575"/>
      <c r="AVC267" s="575"/>
      <c r="AVD267" s="575"/>
      <c r="AVE267" s="575"/>
      <c r="AVF267" s="575"/>
      <c r="AVG267" s="575"/>
      <c r="AVH267" s="575"/>
      <c r="AVI267" s="575"/>
      <c r="AVJ267" s="575"/>
      <c r="AVK267" s="575"/>
      <c r="AVL267" s="575"/>
      <c r="AVM267" s="575"/>
      <c r="AVN267" s="575"/>
      <c r="AVO267" s="575"/>
      <c r="AVP267" s="575"/>
      <c r="AVQ267" s="575"/>
      <c r="AVR267" s="575"/>
      <c r="AVS267" s="575"/>
      <c r="AVT267" s="575"/>
      <c r="AVU267" s="575"/>
      <c r="AVV267" s="575"/>
      <c r="AVW267" s="575"/>
      <c r="AVX267" s="575"/>
      <c r="AVY267" s="575"/>
      <c r="AVZ267" s="575"/>
      <c r="AWA267" s="575"/>
      <c r="AWB267" s="575"/>
      <c r="AWC267" s="575"/>
      <c r="AWD267" s="575"/>
      <c r="AWE267" s="575"/>
      <c r="AWF267" s="575"/>
      <c r="AWG267" s="575"/>
      <c r="AWH267" s="575"/>
      <c r="AWI267" s="575"/>
      <c r="AWJ267" s="575"/>
      <c r="AWK267" s="575"/>
      <c r="AWL267" s="575"/>
      <c r="AWM267" s="575"/>
      <c r="AWN267" s="575"/>
      <c r="AWO267" s="575"/>
      <c r="AWP267" s="575"/>
      <c r="AWQ267" s="575"/>
      <c r="AWR267" s="575"/>
      <c r="AWS267" s="575"/>
      <c r="AWT267" s="575"/>
      <c r="AWU267" s="575"/>
      <c r="AWV267" s="575"/>
      <c r="AWW267" s="575"/>
      <c r="AWX267" s="575"/>
      <c r="AWY267" s="575"/>
      <c r="AWZ267" s="575"/>
      <c r="AXA267" s="575"/>
      <c r="AXB267" s="575"/>
      <c r="AXC267" s="575"/>
      <c r="AXD267" s="575"/>
      <c r="AXE267" s="575"/>
      <c r="AXF267" s="575"/>
      <c r="AXG267" s="575"/>
      <c r="AXH267" s="575"/>
      <c r="AXI267" s="575"/>
      <c r="AXJ267" s="575"/>
      <c r="AXK267" s="575"/>
      <c r="AXL267" s="575"/>
      <c r="AXM267" s="575"/>
      <c r="AXN267" s="575"/>
      <c r="AXO267" s="575"/>
      <c r="AXP267" s="575"/>
      <c r="AXQ267" s="575"/>
      <c r="AXR267" s="575"/>
      <c r="AXS267" s="575"/>
      <c r="AXT267" s="575"/>
      <c r="AXU267" s="575"/>
      <c r="AXV267" s="575"/>
      <c r="AXW267" s="575"/>
      <c r="AXX267" s="575"/>
      <c r="AXY267" s="575"/>
      <c r="AXZ267" s="575"/>
      <c r="AYA267" s="575"/>
      <c r="AYB267" s="575"/>
      <c r="AYC267" s="575"/>
      <c r="AYD267" s="575"/>
      <c r="AYE267" s="575"/>
      <c r="AYF267" s="575"/>
      <c r="AYG267" s="575"/>
      <c r="AYH267" s="575"/>
      <c r="AYI267" s="575"/>
      <c r="AYJ267" s="575"/>
      <c r="AYK267" s="575"/>
      <c r="AYL267" s="575"/>
      <c r="AYM267" s="575"/>
      <c r="AYN267" s="575"/>
      <c r="AYO267" s="575"/>
      <c r="AYP267" s="575"/>
      <c r="AYQ267" s="575"/>
      <c r="AYR267" s="575"/>
      <c r="AYS267" s="575"/>
      <c r="AYT267" s="575"/>
      <c r="AYU267" s="575"/>
      <c r="AYV267" s="575"/>
      <c r="AYW267" s="575"/>
      <c r="AYX267" s="575"/>
      <c r="AYY267" s="575"/>
      <c r="AYZ267" s="575"/>
      <c r="AZA267" s="575"/>
      <c r="AZB267" s="575"/>
      <c r="AZC267" s="575"/>
      <c r="AZD267" s="575"/>
      <c r="AZE267" s="575"/>
      <c r="AZF267" s="575"/>
      <c r="AZG267" s="575"/>
      <c r="AZH267" s="575"/>
      <c r="AZI267" s="575"/>
      <c r="AZJ267" s="575"/>
      <c r="AZK267" s="575"/>
      <c r="AZL267" s="575"/>
      <c r="AZM267" s="575"/>
      <c r="AZN267" s="575"/>
      <c r="AZO267" s="575"/>
      <c r="AZP267" s="575"/>
      <c r="AZQ267" s="575"/>
      <c r="AZR267" s="575"/>
      <c r="AZS267" s="575"/>
      <c r="AZT267" s="575"/>
      <c r="AZU267" s="575"/>
      <c r="AZV267" s="575"/>
      <c r="AZW267" s="575"/>
      <c r="AZX267" s="575"/>
      <c r="AZY267" s="575"/>
      <c r="AZZ267" s="575"/>
      <c r="BAA267" s="575"/>
      <c r="BAB267" s="575"/>
      <c r="BAC267" s="575"/>
      <c r="BAD267" s="575"/>
      <c r="BAE267" s="575"/>
      <c r="BAF267" s="575"/>
      <c r="BAG267" s="575"/>
      <c r="BAH267" s="575"/>
      <c r="BAI267" s="575"/>
      <c r="BAJ267" s="575"/>
      <c r="BAK267" s="575"/>
      <c r="BAL267" s="575"/>
      <c r="BAM267" s="575"/>
      <c r="BAN267" s="575"/>
      <c r="BAO267" s="575"/>
      <c r="BAP267" s="575"/>
      <c r="BAQ267" s="575"/>
      <c r="BAR267" s="575"/>
      <c r="BAS267" s="575"/>
      <c r="BAT267" s="575"/>
      <c r="BAU267" s="575"/>
      <c r="BAV267" s="575"/>
      <c r="BAW267" s="575"/>
      <c r="BAX267" s="575"/>
      <c r="BAY267" s="575"/>
      <c r="BAZ267" s="575"/>
      <c r="BBA267" s="575"/>
      <c r="BBB267" s="575"/>
      <c r="BBC267" s="575"/>
      <c r="BBD267" s="575"/>
      <c r="BBE267" s="575"/>
      <c r="BBF267" s="575"/>
      <c r="BBG267" s="575"/>
      <c r="BBH267" s="575"/>
      <c r="BBI267" s="575"/>
      <c r="BBJ267" s="575"/>
      <c r="BBK267" s="575"/>
      <c r="BBL267" s="575"/>
      <c r="BBM267" s="575"/>
      <c r="BBN267" s="575"/>
      <c r="BBO267" s="575"/>
      <c r="BBP267" s="575"/>
      <c r="BBQ267" s="575"/>
      <c r="BBR267" s="575"/>
      <c r="BBS267" s="575"/>
      <c r="BBT267" s="575"/>
      <c r="BBU267" s="575"/>
      <c r="BBV267" s="575"/>
      <c r="BBW267" s="575"/>
      <c r="BBX267" s="575"/>
      <c r="BBY267" s="575"/>
      <c r="BBZ267" s="575"/>
      <c r="BCA267" s="575"/>
      <c r="BCB267" s="575"/>
      <c r="BCC267" s="575"/>
      <c r="BCD267" s="575"/>
      <c r="BCE267" s="575"/>
      <c r="BCF267" s="575"/>
      <c r="BCG267" s="575"/>
      <c r="BCH267" s="575"/>
      <c r="BCI267" s="575"/>
      <c r="BCJ267" s="575"/>
      <c r="BCK267" s="575"/>
      <c r="BCL267" s="575"/>
      <c r="BCM267" s="575"/>
      <c r="BCN267" s="575"/>
      <c r="BCO267" s="575"/>
      <c r="BCP267" s="575"/>
      <c r="BCQ267" s="575"/>
      <c r="BCR267" s="575"/>
      <c r="BCS267" s="575"/>
      <c r="BCT267" s="575"/>
      <c r="BCU267" s="575"/>
      <c r="BCV267" s="575"/>
      <c r="BCW267" s="575"/>
      <c r="BCX267" s="575"/>
      <c r="BCY267" s="575"/>
      <c r="BCZ267" s="575"/>
      <c r="BDA267" s="575"/>
      <c r="BDB267" s="575"/>
      <c r="BDC267" s="575"/>
      <c r="BDD267" s="575"/>
      <c r="BDE267" s="575"/>
      <c r="BDF267" s="575"/>
      <c r="BDG267" s="575"/>
      <c r="BDH267" s="575"/>
      <c r="BDI267" s="575"/>
      <c r="BDJ267" s="575"/>
      <c r="BDK267" s="575"/>
      <c r="BDL267" s="575"/>
      <c r="BDM267" s="575"/>
      <c r="BDN267" s="575"/>
      <c r="BDO267" s="575"/>
      <c r="BDP267" s="575"/>
      <c r="BDQ267" s="575"/>
      <c r="BDR267" s="575"/>
      <c r="BDS267" s="575"/>
      <c r="BDT267" s="575"/>
    </row>
    <row r="268" spans="1:1476" x14ac:dyDescent="0.25">
      <c r="A268" s="608">
        <v>5883</v>
      </c>
      <c r="B268" s="609" t="s">
        <v>187</v>
      </c>
      <c r="C268" s="610">
        <v>8644525.0899999999</v>
      </c>
      <c r="D268" s="610">
        <v>2267851.04</v>
      </c>
      <c r="E268" s="610"/>
      <c r="F268" s="611"/>
      <c r="G268" s="610">
        <v>61487.65</v>
      </c>
      <c r="H268" s="610">
        <v>21419.200000000001</v>
      </c>
      <c r="I268" s="610">
        <v>473368.28</v>
      </c>
      <c r="J268" s="610">
        <v>4940.47</v>
      </c>
      <c r="K268" s="610">
        <v>20863.8</v>
      </c>
      <c r="L268" s="610">
        <v>727626.3</v>
      </c>
      <c r="M268" s="434">
        <f t="shared" si="16"/>
        <v>12222081.83</v>
      </c>
      <c r="N268" s="612">
        <v>1881.65</v>
      </c>
      <c r="O268" s="612">
        <v>710734.8</v>
      </c>
      <c r="P268" s="612">
        <v>415006.3</v>
      </c>
      <c r="Q268" s="612">
        <v>12807.99</v>
      </c>
      <c r="R268" s="612">
        <v>371747.15</v>
      </c>
      <c r="S268" s="610">
        <v>8664.19</v>
      </c>
      <c r="T268" s="543">
        <f t="shared" si="17"/>
        <v>13742923.910000002</v>
      </c>
      <c r="U268" s="575">
        <v>-23324.94</v>
      </c>
      <c r="V268" s="612"/>
      <c r="W268" s="612">
        <v>-9731.92</v>
      </c>
      <c r="X268" s="624">
        <v>67.5</v>
      </c>
      <c r="Y268" s="631">
        <v>1</v>
      </c>
      <c r="Z268" s="628">
        <f>VLOOKUP(A268,'[2]2022 toutes communes'!$B$9:$D$317,3,FALSE)</f>
        <v>2307</v>
      </c>
      <c r="AA268" s="617"/>
      <c r="AB268" s="618">
        <v>293220</v>
      </c>
      <c r="AC268" s="547">
        <f>AB268/VPI!R268</f>
        <v>1.620929087232128</v>
      </c>
      <c r="AD268" s="548">
        <f t="shared" si="18"/>
        <v>322505</v>
      </c>
      <c r="AE268" s="547">
        <f>AD268/VPI!R268</f>
        <v>1.782817458828857</v>
      </c>
      <c r="AF268" s="618">
        <v>615725</v>
      </c>
      <c r="AG268" s="618">
        <f>286111+238131</f>
        <v>524242</v>
      </c>
      <c r="AH268" s="618">
        <v>137840</v>
      </c>
      <c r="AI268" s="637"/>
      <c r="AJ268" s="628">
        <v>0</v>
      </c>
      <c r="AK268" s="547">
        <f>AJ268/VPI!R268</f>
        <v>0</v>
      </c>
      <c r="AL268" s="548">
        <f t="shared" si="20"/>
        <v>2162</v>
      </c>
      <c r="AM268" s="547">
        <f>AL268/VPI!R268</f>
        <v>1.1951601823190303E-2</v>
      </c>
      <c r="AN268" s="628">
        <v>2162</v>
      </c>
      <c r="AO268" s="637"/>
      <c r="AP268" s="629">
        <v>36.275256969073332</v>
      </c>
      <c r="AR268" s="630">
        <v>1</v>
      </c>
    </row>
    <row r="269" spans="1:1476" x14ac:dyDescent="0.25">
      <c r="A269" s="608">
        <v>5884</v>
      </c>
      <c r="B269" s="609" t="s">
        <v>45</v>
      </c>
      <c r="C269" s="610">
        <v>5305103.63</v>
      </c>
      <c r="D269" s="610">
        <v>832581.05</v>
      </c>
      <c r="E269" s="610"/>
      <c r="F269" s="611"/>
      <c r="G269" s="610">
        <v>723167.2</v>
      </c>
      <c r="H269" s="610">
        <v>96673.85</v>
      </c>
      <c r="I269" s="610">
        <v>30676.95</v>
      </c>
      <c r="J269" s="610">
        <v>194817.97</v>
      </c>
      <c r="K269" s="610">
        <v>169043.45</v>
      </c>
      <c r="L269" s="610">
        <v>966598.6</v>
      </c>
      <c r="M269" s="434">
        <f t="shared" si="16"/>
        <v>8318662.6999999993</v>
      </c>
      <c r="N269" s="612">
        <v>491143.6</v>
      </c>
      <c r="O269" s="612">
        <v>80903.600000000006</v>
      </c>
      <c r="P269" s="612">
        <v>466409.25</v>
      </c>
      <c r="Q269" s="612">
        <v>58543.24</v>
      </c>
      <c r="R269" s="612">
        <v>531535.44999999995</v>
      </c>
      <c r="S269" s="610">
        <v>85677.6</v>
      </c>
      <c r="T269" s="543">
        <f t="shared" si="17"/>
        <v>10032875.439999998</v>
      </c>
      <c r="U269" s="575">
        <v>-38609.71</v>
      </c>
      <c r="V269" s="612"/>
      <c r="W269" s="612">
        <v>-3866.58</v>
      </c>
      <c r="X269" s="624">
        <v>64.5</v>
      </c>
      <c r="Y269" s="631">
        <v>1.2</v>
      </c>
      <c r="Z269" s="628">
        <f>VLOOKUP(A269,'[2]2022 toutes communes'!$B$9:$D$317,3,FALSE)</f>
        <v>3366</v>
      </c>
      <c r="AA269" s="617"/>
      <c r="AB269" s="618">
        <v>1066464</v>
      </c>
      <c r="AC269" s="547">
        <f>AB269/VPI!R269</f>
        <v>8.3284135066779985</v>
      </c>
      <c r="AD269" s="548">
        <f t="shared" si="18"/>
        <v>655871</v>
      </c>
      <c r="AE269" s="547">
        <f>AD269/VPI!R269</f>
        <v>5.1219402577474771</v>
      </c>
      <c r="AF269" s="618">
        <v>1722335</v>
      </c>
      <c r="AG269" s="618">
        <v>958820</v>
      </c>
      <c r="AH269" s="618">
        <v>228023</v>
      </c>
      <c r="AI269" s="637"/>
      <c r="AJ269" s="628">
        <v>0</v>
      </c>
      <c r="AK269" s="547">
        <f>AJ269/VPI!R269</f>
        <v>0</v>
      </c>
      <c r="AL269" s="548">
        <f t="shared" si="20"/>
        <v>32204</v>
      </c>
      <c r="AM269" s="547">
        <f>AL269/VPI!R269</f>
        <v>0.2514929979531032</v>
      </c>
      <c r="AN269" s="628">
        <v>32204</v>
      </c>
      <c r="AO269" s="637"/>
      <c r="AP269" s="629">
        <v>22.324724300311384</v>
      </c>
      <c r="AR269" s="630">
        <v>1</v>
      </c>
    </row>
    <row r="270" spans="1:1476" x14ac:dyDescent="0.25">
      <c r="A270" s="608">
        <v>5885</v>
      </c>
      <c r="B270" s="609" t="s">
        <v>46</v>
      </c>
      <c r="C270" s="610">
        <v>5271097.95</v>
      </c>
      <c r="D270" s="610">
        <v>928722.98</v>
      </c>
      <c r="E270" s="610"/>
      <c r="F270" s="611"/>
      <c r="G270" s="610">
        <v>181548.25</v>
      </c>
      <c r="H270" s="610">
        <v>28196</v>
      </c>
      <c r="I270" s="610">
        <v>196351.71</v>
      </c>
      <c r="J270" s="610">
        <v>130817.43</v>
      </c>
      <c r="K270" s="610">
        <v>3306.65</v>
      </c>
      <c r="L270" s="610">
        <v>597313.15</v>
      </c>
      <c r="M270" s="434">
        <f t="shared" si="16"/>
        <v>7337354.1200000001</v>
      </c>
      <c r="N270" s="612">
        <v>3104.95</v>
      </c>
      <c r="O270" s="612">
        <v>114058.7</v>
      </c>
      <c r="P270" s="612">
        <v>293057.8</v>
      </c>
      <c r="Q270" s="612"/>
      <c r="R270" s="612">
        <v>183657.5</v>
      </c>
      <c r="S270" s="610">
        <v>21919.35</v>
      </c>
      <c r="T270" s="543">
        <f t="shared" si="17"/>
        <v>7953152.4199999999</v>
      </c>
      <c r="U270" s="575">
        <v>-23195.72</v>
      </c>
      <c r="V270" s="612"/>
      <c r="W270" s="612">
        <v>-2175.87</v>
      </c>
      <c r="X270" s="624">
        <v>69.5</v>
      </c>
      <c r="Y270" s="631">
        <v>1.2</v>
      </c>
      <c r="Z270" s="628">
        <f>VLOOKUP(A270,'[2]2022 toutes communes'!$B$9:$D$317,3,FALSE)</f>
        <v>1842</v>
      </c>
      <c r="AA270" s="617"/>
      <c r="AB270" s="618">
        <v>50527</v>
      </c>
      <c r="AC270" s="547">
        <f>AB270/VPI!R270</f>
        <v>0.48541011304210502</v>
      </c>
      <c r="AD270" s="548">
        <f t="shared" si="18"/>
        <v>557486</v>
      </c>
      <c r="AE270" s="547">
        <f>AD270/VPI!R270</f>
        <v>5.3557373736693448</v>
      </c>
      <c r="AF270" s="618">
        <v>608013</v>
      </c>
      <c r="AG270" s="618">
        <v>178796</v>
      </c>
      <c r="AH270" s="618">
        <v>128292</v>
      </c>
      <c r="AI270" s="637"/>
      <c r="AJ270" s="628">
        <v>0</v>
      </c>
      <c r="AK270" s="547">
        <f>AJ270/VPI!R270</f>
        <v>0</v>
      </c>
      <c r="AL270" s="548">
        <f t="shared" si="20"/>
        <v>-7847</v>
      </c>
      <c r="AM270" s="547">
        <f>AL270/VPI!R270</f>
        <v>-7.5385697885118813E-2</v>
      </c>
      <c r="AN270" s="628">
        <v>-7847</v>
      </c>
      <c r="AO270" s="637"/>
      <c r="AP270" s="629">
        <v>28.063287040546395</v>
      </c>
      <c r="AR270" s="630">
        <v>1</v>
      </c>
    </row>
    <row r="271" spans="1:1476" x14ac:dyDescent="0.25">
      <c r="A271" s="608">
        <v>5886</v>
      </c>
      <c r="B271" s="609" t="s">
        <v>47</v>
      </c>
      <c r="C271" s="610">
        <v>44972882.689999998</v>
      </c>
      <c r="D271" s="610">
        <v>12252555.51</v>
      </c>
      <c r="E271" s="610"/>
      <c r="F271" s="611"/>
      <c r="G271" s="610">
        <v>3312254.85</v>
      </c>
      <c r="H271" s="610">
        <v>694377.55</v>
      </c>
      <c r="I271" s="610">
        <v>3915210.38</v>
      </c>
      <c r="J271" s="610">
        <v>2357491.62</v>
      </c>
      <c r="K271" s="610">
        <v>774006.2</v>
      </c>
      <c r="L271" s="610">
        <v>10976646</v>
      </c>
      <c r="M271" s="434">
        <f t="shared" si="16"/>
        <v>79255424.799999997</v>
      </c>
      <c r="N271" s="612">
        <v>920310.65</v>
      </c>
      <c r="O271" s="612">
        <v>15182542.449999999</v>
      </c>
      <c r="P271" s="612">
        <v>4496505.9000000004</v>
      </c>
      <c r="Q271" s="612">
        <v>1092404.32</v>
      </c>
      <c r="R271" s="612">
        <v>3073791.35</v>
      </c>
      <c r="S271" s="610">
        <v>418713.65</v>
      </c>
      <c r="T271" s="543">
        <f t="shared" si="17"/>
        <v>104439693.12</v>
      </c>
      <c r="U271" s="575">
        <v>-2091798.36</v>
      </c>
      <c r="V271" s="612"/>
      <c r="W271" s="612">
        <v>-63535.86</v>
      </c>
      <c r="X271" s="624">
        <v>65</v>
      </c>
      <c r="Y271" s="631">
        <v>1.5</v>
      </c>
      <c r="Z271" s="628">
        <f>VLOOKUP(A271,'[2]2022 toutes communes'!$B$9:$D$317,3,FALSE)</f>
        <v>26081</v>
      </c>
      <c r="AA271" s="617"/>
      <c r="AB271" s="618">
        <v>1659176</v>
      </c>
      <c r="AC271" s="547">
        <f>AB271/VPI!R271</f>
        <v>1.4388671434776164</v>
      </c>
      <c r="AD271" s="548">
        <f t="shared" si="18"/>
        <v>8004203</v>
      </c>
      <c r="AE271" s="547">
        <f>AD271/VPI!R271</f>
        <v>6.9413881989764601</v>
      </c>
      <c r="AF271" s="618">
        <v>9663379</v>
      </c>
      <c r="AG271" s="618">
        <v>7237279</v>
      </c>
      <c r="AH271" s="618">
        <v>370211</v>
      </c>
      <c r="AI271" s="637"/>
      <c r="AJ271" s="628">
        <v>20765</v>
      </c>
      <c r="AK271" s="547">
        <f>AJ271/VPI!R271</f>
        <v>1.8007779906599845E-2</v>
      </c>
      <c r="AL271" s="548">
        <f t="shared" si="20"/>
        <v>1872149</v>
      </c>
      <c r="AM271" s="547">
        <f>AL271/VPI!R271</f>
        <v>1.6235611434799417</v>
      </c>
      <c r="AN271" s="628">
        <v>1892914</v>
      </c>
      <c r="AO271" s="637"/>
      <c r="AP271" s="629">
        <v>12.958235649939589</v>
      </c>
      <c r="AR271" s="630">
        <v>1</v>
      </c>
    </row>
    <row r="272" spans="1:1476" x14ac:dyDescent="0.25">
      <c r="A272" s="608">
        <v>5889</v>
      </c>
      <c r="B272" s="609" t="s">
        <v>48</v>
      </c>
      <c r="C272" s="610">
        <v>27274786.09</v>
      </c>
      <c r="D272" s="610">
        <v>6964182.7699999996</v>
      </c>
      <c r="E272" s="610"/>
      <c r="F272" s="611"/>
      <c r="G272" s="610">
        <v>5600469.1500000004</v>
      </c>
      <c r="H272" s="610">
        <v>1040204.7</v>
      </c>
      <c r="I272" s="610">
        <v>678936.31</v>
      </c>
      <c r="J272" s="610">
        <v>445309.48</v>
      </c>
      <c r="K272" s="610">
        <v>279936.90000000002</v>
      </c>
      <c r="L272" s="610">
        <v>3162489.35</v>
      </c>
      <c r="M272" s="434">
        <f t="shared" si="16"/>
        <v>45446314.75</v>
      </c>
      <c r="N272" s="612">
        <v>244731.45</v>
      </c>
      <c r="O272" s="612">
        <v>1244313.55</v>
      </c>
      <c r="P272" s="612">
        <v>1887556.05</v>
      </c>
      <c r="Q272" s="612">
        <v>206090.58</v>
      </c>
      <c r="R272" s="612">
        <v>1285644.8999999999</v>
      </c>
      <c r="S272" s="610">
        <v>693984.51</v>
      </c>
      <c r="T272" s="543">
        <f t="shared" si="17"/>
        <v>51008635.789999992</v>
      </c>
      <c r="U272" s="575">
        <v>-330764.75</v>
      </c>
      <c r="V272" s="612"/>
      <c r="W272" s="612">
        <v>-101064.1</v>
      </c>
      <c r="X272" s="624">
        <v>64</v>
      </c>
      <c r="Y272" s="631">
        <v>1.2</v>
      </c>
      <c r="Z272" s="628">
        <f>VLOOKUP(A272,'[2]2022 toutes communes'!$B$9:$D$317,3,FALSE)</f>
        <v>12400</v>
      </c>
      <c r="AA272" s="617"/>
      <c r="AB272" s="618">
        <v>697752</v>
      </c>
      <c r="AC272" s="547">
        <f>AB272/VPI!R272</f>
        <v>0.98388649379025894</v>
      </c>
      <c r="AD272" s="548">
        <f t="shared" si="18"/>
        <v>2341132</v>
      </c>
      <c r="AE272" s="547">
        <f>AD272/VPI!R272</f>
        <v>3.3011845970777243</v>
      </c>
      <c r="AF272" s="618">
        <v>3038884</v>
      </c>
      <c r="AG272" s="618">
        <v>3652360</v>
      </c>
      <c r="AH272" s="618">
        <v>423</v>
      </c>
      <c r="AI272" s="637"/>
      <c r="AJ272" s="628">
        <v>-523</v>
      </c>
      <c r="AK272" s="547">
        <f>AJ272/VPI!R272</f>
        <v>-7.3747210506355473E-4</v>
      </c>
      <c r="AL272" s="548">
        <f t="shared" si="20"/>
        <v>59605</v>
      </c>
      <c r="AM272" s="547">
        <f>AL272/VPI!R272</f>
        <v>8.4047848608629405E-2</v>
      </c>
      <c r="AN272" s="628">
        <v>59082</v>
      </c>
      <c r="AO272" s="637"/>
      <c r="AP272" s="629">
        <v>24.265636382822109</v>
      </c>
      <c r="AR272" s="630">
        <v>1</v>
      </c>
    </row>
    <row r="273" spans="1:1476" x14ac:dyDescent="0.25">
      <c r="A273" s="608">
        <v>5890</v>
      </c>
      <c r="B273" s="609" t="s">
        <v>49</v>
      </c>
      <c r="C273" s="610">
        <v>36457612.399999999</v>
      </c>
      <c r="D273" s="610">
        <v>5115426.16</v>
      </c>
      <c r="E273" s="610"/>
      <c r="F273" s="611"/>
      <c r="G273" s="610">
        <v>16216362.050000001</v>
      </c>
      <c r="H273" s="610">
        <v>1914528.75</v>
      </c>
      <c r="I273" s="610">
        <v>919618.72</v>
      </c>
      <c r="J273" s="610">
        <v>3661901.96</v>
      </c>
      <c r="K273" s="610">
        <v>793893.9</v>
      </c>
      <c r="L273" s="610">
        <v>5950803.0199999996</v>
      </c>
      <c r="M273" s="434">
        <f t="shared" si="16"/>
        <v>71030146.959999993</v>
      </c>
      <c r="N273" s="612">
        <v>859057.1</v>
      </c>
      <c r="O273" s="612">
        <v>3802005.7</v>
      </c>
      <c r="P273" s="612">
        <v>1772932.4</v>
      </c>
      <c r="Q273" s="612">
        <v>259229.85</v>
      </c>
      <c r="R273" s="612">
        <v>926077.3</v>
      </c>
      <c r="S273" s="610">
        <v>1894771.17</v>
      </c>
      <c r="T273" s="543">
        <f t="shared" si="17"/>
        <v>80544220.479999989</v>
      </c>
      <c r="U273" s="575">
        <v>-754239.37</v>
      </c>
      <c r="V273" s="612"/>
      <c r="W273" s="612">
        <v>-37273.660000000003</v>
      </c>
      <c r="X273" s="624">
        <v>74.5</v>
      </c>
      <c r="Y273" s="631">
        <v>1.5</v>
      </c>
      <c r="Z273" s="628">
        <f>VLOOKUP(A273,'[2]2022 toutes communes'!$B$9:$D$317,3,FALSE)</f>
        <v>19743</v>
      </c>
      <c r="AA273" s="617"/>
      <c r="AB273" s="618">
        <v>1287373</v>
      </c>
      <c r="AC273" s="547">
        <f>AB273/VPI!R273</f>
        <v>1.362173049799118</v>
      </c>
      <c r="AD273" s="548">
        <f t="shared" si="18"/>
        <v>5168182</v>
      </c>
      <c r="AE273" s="547">
        <f>AD273/VPI!R273</f>
        <v>5.4684681416006899</v>
      </c>
      <c r="AF273" s="618">
        <v>6455555</v>
      </c>
      <c r="AG273" s="618">
        <v>5892013</v>
      </c>
      <c r="AH273" s="618">
        <v>121042</v>
      </c>
      <c r="AI273" s="637"/>
      <c r="AJ273" s="628">
        <v>0</v>
      </c>
      <c r="AK273" s="547">
        <f>AJ273/VPI!R273</f>
        <v>0</v>
      </c>
      <c r="AL273" s="548">
        <f t="shared" si="20"/>
        <v>100000</v>
      </c>
      <c r="AM273" s="547">
        <f>AL273/VPI!R273</f>
        <v>0.10581028573685466</v>
      </c>
      <c r="AN273" s="628">
        <v>100000</v>
      </c>
      <c r="AO273" s="637"/>
      <c r="AP273" s="629">
        <v>15.928494566429267</v>
      </c>
      <c r="AR273" s="630">
        <v>1</v>
      </c>
    </row>
    <row r="274" spans="1:1476" x14ac:dyDescent="0.25">
      <c r="A274" s="608">
        <v>5891</v>
      </c>
      <c r="B274" s="609" t="s">
        <v>50</v>
      </c>
      <c r="C274" s="610">
        <v>1900244.81</v>
      </c>
      <c r="D274" s="610">
        <v>536734.68999999994</v>
      </c>
      <c r="E274" s="610"/>
      <c r="F274" s="611"/>
      <c r="G274" s="610">
        <v>25416.15</v>
      </c>
      <c r="H274" s="610">
        <v>22093.25</v>
      </c>
      <c r="I274" s="610"/>
      <c r="J274" s="610">
        <v>88527.94</v>
      </c>
      <c r="K274" s="610">
        <v>15304.85</v>
      </c>
      <c r="L274" s="610">
        <v>449673.4</v>
      </c>
      <c r="M274" s="434">
        <f t="shared" si="16"/>
        <v>3037995.09</v>
      </c>
      <c r="N274" s="612">
        <v>172</v>
      </c>
      <c r="O274" s="612">
        <v>266056.59999999998</v>
      </c>
      <c r="P274" s="612">
        <v>179907.20000000001</v>
      </c>
      <c r="Q274" s="612">
        <v>26436.43</v>
      </c>
      <c r="R274" s="612">
        <v>150009.85</v>
      </c>
      <c r="S274" s="610">
        <v>4964.9799999999996</v>
      </c>
      <c r="T274" s="543">
        <f t="shared" si="17"/>
        <v>3665542.1500000004</v>
      </c>
      <c r="U274" s="575">
        <v>-60757.16</v>
      </c>
      <c r="V274" s="612"/>
      <c r="W274" s="612">
        <v>-1372.73</v>
      </c>
      <c r="X274" s="624">
        <v>69.5</v>
      </c>
      <c r="Y274" s="631">
        <v>1.5</v>
      </c>
      <c r="Z274" s="628">
        <f>VLOOKUP(A274,'[2]2022 toutes communes'!$B$9:$D$317,3,FALSE)</f>
        <v>970</v>
      </c>
      <c r="AA274" s="617"/>
      <c r="AB274" s="618">
        <v>0</v>
      </c>
      <c r="AC274" s="547">
        <f>AB274/VPI!R274</f>
        <v>0</v>
      </c>
      <c r="AD274" s="548">
        <f t="shared" si="18"/>
        <v>333428</v>
      </c>
      <c r="AE274" s="547">
        <f>AD274/VPI!R274</f>
        <v>8.1099758114510223</v>
      </c>
      <c r="AF274" s="618">
        <v>333428</v>
      </c>
      <c r="AG274" s="618">
        <v>490711</v>
      </c>
      <c r="AH274" s="618">
        <v>30000</v>
      </c>
      <c r="AI274" s="637"/>
      <c r="AJ274" s="628">
        <v>21781</v>
      </c>
      <c r="AK274" s="547">
        <f>AJ274/VPI!R274</f>
        <v>0.52977969201511177</v>
      </c>
      <c r="AL274" s="548">
        <f t="shared" si="20"/>
        <v>427856</v>
      </c>
      <c r="AM274" s="547">
        <f>AL274/VPI!R274</f>
        <v>10.406749915376599</v>
      </c>
      <c r="AN274" s="628">
        <v>449637</v>
      </c>
      <c r="AO274" s="637"/>
      <c r="AP274" s="629">
        <v>24.391996183670738</v>
      </c>
      <c r="AR274" s="630">
        <v>1</v>
      </c>
    </row>
    <row r="275" spans="1:1476" x14ac:dyDescent="0.25">
      <c r="A275" s="608">
        <v>5892</v>
      </c>
      <c r="B275" s="609" t="s">
        <v>564</v>
      </c>
      <c r="C275" s="610">
        <v>37443598.399999999</v>
      </c>
      <c r="D275" s="610">
        <v>8417314.0600000005</v>
      </c>
      <c r="E275" s="610"/>
      <c r="F275" s="610"/>
      <c r="G275" s="610">
        <v>888608.7</v>
      </c>
      <c r="H275" s="610">
        <v>153415.70000000001</v>
      </c>
      <c r="I275" s="610">
        <v>883133.52</v>
      </c>
      <c r="J275" s="610">
        <v>206658.69</v>
      </c>
      <c r="K275" s="610">
        <v>134932.1</v>
      </c>
      <c r="L275" s="610">
        <v>3507406.75</v>
      </c>
      <c r="M275" s="434">
        <f t="shared" si="16"/>
        <v>51635067.920000009</v>
      </c>
      <c r="N275" s="610">
        <v>295689.34999999998</v>
      </c>
      <c r="O275" s="610">
        <v>2405488.7000000002</v>
      </c>
      <c r="P275" s="610">
        <v>2373599.7999999998</v>
      </c>
      <c r="Q275" s="610">
        <v>40891.57</v>
      </c>
      <c r="R275" s="610">
        <v>1884214.8</v>
      </c>
      <c r="S275" s="610">
        <v>108896.9</v>
      </c>
      <c r="T275" s="543">
        <f t="shared" si="17"/>
        <v>58743849.040000007</v>
      </c>
      <c r="U275" s="610">
        <v>-250192.7</v>
      </c>
      <c r="V275" s="610"/>
      <c r="W275" s="610">
        <v>-177839.7</v>
      </c>
      <c r="X275" s="610">
        <v>68.5</v>
      </c>
      <c r="Y275" s="633">
        <v>1</v>
      </c>
      <c r="Z275" s="628">
        <f>VLOOKUP(A275,'[2]2022 toutes communes'!$B$9:$D$317,3,FALSE)</f>
        <v>12123</v>
      </c>
      <c r="AA275" s="634"/>
      <c r="AB275" s="635">
        <v>971430</v>
      </c>
      <c r="AC275" s="547">
        <f>AB275/VPI!R275</f>
        <v>1.2956984063686841</v>
      </c>
      <c r="AD275" s="548">
        <f t="shared" si="18"/>
        <v>3977172</v>
      </c>
      <c r="AE275" s="547">
        <f>AD275/VPI!R275</f>
        <v>5.3047727805957736</v>
      </c>
      <c r="AF275" s="635">
        <v>4948602</v>
      </c>
      <c r="AG275" s="635">
        <v>2500978</v>
      </c>
      <c r="AH275" s="635">
        <v>738253</v>
      </c>
      <c r="AI275" s="634"/>
      <c r="AJ275" s="635">
        <v>58826</v>
      </c>
      <c r="AK275" s="547">
        <f>AJ275/VPI!R275</f>
        <v>7.8462425962801452E-2</v>
      </c>
      <c r="AL275" s="548">
        <f t="shared" si="20"/>
        <v>1238246</v>
      </c>
      <c r="AM275" s="547">
        <f>AL275/VPI!R275</f>
        <v>1.6515789803613206</v>
      </c>
      <c r="AN275" s="635">
        <v>1297072</v>
      </c>
      <c r="AO275" s="634"/>
      <c r="AP275" s="629">
        <v>26.67</v>
      </c>
      <c r="AQ275" s="610"/>
      <c r="AR275" s="630">
        <v>1</v>
      </c>
    </row>
    <row r="276" spans="1:1476" x14ac:dyDescent="0.25">
      <c r="A276" s="608">
        <v>5902</v>
      </c>
      <c r="B276" s="609" t="s">
        <v>51</v>
      </c>
      <c r="C276" s="610">
        <v>676388.28</v>
      </c>
      <c r="D276" s="610">
        <v>63329.45</v>
      </c>
      <c r="E276" s="610"/>
      <c r="F276" s="611"/>
      <c r="G276" s="610">
        <v>24256.35</v>
      </c>
      <c r="H276" s="610">
        <v>212.5</v>
      </c>
      <c r="I276" s="610"/>
      <c r="J276" s="610">
        <v>-266.57</v>
      </c>
      <c r="K276" s="610"/>
      <c r="L276" s="610">
        <v>69778.5</v>
      </c>
      <c r="M276" s="434">
        <f t="shared" si="16"/>
        <v>833698.51</v>
      </c>
      <c r="N276" s="612">
        <v>0</v>
      </c>
      <c r="O276" s="612"/>
      <c r="P276" s="612">
        <v>39280.25</v>
      </c>
      <c r="Q276" s="612"/>
      <c r="R276" s="612">
        <v>42871.05</v>
      </c>
      <c r="S276" s="610">
        <v>2557.12</v>
      </c>
      <c r="T276" s="543">
        <f t="shared" si="17"/>
        <v>918406.93</v>
      </c>
      <c r="U276" s="575">
        <v>-410.43</v>
      </c>
      <c r="V276" s="612">
        <v>-1527.65</v>
      </c>
      <c r="W276" s="612">
        <v>-56.85</v>
      </c>
      <c r="X276" s="624">
        <v>70</v>
      </c>
      <c r="Y276" s="631">
        <v>1</v>
      </c>
      <c r="Z276" s="628">
        <f>VLOOKUP(A276,'[2]2022 toutes communes'!$B$9:$D$317,3,FALSE)</f>
        <v>434</v>
      </c>
      <c r="AA276" s="617"/>
      <c r="AB276" s="618">
        <v>0</v>
      </c>
      <c r="AC276" s="547">
        <f>AB276/VPI!R276</f>
        <v>0</v>
      </c>
      <c r="AD276" s="548">
        <f t="shared" si="18"/>
        <v>-6085</v>
      </c>
      <c r="AE276" s="547">
        <f>AD276/VPI!R276</f>
        <v>-0.51057181526110484</v>
      </c>
      <c r="AF276" s="618">
        <v>-6085</v>
      </c>
      <c r="AG276" s="618">
        <v>19832</v>
      </c>
      <c r="AH276" s="618">
        <v>57139</v>
      </c>
      <c r="AI276" s="637"/>
      <c r="AJ276" s="628">
        <v>0</v>
      </c>
      <c r="AK276" s="547">
        <f>AJ276/VPI!R276</f>
        <v>0</v>
      </c>
      <c r="AL276" s="548">
        <f t="shared" si="20"/>
        <v>20377</v>
      </c>
      <c r="AM276" s="547">
        <f>AL276/VPI!R276</f>
        <v>1.7097653047782306</v>
      </c>
      <c r="AN276" s="628">
        <v>20377</v>
      </c>
      <c r="AO276" s="637"/>
      <c r="AP276" s="629">
        <v>13.691373647738539</v>
      </c>
      <c r="AR276" s="630">
        <v>0</v>
      </c>
    </row>
    <row r="277" spans="1:1476" x14ac:dyDescent="0.25">
      <c r="A277" s="608">
        <v>5903</v>
      </c>
      <c r="B277" s="609" t="s">
        <v>52</v>
      </c>
      <c r="C277" s="610">
        <v>363428.01</v>
      </c>
      <c r="D277" s="610">
        <v>46941.18</v>
      </c>
      <c r="E277" s="610"/>
      <c r="F277" s="611"/>
      <c r="G277" s="610">
        <v>5314.45</v>
      </c>
      <c r="H277" s="610">
        <v>-152.25</v>
      </c>
      <c r="I277" s="610"/>
      <c r="J277" s="610">
        <v>-219.75</v>
      </c>
      <c r="K277" s="610"/>
      <c r="L277" s="610">
        <v>27631.65</v>
      </c>
      <c r="M277" s="434">
        <f t="shared" si="16"/>
        <v>442943.29000000004</v>
      </c>
      <c r="N277" s="612">
        <v>29031.05</v>
      </c>
      <c r="O277" s="612">
        <v>1056.4000000000001</v>
      </c>
      <c r="P277" s="612">
        <v>13200</v>
      </c>
      <c r="Q277" s="612">
        <v>195.53</v>
      </c>
      <c r="R277" s="612">
        <v>7854.3</v>
      </c>
      <c r="S277" s="610">
        <v>539.48</v>
      </c>
      <c r="T277" s="543">
        <f t="shared" si="17"/>
        <v>494820.05000000005</v>
      </c>
      <c r="U277" s="575">
        <v>-3689.38</v>
      </c>
      <c r="V277" s="612"/>
      <c r="W277" s="612">
        <v>0</v>
      </c>
      <c r="X277" s="624">
        <v>72</v>
      </c>
      <c r="Y277" s="631">
        <v>0.7</v>
      </c>
      <c r="Z277" s="628">
        <f>VLOOKUP(A277,'[2]2022 toutes communes'!$B$9:$D$317,3,FALSE)</f>
        <v>247</v>
      </c>
      <c r="AA277" s="617"/>
      <c r="AB277" s="618">
        <v>141333</v>
      </c>
      <c r="AC277" s="547">
        <f>AB277/VPI!R277</f>
        <v>22.521639164251589</v>
      </c>
      <c r="AD277" s="548">
        <f t="shared" si="18"/>
        <v>47118</v>
      </c>
      <c r="AE277" s="547">
        <f>AD277/VPI!R277</f>
        <v>7.5083285159248465</v>
      </c>
      <c r="AF277" s="618">
        <v>188451</v>
      </c>
      <c r="AG277" s="618">
        <v>11183</v>
      </c>
      <c r="AH277" s="618">
        <v>20606</v>
      </c>
      <c r="AI277" s="637"/>
      <c r="AJ277" s="628">
        <v>0</v>
      </c>
      <c r="AK277" s="547">
        <f>AJ277/VPI!R277</f>
        <v>0</v>
      </c>
      <c r="AL277" s="548">
        <f t="shared" si="20"/>
        <v>27357</v>
      </c>
      <c r="AM277" s="547">
        <f>AL277/VPI!R277</f>
        <v>4.3593816208276248</v>
      </c>
      <c r="AN277" s="628">
        <v>27357</v>
      </c>
      <c r="AO277" s="637"/>
      <c r="AP277" s="629">
        <v>8.0468215659746409</v>
      </c>
      <c r="AR277" s="630">
        <v>0</v>
      </c>
    </row>
    <row r="278" spans="1:1476" x14ac:dyDescent="0.25">
      <c r="A278" s="608">
        <v>5904</v>
      </c>
      <c r="B278" s="609" t="s">
        <v>53</v>
      </c>
      <c r="C278" s="610">
        <v>937768.34</v>
      </c>
      <c r="D278" s="610">
        <v>168419.22</v>
      </c>
      <c r="E278" s="610"/>
      <c r="F278" s="611"/>
      <c r="G278" s="610">
        <v>24818.85</v>
      </c>
      <c r="H278" s="610">
        <v>526.75</v>
      </c>
      <c r="I278" s="610"/>
      <c r="J278" s="610">
        <v>18399.05</v>
      </c>
      <c r="K278" s="610">
        <v>3596.65</v>
      </c>
      <c r="L278" s="610">
        <v>100815.9</v>
      </c>
      <c r="M278" s="434">
        <f t="shared" si="16"/>
        <v>1254344.76</v>
      </c>
      <c r="N278" s="612">
        <v>31054.2</v>
      </c>
      <c r="O278" s="612"/>
      <c r="P278" s="612">
        <v>59237.35</v>
      </c>
      <c r="Q278" s="612"/>
      <c r="R278" s="612">
        <v>63330.25</v>
      </c>
      <c r="S278" s="610">
        <v>2648.75</v>
      </c>
      <c r="T278" s="543">
        <f t="shared" si="17"/>
        <v>1410615.31</v>
      </c>
      <c r="U278" s="575">
        <v>-10101.14</v>
      </c>
      <c r="V278" s="612"/>
      <c r="W278" s="612">
        <v>-135.85</v>
      </c>
      <c r="X278" s="624">
        <v>66</v>
      </c>
      <c r="Y278" s="631">
        <v>1</v>
      </c>
      <c r="Z278" s="628">
        <f>VLOOKUP(A278,'[2]2022 toutes communes'!$B$9:$D$317,3,FALSE)</f>
        <v>567</v>
      </c>
      <c r="AA278" s="617"/>
      <c r="AB278" s="618">
        <v>0</v>
      </c>
      <c r="AC278" s="547">
        <f>AB278/VPI!R278</f>
        <v>0</v>
      </c>
      <c r="AD278" s="548">
        <f t="shared" si="18"/>
        <v>64919</v>
      </c>
      <c r="AE278" s="547">
        <f>AD278/VPI!R278</f>
        <v>3.4366405398866489</v>
      </c>
      <c r="AF278" s="618">
        <v>64919</v>
      </c>
      <c r="AG278" s="618">
        <v>26809</v>
      </c>
      <c r="AH278" s="618">
        <v>15499</v>
      </c>
      <c r="AI278" s="637"/>
      <c r="AJ278" s="628">
        <v>0</v>
      </c>
      <c r="AK278" s="547">
        <f>AJ278/VPI!R278</f>
        <v>0</v>
      </c>
      <c r="AL278" s="548">
        <f t="shared" si="20"/>
        <v>1940</v>
      </c>
      <c r="AM278" s="547">
        <f>AL278/VPI!R278</f>
        <v>0.10269848037369797</v>
      </c>
      <c r="AN278" s="628">
        <v>1940</v>
      </c>
      <c r="AO278" s="637"/>
      <c r="AP278" s="629">
        <v>23.798419643528607</v>
      </c>
      <c r="AR278" s="630">
        <v>1</v>
      </c>
    </row>
    <row r="279" spans="1:1476" x14ac:dyDescent="0.25">
      <c r="A279" s="608">
        <v>5905</v>
      </c>
      <c r="B279" s="609" t="s">
        <v>54</v>
      </c>
      <c r="C279" s="610">
        <v>1091061.81</v>
      </c>
      <c r="D279" s="610">
        <v>146124.75</v>
      </c>
      <c r="E279" s="610"/>
      <c r="F279" s="611"/>
      <c r="G279" s="610">
        <v>125077.9</v>
      </c>
      <c r="H279" s="610">
        <v>-2545.25</v>
      </c>
      <c r="I279" s="610"/>
      <c r="J279" s="610">
        <v>25768.46</v>
      </c>
      <c r="K279" s="610">
        <v>3170.25</v>
      </c>
      <c r="L279" s="611">
        <v>109356.3</v>
      </c>
      <c r="M279" s="434">
        <f t="shared" si="16"/>
        <v>1498014.22</v>
      </c>
      <c r="N279" s="612">
        <v>173931</v>
      </c>
      <c r="O279" s="612">
        <v>34436.300000000003</v>
      </c>
      <c r="P279" s="612">
        <v>44931.35</v>
      </c>
      <c r="Q279" s="612">
        <v>747.02</v>
      </c>
      <c r="R279" s="612">
        <v>22751.9</v>
      </c>
      <c r="S279" s="610">
        <v>12805.29</v>
      </c>
      <c r="T279" s="543">
        <f t="shared" si="17"/>
        <v>1787617.08</v>
      </c>
      <c r="U279" s="575">
        <v>-4130.54</v>
      </c>
      <c r="V279" s="612"/>
      <c r="W279" s="612">
        <v>-43.55</v>
      </c>
      <c r="X279" s="624">
        <v>70</v>
      </c>
      <c r="Y279" s="631">
        <v>1</v>
      </c>
      <c r="Z279" s="628">
        <f>VLOOKUP(A279,'[2]2022 toutes communes'!$B$9:$D$317,3,FALSE)</f>
        <v>734</v>
      </c>
      <c r="AA279" s="617"/>
      <c r="AB279" s="618">
        <v>11312</v>
      </c>
      <c r="AC279" s="547">
        <f>AB279/VPI!R279</f>
        <v>0.52530447877262809</v>
      </c>
      <c r="AD279" s="548">
        <f t="shared" si="18"/>
        <v>160513</v>
      </c>
      <c r="AE279" s="547">
        <f>AD279/VPI!R279</f>
        <v>7.4538717999673665</v>
      </c>
      <c r="AF279" s="618">
        <v>171825</v>
      </c>
      <c r="AG279" s="618">
        <v>85064</v>
      </c>
      <c r="AH279" s="618">
        <v>25429</v>
      </c>
      <c r="AI279" s="637"/>
      <c r="AJ279" s="628">
        <v>0</v>
      </c>
      <c r="AK279" s="547">
        <f>AJ279/VPI!R279</f>
        <v>0</v>
      </c>
      <c r="AL279" s="548">
        <f t="shared" si="20"/>
        <v>-67192</v>
      </c>
      <c r="AM279" s="547">
        <f>AL279/VPI!R279</f>
        <v>-3.1202491635157732</v>
      </c>
      <c r="AN279" s="628">
        <v>-67192</v>
      </c>
      <c r="AO279" s="637"/>
      <c r="AP279" s="629">
        <v>17.668941625173851</v>
      </c>
      <c r="AR279" s="630">
        <v>0</v>
      </c>
    </row>
    <row r="280" spans="1:1476" s="632" customFormat="1" x14ac:dyDescent="0.25">
      <c r="A280" s="608">
        <v>5907</v>
      </c>
      <c r="B280" s="609" t="s">
        <v>55</v>
      </c>
      <c r="C280" s="610">
        <v>519816.79</v>
      </c>
      <c r="D280" s="610">
        <v>55200.03</v>
      </c>
      <c r="E280" s="610"/>
      <c r="F280" s="611">
        <v>1980</v>
      </c>
      <c r="G280" s="610">
        <v>1693.9</v>
      </c>
      <c r="H280" s="610">
        <v>83.65</v>
      </c>
      <c r="I280" s="610"/>
      <c r="J280" s="610">
        <v>-48.95</v>
      </c>
      <c r="K280" s="610">
        <v>520.70000000000005</v>
      </c>
      <c r="L280" s="610">
        <v>49846.2</v>
      </c>
      <c r="M280" s="434">
        <f t="shared" si="16"/>
        <v>629092.31999999995</v>
      </c>
      <c r="N280" s="612">
        <v>10275.1</v>
      </c>
      <c r="O280" s="612"/>
      <c r="P280" s="612">
        <v>39676.550000000003</v>
      </c>
      <c r="Q280" s="612">
        <v>5889.78</v>
      </c>
      <c r="R280" s="612">
        <v>22750</v>
      </c>
      <c r="S280" s="610">
        <v>185.76</v>
      </c>
      <c r="T280" s="543">
        <f t="shared" si="17"/>
        <v>707869.51</v>
      </c>
      <c r="U280" s="575">
        <v>-1157.4100000000001</v>
      </c>
      <c r="V280" s="612"/>
      <c r="W280" s="612">
        <v>0</v>
      </c>
      <c r="X280" s="624">
        <v>75</v>
      </c>
      <c r="Y280" s="631">
        <v>1</v>
      </c>
      <c r="Z280" s="628">
        <f>VLOOKUP(A280,'[2]2022 toutes communes'!$B$9:$D$317,3,FALSE)</f>
        <v>316</v>
      </c>
      <c r="AA280" s="617"/>
      <c r="AB280" s="618">
        <v>49733</v>
      </c>
      <c r="AC280" s="547">
        <f>AB280/VPI!R280</f>
        <v>5.8831443551127585</v>
      </c>
      <c r="AD280" s="548">
        <f t="shared" si="18"/>
        <v>29053</v>
      </c>
      <c r="AE280" s="547">
        <f>AD280/VPI!R280</f>
        <v>3.4368124373975224</v>
      </c>
      <c r="AF280" s="618">
        <v>78786</v>
      </c>
      <c r="AG280" s="618">
        <v>15531</v>
      </c>
      <c r="AH280" s="618">
        <v>30122</v>
      </c>
      <c r="AI280" s="637"/>
      <c r="AJ280" s="628">
        <v>0</v>
      </c>
      <c r="AK280" s="547">
        <f>AJ280/VPI!R280</f>
        <v>0</v>
      </c>
      <c r="AL280" s="548">
        <f t="shared" si="20"/>
        <v>12960</v>
      </c>
      <c r="AM280" s="547">
        <f>AL280/VPI!R280</f>
        <v>1.5330977588776336</v>
      </c>
      <c r="AN280" s="628">
        <v>12960</v>
      </c>
      <c r="AO280" s="637"/>
      <c r="AP280" s="629">
        <v>2.9418971883276925</v>
      </c>
      <c r="AQ280" s="575"/>
      <c r="AR280" s="630">
        <v>0</v>
      </c>
      <c r="AS280" s="575"/>
      <c r="AT280" s="575"/>
      <c r="AU280" s="575"/>
      <c r="AV280" s="575"/>
      <c r="AW280" s="575"/>
      <c r="AX280" s="575"/>
      <c r="AY280" s="575"/>
      <c r="AZ280" s="575"/>
      <c r="BA280" s="575"/>
      <c r="BB280" s="575"/>
      <c r="BC280" s="575"/>
      <c r="BD280" s="575"/>
      <c r="BE280" s="575"/>
      <c r="BF280" s="575"/>
      <c r="BG280" s="575"/>
      <c r="BH280" s="575"/>
      <c r="BI280" s="575"/>
      <c r="BJ280" s="575"/>
      <c r="BK280" s="575"/>
      <c r="BL280" s="575"/>
      <c r="BM280" s="575"/>
      <c r="BN280" s="575"/>
      <c r="BO280" s="575"/>
      <c r="BP280" s="575"/>
      <c r="BQ280" s="575"/>
      <c r="BR280" s="575"/>
      <c r="BS280" s="575"/>
      <c r="BT280" s="575"/>
      <c r="BU280" s="575"/>
      <c r="BV280" s="575"/>
      <c r="BW280" s="575"/>
      <c r="BX280" s="575"/>
      <c r="BY280" s="575"/>
      <c r="BZ280" s="575"/>
      <c r="CA280" s="575"/>
      <c r="CB280" s="575"/>
      <c r="CC280" s="575"/>
      <c r="CD280" s="575"/>
      <c r="CE280" s="575"/>
      <c r="CF280" s="575"/>
      <c r="CG280" s="575"/>
      <c r="CH280" s="575"/>
      <c r="CI280" s="575"/>
      <c r="CJ280" s="575"/>
      <c r="CK280" s="575"/>
      <c r="CL280" s="575"/>
      <c r="CM280" s="575"/>
      <c r="CN280" s="575"/>
      <c r="CO280" s="575"/>
      <c r="CP280" s="575"/>
      <c r="CQ280" s="575"/>
      <c r="CR280" s="575"/>
      <c r="CS280" s="575"/>
      <c r="CT280" s="575"/>
      <c r="CU280" s="575"/>
      <c r="CV280" s="575"/>
      <c r="CW280" s="575"/>
      <c r="CX280" s="575"/>
      <c r="CY280" s="575"/>
      <c r="CZ280" s="575"/>
      <c r="DA280" s="575"/>
      <c r="DB280" s="575"/>
      <c r="DC280" s="575"/>
      <c r="DD280" s="575"/>
      <c r="DE280" s="575"/>
      <c r="DF280" s="575"/>
      <c r="DG280" s="575"/>
      <c r="DH280" s="575"/>
      <c r="DI280" s="575"/>
      <c r="DJ280" s="575"/>
      <c r="DK280" s="575"/>
      <c r="DL280" s="575"/>
      <c r="DM280" s="575"/>
      <c r="DN280" s="575"/>
      <c r="DO280" s="575"/>
      <c r="DP280" s="575"/>
      <c r="DQ280" s="575"/>
      <c r="DR280" s="575"/>
      <c r="DS280" s="575"/>
      <c r="DT280" s="575"/>
      <c r="DU280" s="575"/>
      <c r="DV280" s="575"/>
      <c r="DW280" s="575"/>
      <c r="DX280" s="575"/>
      <c r="DY280" s="575"/>
      <c r="DZ280" s="575"/>
      <c r="EA280" s="575"/>
      <c r="EB280" s="575"/>
      <c r="EC280" s="575"/>
      <c r="ED280" s="575"/>
      <c r="EE280" s="575"/>
      <c r="EF280" s="575"/>
      <c r="EG280" s="575"/>
      <c r="EH280" s="575"/>
      <c r="EI280" s="575"/>
      <c r="EJ280" s="575"/>
      <c r="EK280" s="575"/>
      <c r="EL280" s="575"/>
      <c r="EM280" s="575"/>
      <c r="EN280" s="575"/>
      <c r="EO280" s="575"/>
      <c r="EP280" s="575"/>
      <c r="EQ280" s="575"/>
      <c r="ER280" s="575"/>
      <c r="ES280" s="575"/>
      <c r="ET280" s="575"/>
      <c r="EU280" s="575"/>
      <c r="EV280" s="575"/>
      <c r="EW280" s="575"/>
      <c r="EX280" s="575"/>
      <c r="EY280" s="575"/>
      <c r="EZ280" s="575"/>
      <c r="FA280" s="575"/>
      <c r="FB280" s="575"/>
      <c r="FC280" s="575"/>
      <c r="FD280" s="575"/>
      <c r="FE280" s="575"/>
      <c r="FF280" s="575"/>
      <c r="FG280" s="575"/>
      <c r="FH280" s="575"/>
      <c r="FI280" s="575"/>
      <c r="FJ280" s="575"/>
      <c r="FK280" s="575"/>
      <c r="FL280" s="575"/>
      <c r="FM280" s="575"/>
      <c r="FN280" s="575"/>
      <c r="FO280" s="575"/>
      <c r="FP280" s="575"/>
      <c r="FQ280" s="575"/>
      <c r="FR280" s="575"/>
      <c r="FS280" s="575"/>
      <c r="FT280" s="575"/>
      <c r="FU280" s="575"/>
      <c r="FV280" s="575"/>
      <c r="FW280" s="575"/>
      <c r="FX280" s="575"/>
      <c r="FY280" s="575"/>
      <c r="FZ280" s="575"/>
      <c r="GA280" s="575"/>
      <c r="GB280" s="575"/>
      <c r="GC280" s="575"/>
      <c r="GD280" s="575"/>
      <c r="GE280" s="575"/>
      <c r="GF280" s="575"/>
      <c r="GG280" s="575"/>
      <c r="GH280" s="575"/>
      <c r="GI280" s="575"/>
      <c r="GJ280" s="575"/>
      <c r="GK280" s="575"/>
      <c r="GL280" s="575"/>
      <c r="GM280" s="575"/>
      <c r="GN280" s="575"/>
      <c r="GO280" s="575"/>
      <c r="GP280" s="575"/>
      <c r="GQ280" s="575"/>
      <c r="GR280" s="575"/>
      <c r="GS280" s="575"/>
      <c r="GT280" s="575"/>
      <c r="GU280" s="575"/>
      <c r="GV280" s="575"/>
      <c r="GW280" s="575"/>
      <c r="GX280" s="575"/>
      <c r="GY280" s="575"/>
      <c r="GZ280" s="575"/>
      <c r="HA280" s="575"/>
      <c r="HB280" s="575"/>
      <c r="HC280" s="575"/>
      <c r="HD280" s="575"/>
      <c r="HE280" s="575"/>
      <c r="HF280" s="575"/>
      <c r="HG280" s="575"/>
      <c r="HH280" s="575"/>
      <c r="HI280" s="575"/>
      <c r="HJ280" s="575"/>
      <c r="HK280" s="575"/>
      <c r="HL280" s="575"/>
      <c r="HM280" s="575"/>
      <c r="HN280" s="575"/>
      <c r="HO280" s="575"/>
      <c r="HP280" s="575"/>
      <c r="HQ280" s="575"/>
      <c r="HR280" s="575"/>
      <c r="HS280" s="575"/>
      <c r="HT280" s="575"/>
      <c r="HU280" s="575"/>
      <c r="HV280" s="575"/>
      <c r="HW280" s="575"/>
      <c r="HX280" s="575"/>
      <c r="HY280" s="575"/>
      <c r="HZ280" s="575"/>
      <c r="IA280" s="575"/>
      <c r="IB280" s="575"/>
      <c r="IC280" s="575"/>
      <c r="ID280" s="575"/>
      <c r="IE280" s="575"/>
      <c r="IF280" s="575"/>
      <c r="IG280" s="575"/>
      <c r="IH280" s="575"/>
      <c r="II280" s="575"/>
      <c r="IJ280" s="575"/>
      <c r="IK280" s="575"/>
      <c r="IL280" s="575"/>
      <c r="IM280" s="575"/>
      <c r="IN280" s="575"/>
      <c r="IO280" s="575"/>
      <c r="IP280" s="575"/>
      <c r="IQ280" s="575"/>
      <c r="IR280" s="575"/>
      <c r="IS280" s="575"/>
      <c r="IT280" s="575"/>
      <c r="IU280" s="575"/>
      <c r="IV280" s="575"/>
      <c r="IW280" s="575"/>
      <c r="IX280" s="575"/>
      <c r="IY280" s="575"/>
      <c r="IZ280" s="575"/>
      <c r="JA280" s="575"/>
      <c r="JB280" s="575"/>
      <c r="JC280" s="575"/>
      <c r="JD280" s="575"/>
      <c r="JE280" s="575"/>
      <c r="JF280" s="575"/>
      <c r="JG280" s="575"/>
      <c r="JH280" s="575"/>
      <c r="JI280" s="575"/>
      <c r="JJ280" s="575"/>
      <c r="JK280" s="575"/>
      <c r="JL280" s="575"/>
      <c r="JM280" s="575"/>
      <c r="JN280" s="575"/>
      <c r="JO280" s="575"/>
      <c r="JP280" s="575"/>
      <c r="JQ280" s="575"/>
      <c r="JR280" s="575"/>
      <c r="JS280" s="575"/>
      <c r="JT280" s="575"/>
      <c r="JU280" s="575"/>
      <c r="JV280" s="575"/>
      <c r="JW280" s="575"/>
      <c r="JX280" s="575"/>
      <c r="JY280" s="575"/>
      <c r="JZ280" s="575"/>
      <c r="KA280" s="575"/>
      <c r="KB280" s="575"/>
      <c r="KC280" s="575"/>
      <c r="KD280" s="575"/>
      <c r="KE280" s="575"/>
      <c r="KF280" s="575"/>
      <c r="KG280" s="575"/>
      <c r="KH280" s="575"/>
      <c r="KI280" s="575"/>
      <c r="KJ280" s="575"/>
      <c r="KK280" s="575"/>
      <c r="KL280" s="575"/>
      <c r="KM280" s="575"/>
      <c r="KN280" s="575"/>
      <c r="KO280" s="575"/>
      <c r="KP280" s="575"/>
      <c r="KQ280" s="575"/>
      <c r="KR280" s="575"/>
      <c r="KS280" s="575"/>
      <c r="KT280" s="575"/>
      <c r="KU280" s="575"/>
      <c r="KV280" s="575"/>
      <c r="KW280" s="575"/>
      <c r="KX280" s="575"/>
      <c r="KY280" s="575"/>
      <c r="KZ280" s="575"/>
      <c r="LA280" s="575"/>
      <c r="LB280" s="575"/>
      <c r="LC280" s="575"/>
      <c r="LD280" s="575"/>
      <c r="LE280" s="575"/>
      <c r="LF280" s="575"/>
      <c r="LG280" s="575"/>
      <c r="LH280" s="575"/>
      <c r="LI280" s="575"/>
      <c r="LJ280" s="575"/>
      <c r="LK280" s="575"/>
      <c r="LL280" s="575"/>
      <c r="LM280" s="575"/>
      <c r="LN280" s="575"/>
      <c r="LO280" s="575"/>
      <c r="LP280" s="575"/>
      <c r="LQ280" s="575"/>
      <c r="LR280" s="575"/>
      <c r="LS280" s="575"/>
      <c r="LT280" s="575"/>
      <c r="LU280" s="575"/>
      <c r="LV280" s="575"/>
      <c r="LW280" s="575"/>
      <c r="LX280" s="575"/>
      <c r="LY280" s="575"/>
      <c r="LZ280" s="575"/>
      <c r="MA280" s="575"/>
      <c r="MB280" s="575"/>
      <c r="MC280" s="575"/>
      <c r="MD280" s="575"/>
      <c r="ME280" s="575"/>
      <c r="MF280" s="575"/>
      <c r="MG280" s="575"/>
      <c r="MH280" s="575"/>
      <c r="MI280" s="575"/>
      <c r="MJ280" s="575"/>
      <c r="MK280" s="575"/>
      <c r="ML280" s="575"/>
      <c r="MM280" s="575"/>
      <c r="MN280" s="575"/>
      <c r="MO280" s="575"/>
      <c r="MP280" s="575"/>
      <c r="MQ280" s="575"/>
      <c r="MR280" s="575"/>
      <c r="MS280" s="575"/>
      <c r="MT280" s="575"/>
      <c r="MU280" s="575"/>
      <c r="MV280" s="575"/>
      <c r="MW280" s="575"/>
      <c r="MX280" s="575"/>
      <c r="MY280" s="575"/>
      <c r="MZ280" s="575"/>
      <c r="NA280" s="575"/>
      <c r="NB280" s="575"/>
      <c r="NC280" s="575"/>
      <c r="ND280" s="575"/>
      <c r="NE280" s="575"/>
      <c r="NF280" s="575"/>
      <c r="NG280" s="575"/>
      <c r="NH280" s="575"/>
      <c r="NI280" s="575"/>
      <c r="NJ280" s="575"/>
      <c r="NK280" s="575"/>
      <c r="NL280" s="575"/>
      <c r="NM280" s="575"/>
      <c r="NN280" s="575"/>
      <c r="NO280" s="575"/>
      <c r="NP280" s="575"/>
      <c r="NQ280" s="575"/>
      <c r="NR280" s="575"/>
      <c r="NS280" s="575"/>
      <c r="NT280" s="575"/>
      <c r="NU280" s="575"/>
      <c r="NV280" s="575"/>
      <c r="NW280" s="575"/>
      <c r="NX280" s="575"/>
      <c r="NY280" s="575"/>
      <c r="NZ280" s="575"/>
      <c r="OA280" s="575"/>
      <c r="OB280" s="575"/>
      <c r="OC280" s="575"/>
      <c r="OD280" s="575"/>
      <c r="OE280" s="575"/>
      <c r="OF280" s="575"/>
      <c r="OG280" s="575"/>
      <c r="OH280" s="575"/>
      <c r="OI280" s="575"/>
      <c r="OJ280" s="575"/>
      <c r="OK280" s="575"/>
      <c r="OL280" s="575"/>
      <c r="OM280" s="575"/>
      <c r="ON280" s="575"/>
      <c r="OO280" s="575"/>
      <c r="OP280" s="575"/>
      <c r="OQ280" s="575"/>
      <c r="OR280" s="575"/>
      <c r="OS280" s="575"/>
      <c r="OT280" s="575"/>
      <c r="OU280" s="575"/>
      <c r="OV280" s="575"/>
      <c r="OW280" s="575"/>
      <c r="OX280" s="575"/>
      <c r="OY280" s="575"/>
      <c r="OZ280" s="575"/>
      <c r="PA280" s="575"/>
      <c r="PB280" s="575"/>
      <c r="PC280" s="575"/>
      <c r="PD280" s="575"/>
      <c r="PE280" s="575"/>
      <c r="PF280" s="575"/>
      <c r="PG280" s="575"/>
      <c r="PH280" s="575"/>
      <c r="PI280" s="575"/>
      <c r="PJ280" s="575"/>
      <c r="PK280" s="575"/>
      <c r="PL280" s="575"/>
      <c r="PM280" s="575"/>
      <c r="PN280" s="575"/>
      <c r="PO280" s="575"/>
      <c r="PP280" s="575"/>
      <c r="PQ280" s="575"/>
      <c r="PR280" s="575"/>
      <c r="PS280" s="575"/>
      <c r="PT280" s="575"/>
      <c r="PU280" s="575"/>
      <c r="PV280" s="575"/>
      <c r="PW280" s="575"/>
      <c r="PX280" s="575"/>
      <c r="PY280" s="575"/>
      <c r="PZ280" s="575"/>
      <c r="QA280" s="575"/>
      <c r="QB280" s="575"/>
      <c r="QC280" s="575"/>
      <c r="QD280" s="575"/>
      <c r="QE280" s="575"/>
      <c r="QF280" s="575"/>
      <c r="QG280" s="575"/>
      <c r="QH280" s="575"/>
      <c r="QI280" s="575"/>
      <c r="QJ280" s="575"/>
      <c r="QK280" s="575"/>
      <c r="QL280" s="575"/>
      <c r="QM280" s="575"/>
      <c r="QN280" s="575"/>
      <c r="QO280" s="575"/>
      <c r="QP280" s="575"/>
      <c r="QQ280" s="575"/>
      <c r="QR280" s="575"/>
      <c r="QS280" s="575"/>
      <c r="QT280" s="575"/>
      <c r="QU280" s="575"/>
      <c r="QV280" s="575"/>
      <c r="QW280" s="575"/>
      <c r="QX280" s="575"/>
      <c r="QY280" s="575"/>
      <c r="QZ280" s="575"/>
      <c r="RA280" s="575"/>
      <c r="RB280" s="575"/>
      <c r="RC280" s="575"/>
      <c r="RD280" s="575"/>
      <c r="RE280" s="575"/>
      <c r="RF280" s="575"/>
      <c r="RG280" s="575"/>
      <c r="RH280" s="575"/>
      <c r="RI280" s="575"/>
      <c r="RJ280" s="575"/>
      <c r="RK280" s="575"/>
      <c r="RL280" s="575"/>
      <c r="RM280" s="575"/>
      <c r="RN280" s="575"/>
      <c r="RO280" s="575"/>
      <c r="RP280" s="575"/>
      <c r="RQ280" s="575"/>
      <c r="RR280" s="575"/>
      <c r="RS280" s="575"/>
      <c r="RT280" s="575"/>
      <c r="RU280" s="575"/>
      <c r="RV280" s="575"/>
      <c r="RW280" s="575"/>
      <c r="RX280" s="575"/>
      <c r="RY280" s="575"/>
      <c r="RZ280" s="575"/>
      <c r="SA280" s="575"/>
      <c r="SB280" s="575"/>
      <c r="SC280" s="575"/>
      <c r="SD280" s="575"/>
      <c r="SE280" s="575"/>
      <c r="SF280" s="575"/>
      <c r="SG280" s="575"/>
      <c r="SH280" s="575"/>
      <c r="SI280" s="575"/>
      <c r="SJ280" s="575"/>
      <c r="SK280" s="575"/>
      <c r="SL280" s="575"/>
      <c r="SM280" s="575"/>
      <c r="SN280" s="575"/>
      <c r="SO280" s="575"/>
      <c r="SP280" s="575"/>
      <c r="SQ280" s="575"/>
      <c r="SR280" s="575"/>
      <c r="SS280" s="575"/>
      <c r="ST280" s="575"/>
      <c r="SU280" s="575"/>
      <c r="SV280" s="575"/>
      <c r="SW280" s="575"/>
      <c r="SX280" s="575"/>
      <c r="SY280" s="575"/>
      <c r="SZ280" s="575"/>
      <c r="TA280" s="575"/>
      <c r="TB280" s="575"/>
      <c r="TC280" s="575"/>
      <c r="TD280" s="575"/>
      <c r="TE280" s="575"/>
      <c r="TF280" s="575"/>
      <c r="TG280" s="575"/>
      <c r="TH280" s="575"/>
      <c r="TI280" s="575"/>
      <c r="TJ280" s="575"/>
      <c r="TK280" s="575"/>
      <c r="TL280" s="575"/>
      <c r="TM280" s="575"/>
      <c r="TN280" s="575"/>
      <c r="TO280" s="575"/>
      <c r="TP280" s="575"/>
      <c r="TQ280" s="575"/>
      <c r="TR280" s="575"/>
      <c r="TS280" s="575"/>
      <c r="TT280" s="575"/>
      <c r="TU280" s="575"/>
      <c r="TV280" s="575"/>
      <c r="TW280" s="575"/>
      <c r="TX280" s="575"/>
      <c r="TY280" s="575"/>
      <c r="TZ280" s="575"/>
      <c r="UA280" s="575"/>
      <c r="UB280" s="575"/>
      <c r="UC280" s="575"/>
      <c r="UD280" s="575"/>
      <c r="UE280" s="575"/>
      <c r="UF280" s="575"/>
      <c r="UG280" s="575"/>
      <c r="UH280" s="575"/>
      <c r="UI280" s="575"/>
      <c r="UJ280" s="575"/>
      <c r="UK280" s="575"/>
      <c r="UL280" s="575"/>
      <c r="UM280" s="575"/>
      <c r="UN280" s="575"/>
      <c r="UO280" s="575"/>
      <c r="UP280" s="575"/>
      <c r="UQ280" s="575"/>
      <c r="UR280" s="575"/>
      <c r="US280" s="575"/>
      <c r="UT280" s="575"/>
      <c r="UU280" s="575"/>
      <c r="UV280" s="575"/>
      <c r="UW280" s="575"/>
      <c r="UX280" s="575"/>
      <c r="UY280" s="575"/>
      <c r="UZ280" s="575"/>
      <c r="VA280" s="575"/>
      <c r="VB280" s="575"/>
      <c r="VC280" s="575"/>
      <c r="VD280" s="575"/>
      <c r="VE280" s="575"/>
      <c r="VF280" s="575"/>
      <c r="VG280" s="575"/>
      <c r="VH280" s="575"/>
      <c r="VI280" s="575"/>
      <c r="VJ280" s="575"/>
      <c r="VK280" s="575"/>
      <c r="VL280" s="575"/>
      <c r="VM280" s="575"/>
      <c r="VN280" s="575"/>
      <c r="VO280" s="575"/>
      <c r="VP280" s="575"/>
      <c r="VQ280" s="575"/>
      <c r="VR280" s="575"/>
      <c r="VS280" s="575"/>
      <c r="VT280" s="575"/>
      <c r="VU280" s="575"/>
      <c r="VV280" s="575"/>
      <c r="VW280" s="575"/>
      <c r="VX280" s="575"/>
      <c r="VY280" s="575"/>
      <c r="VZ280" s="575"/>
      <c r="WA280" s="575"/>
      <c r="WB280" s="575"/>
      <c r="WC280" s="575"/>
      <c r="WD280" s="575"/>
      <c r="WE280" s="575"/>
      <c r="WF280" s="575"/>
      <c r="WG280" s="575"/>
      <c r="WH280" s="575"/>
      <c r="WI280" s="575"/>
      <c r="WJ280" s="575"/>
      <c r="WK280" s="575"/>
      <c r="WL280" s="575"/>
      <c r="WM280" s="575"/>
      <c r="WN280" s="575"/>
      <c r="WO280" s="575"/>
      <c r="WP280" s="575"/>
      <c r="WQ280" s="575"/>
      <c r="WR280" s="575"/>
      <c r="WS280" s="575"/>
      <c r="WT280" s="575"/>
      <c r="WU280" s="575"/>
      <c r="WV280" s="575"/>
      <c r="WW280" s="575"/>
      <c r="WX280" s="575"/>
      <c r="WY280" s="575"/>
      <c r="WZ280" s="575"/>
      <c r="XA280" s="575"/>
      <c r="XB280" s="575"/>
      <c r="XC280" s="575"/>
      <c r="XD280" s="575"/>
      <c r="XE280" s="575"/>
      <c r="XF280" s="575"/>
      <c r="XG280" s="575"/>
      <c r="XH280" s="575"/>
      <c r="XI280" s="575"/>
      <c r="XJ280" s="575"/>
      <c r="XK280" s="575"/>
      <c r="XL280" s="575"/>
      <c r="XM280" s="575"/>
      <c r="XN280" s="575"/>
      <c r="XO280" s="575"/>
      <c r="XP280" s="575"/>
      <c r="XQ280" s="575"/>
      <c r="XR280" s="575"/>
      <c r="XS280" s="575"/>
      <c r="XT280" s="575"/>
      <c r="XU280" s="575"/>
      <c r="XV280" s="575"/>
      <c r="XW280" s="575"/>
      <c r="XX280" s="575"/>
      <c r="XY280" s="575"/>
      <c r="XZ280" s="575"/>
      <c r="YA280" s="575"/>
      <c r="YB280" s="575"/>
      <c r="YC280" s="575"/>
      <c r="YD280" s="575"/>
      <c r="YE280" s="575"/>
      <c r="YF280" s="575"/>
      <c r="YG280" s="575"/>
      <c r="YH280" s="575"/>
      <c r="YI280" s="575"/>
      <c r="YJ280" s="575"/>
      <c r="YK280" s="575"/>
      <c r="YL280" s="575"/>
      <c r="YM280" s="575"/>
      <c r="YN280" s="575"/>
      <c r="YO280" s="575"/>
      <c r="YP280" s="575"/>
      <c r="YQ280" s="575"/>
      <c r="YR280" s="575"/>
      <c r="YS280" s="575"/>
      <c r="YT280" s="575"/>
      <c r="YU280" s="575"/>
      <c r="YV280" s="575"/>
      <c r="YW280" s="575"/>
      <c r="YX280" s="575"/>
      <c r="YY280" s="575"/>
      <c r="YZ280" s="575"/>
      <c r="ZA280" s="575"/>
      <c r="ZB280" s="575"/>
      <c r="ZC280" s="575"/>
      <c r="ZD280" s="575"/>
      <c r="ZE280" s="575"/>
      <c r="ZF280" s="575"/>
      <c r="ZG280" s="575"/>
      <c r="ZH280" s="575"/>
      <c r="ZI280" s="575"/>
      <c r="ZJ280" s="575"/>
      <c r="ZK280" s="575"/>
      <c r="ZL280" s="575"/>
      <c r="ZM280" s="575"/>
      <c r="ZN280" s="575"/>
      <c r="ZO280" s="575"/>
      <c r="ZP280" s="575"/>
      <c r="ZQ280" s="575"/>
      <c r="ZR280" s="575"/>
      <c r="ZS280" s="575"/>
      <c r="ZT280" s="575"/>
      <c r="ZU280" s="575"/>
      <c r="ZV280" s="575"/>
      <c r="ZW280" s="575"/>
      <c r="ZX280" s="575"/>
      <c r="ZY280" s="575"/>
      <c r="ZZ280" s="575"/>
      <c r="AAA280" s="575"/>
      <c r="AAB280" s="575"/>
      <c r="AAC280" s="575"/>
      <c r="AAD280" s="575"/>
      <c r="AAE280" s="575"/>
      <c r="AAF280" s="575"/>
      <c r="AAG280" s="575"/>
      <c r="AAH280" s="575"/>
      <c r="AAI280" s="575"/>
      <c r="AAJ280" s="575"/>
      <c r="AAK280" s="575"/>
      <c r="AAL280" s="575"/>
      <c r="AAM280" s="575"/>
      <c r="AAN280" s="575"/>
      <c r="AAO280" s="575"/>
      <c r="AAP280" s="575"/>
      <c r="AAQ280" s="575"/>
      <c r="AAR280" s="575"/>
      <c r="AAS280" s="575"/>
      <c r="AAT280" s="575"/>
      <c r="AAU280" s="575"/>
      <c r="AAV280" s="575"/>
      <c r="AAW280" s="575"/>
      <c r="AAX280" s="575"/>
      <c r="AAY280" s="575"/>
      <c r="AAZ280" s="575"/>
      <c r="ABA280" s="575"/>
      <c r="ABB280" s="575"/>
      <c r="ABC280" s="575"/>
      <c r="ABD280" s="575"/>
      <c r="ABE280" s="575"/>
      <c r="ABF280" s="575"/>
      <c r="ABG280" s="575"/>
      <c r="ABH280" s="575"/>
      <c r="ABI280" s="575"/>
      <c r="ABJ280" s="575"/>
      <c r="ABK280" s="575"/>
      <c r="ABL280" s="575"/>
      <c r="ABM280" s="575"/>
      <c r="ABN280" s="575"/>
      <c r="ABO280" s="575"/>
      <c r="ABP280" s="575"/>
      <c r="ABQ280" s="575"/>
      <c r="ABR280" s="575"/>
      <c r="ABS280" s="575"/>
      <c r="ABT280" s="575"/>
      <c r="ABU280" s="575"/>
      <c r="ABV280" s="575"/>
      <c r="ABW280" s="575"/>
      <c r="ABX280" s="575"/>
      <c r="ABY280" s="575"/>
      <c r="ABZ280" s="575"/>
      <c r="ACA280" s="575"/>
      <c r="ACB280" s="575"/>
      <c r="ACC280" s="575"/>
      <c r="ACD280" s="575"/>
      <c r="ACE280" s="575"/>
      <c r="ACF280" s="575"/>
      <c r="ACG280" s="575"/>
      <c r="ACH280" s="575"/>
      <c r="ACI280" s="575"/>
      <c r="ACJ280" s="575"/>
      <c r="ACK280" s="575"/>
      <c r="ACL280" s="575"/>
      <c r="ACM280" s="575"/>
      <c r="ACN280" s="575"/>
      <c r="ACO280" s="575"/>
      <c r="ACP280" s="575"/>
      <c r="ACQ280" s="575"/>
      <c r="ACR280" s="575"/>
      <c r="ACS280" s="575"/>
      <c r="ACT280" s="575"/>
      <c r="ACU280" s="575"/>
      <c r="ACV280" s="575"/>
      <c r="ACW280" s="575"/>
      <c r="ACX280" s="575"/>
      <c r="ACY280" s="575"/>
      <c r="ACZ280" s="575"/>
      <c r="ADA280" s="575"/>
      <c r="ADB280" s="575"/>
      <c r="ADC280" s="575"/>
      <c r="ADD280" s="575"/>
      <c r="ADE280" s="575"/>
      <c r="ADF280" s="575"/>
      <c r="ADG280" s="575"/>
      <c r="ADH280" s="575"/>
      <c r="ADI280" s="575"/>
      <c r="ADJ280" s="575"/>
      <c r="ADK280" s="575"/>
      <c r="ADL280" s="575"/>
      <c r="ADM280" s="575"/>
      <c r="ADN280" s="575"/>
      <c r="ADO280" s="575"/>
      <c r="ADP280" s="575"/>
      <c r="ADQ280" s="575"/>
      <c r="ADR280" s="575"/>
      <c r="ADS280" s="575"/>
      <c r="ADT280" s="575"/>
      <c r="ADU280" s="575"/>
      <c r="ADV280" s="575"/>
      <c r="ADW280" s="575"/>
      <c r="ADX280" s="575"/>
      <c r="ADY280" s="575"/>
      <c r="ADZ280" s="575"/>
      <c r="AEA280" s="575"/>
      <c r="AEB280" s="575"/>
      <c r="AEC280" s="575"/>
      <c r="AED280" s="575"/>
      <c r="AEE280" s="575"/>
      <c r="AEF280" s="575"/>
      <c r="AEG280" s="575"/>
      <c r="AEH280" s="575"/>
      <c r="AEI280" s="575"/>
      <c r="AEJ280" s="575"/>
      <c r="AEK280" s="575"/>
      <c r="AEL280" s="575"/>
      <c r="AEM280" s="575"/>
      <c r="AEN280" s="575"/>
      <c r="AEO280" s="575"/>
      <c r="AEP280" s="575"/>
      <c r="AEQ280" s="575"/>
      <c r="AER280" s="575"/>
      <c r="AES280" s="575"/>
      <c r="AET280" s="575"/>
      <c r="AEU280" s="575"/>
      <c r="AEV280" s="575"/>
      <c r="AEW280" s="575"/>
      <c r="AEX280" s="575"/>
      <c r="AEY280" s="575"/>
      <c r="AEZ280" s="575"/>
      <c r="AFA280" s="575"/>
      <c r="AFB280" s="575"/>
      <c r="AFC280" s="575"/>
      <c r="AFD280" s="575"/>
      <c r="AFE280" s="575"/>
      <c r="AFF280" s="575"/>
      <c r="AFG280" s="575"/>
      <c r="AFH280" s="575"/>
      <c r="AFI280" s="575"/>
      <c r="AFJ280" s="575"/>
      <c r="AFK280" s="575"/>
      <c r="AFL280" s="575"/>
      <c r="AFM280" s="575"/>
      <c r="AFN280" s="575"/>
      <c r="AFO280" s="575"/>
      <c r="AFP280" s="575"/>
      <c r="AFQ280" s="575"/>
      <c r="AFR280" s="575"/>
      <c r="AFS280" s="575"/>
      <c r="AFT280" s="575"/>
      <c r="AFU280" s="575"/>
      <c r="AFV280" s="575"/>
      <c r="AFW280" s="575"/>
      <c r="AFX280" s="575"/>
      <c r="AFY280" s="575"/>
      <c r="AFZ280" s="575"/>
      <c r="AGA280" s="575"/>
      <c r="AGB280" s="575"/>
      <c r="AGC280" s="575"/>
      <c r="AGD280" s="575"/>
      <c r="AGE280" s="575"/>
      <c r="AGF280" s="575"/>
      <c r="AGG280" s="575"/>
      <c r="AGH280" s="575"/>
      <c r="AGI280" s="575"/>
      <c r="AGJ280" s="575"/>
      <c r="AGK280" s="575"/>
      <c r="AGL280" s="575"/>
      <c r="AGM280" s="575"/>
      <c r="AGN280" s="575"/>
      <c r="AGO280" s="575"/>
      <c r="AGP280" s="575"/>
      <c r="AGQ280" s="575"/>
      <c r="AGR280" s="575"/>
      <c r="AGS280" s="575"/>
      <c r="AGT280" s="575"/>
      <c r="AGU280" s="575"/>
      <c r="AGV280" s="575"/>
      <c r="AGW280" s="575"/>
      <c r="AGX280" s="575"/>
      <c r="AGY280" s="575"/>
      <c r="AGZ280" s="575"/>
      <c r="AHA280" s="575"/>
      <c r="AHB280" s="575"/>
      <c r="AHC280" s="575"/>
      <c r="AHD280" s="575"/>
      <c r="AHE280" s="575"/>
      <c r="AHF280" s="575"/>
      <c r="AHG280" s="575"/>
      <c r="AHH280" s="575"/>
      <c r="AHI280" s="575"/>
      <c r="AHJ280" s="575"/>
      <c r="AHK280" s="575"/>
      <c r="AHL280" s="575"/>
      <c r="AHM280" s="575"/>
      <c r="AHN280" s="575"/>
      <c r="AHO280" s="575"/>
      <c r="AHP280" s="575"/>
      <c r="AHQ280" s="575"/>
      <c r="AHR280" s="575"/>
      <c r="AHS280" s="575"/>
      <c r="AHT280" s="575"/>
      <c r="AHU280" s="575"/>
      <c r="AHV280" s="575"/>
      <c r="AHW280" s="575"/>
      <c r="AHX280" s="575"/>
      <c r="AHY280" s="575"/>
      <c r="AHZ280" s="575"/>
      <c r="AIA280" s="575"/>
      <c r="AIB280" s="575"/>
      <c r="AIC280" s="575"/>
      <c r="AID280" s="575"/>
      <c r="AIE280" s="575"/>
      <c r="AIF280" s="575"/>
      <c r="AIG280" s="575"/>
      <c r="AIH280" s="575"/>
      <c r="AII280" s="575"/>
      <c r="AIJ280" s="575"/>
      <c r="AIK280" s="575"/>
      <c r="AIL280" s="575"/>
      <c r="AIM280" s="575"/>
      <c r="AIN280" s="575"/>
      <c r="AIO280" s="575"/>
      <c r="AIP280" s="575"/>
      <c r="AIQ280" s="575"/>
      <c r="AIR280" s="575"/>
      <c r="AIS280" s="575"/>
      <c r="AIT280" s="575"/>
      <c r="AIU280" s="575"/>
      <c r="AIV280" s="575"/>
      <c r="AIW280" s="575"/>
      <c r="AIX280" s="575"/>
      <c r="AIY280" s="575"/>
      <c r="AIZ280" s="575"/>
      <c r="AJA280" s="575"/>
      <c r="AJB280" s="575"/>
      <c r="AJC280" s="575"/>
      <c r="AJD280" s="575"/>
      <c r="AJE280" s="575"/>
      <c r="AJF280" s="575"/>
      <c r="AJG280" s="575"/>
      <c r="AJH280" s="575"/>
      <c r="AJI280" s="575"/>
      <c r="AJJ280" s="575"/>
      <c r="AJK280" s="575"/>
      <c r="AJL280" s="575"/>
      <c r="AJM280" s="575"/>
      <c r="AJN280" s="575"/>
      <c r="AJO280" s="575"/>
      <c r="AJP280" s="575"/>
      <c r="AJQ280" s="575"/>
      <c r="AJR280" s="575"/>
      <c r="AJS280" s="575"/>
      <c r="AJT280" s="575"/>
      <c r="AJU280" s="575"/>
      <c r="AJV280" s="575"/>
      <c r="AJW280" s="575"/>
      <c r="AJX280" s="575"/>
      <c r="AJY280" s="575"/>
      <c r="AJZ280" s="575"/>
      <c r="AKA280" s="575"/>
      <c r="AKB280" s="575"/>
      <c r="AKC280" s="575"/>
      <c r="AKD280" s="575"/>
      <c r="AKE280" s="575"/>
      <c r="AKF280" s="575"/>
      <c r="AKG280" s="575"/>
      <c r="AKH280" s="575"/>
      <c r="AKI280" s="575"/>
      <c r="AKJ280" s="575"/>
      <c r="AKK280" s="575"/>
      <c r="AKL280" s="575"/>
      <c r="AKM280" s="575"/>
      <c r="AKN280" s="575"/>
      <c r="AKO280" s="575"/>
      <c r="AKP280" s="575"/>
      <c r="AKQ280" s="575"/>
      <c r="AKR280" s="575"/>
      <c r="AKS280" s="575"/>
      <c r="AKT280" s="575"/>
      <c r="AKU280" s="575"/>
      <c r="AKV280" s="575"/>
      <c r="AKW280" s="575"/>
      <c r="AKX280" s="575"/>
      <c r="AKY280" s="575"/>
      <c r="AKZ280" s="575"/>
      <c r="ALA280" s="575"/>
      <c r="ALB280" s="575"/>
      <c r="ALC280" s="575"/>
      <c r="ALD280" s="575"/>
      <c r="ALE280" s="575"/>
      <c r="ALF280" s="575"/>
      <c r="ALG280" s="575"/>
      <c r="ALH280" s="575"/>
      <c r="ALI280" s="575"/>
      <c r="ALJ280" s="575"/>
      <c r="ALK280" s="575"/>
      <c r="ALL280" s="575"/>
      <c r="ALM280" s="575"/>
      <c r="ALN280" s="575"/>
      <c r="ALO280" s="575"/>
      <c r="ALP280" s="575"/>
      <c r="ALQ280" s="575"/>
      <c r="ALR280" s="575"/>
      <c r="ALS280" s="575"/>
      <c r="ALT280" s="575"/>
      <c r="ALU280" s="575"/>
      <c r="ALV280" s="575"/>
      <c r="ALW280" s="575"/>
      <c r="ALX280" s="575"/>
      <c r="ALY280" s="575"/>
      <c r="ALZ280" s="575"/>
      <c r="AMA280" s="575"/>
      <c r="AMB280" s="575"/>
      <c r="AMC280" s="575"/>
      <c r="AMD280" s="575"/>
      <c r="AME280" s="575"/>
      <c r="AMF280" s="575"/>
      <c r="AMG280" s="575"/>
      <c r="AMH280" s="575"/>
      <c r="AMI280" s="575"/>
      <c r="AMJ280" s="575"/>
      <c r="AMK280" s="575"/>
      <c r="AML280" s="575"/>
      <c r="AMM280" s="575"/>
      <c r="AMN280" s="575"/>
      <c r="AMO280" s="575"/>
      <c r="AMP280" s="575"/>
      <c r="AMQ280" s="575"/>
      <c r="AMR280" s="575"/>
      <c r="AMS280" s="575"/>
      <c r="AMT280" s="575"/>
      <c r="AMU280" s="575"/>
      <c r="AMV280" s="575"/>
      <c r="AMW280" s="575"/>
      <c r="AMX280" s="575"/>
      <c r="AMY280" s="575"/>
      <c r="AMZ280" s="575"/>
      <c r="ANA280" s="575"/>
      <c r="ANB280" s="575"/>
      <c r="ANC280" s="575"/>
      <c r="AND280" s="575"/>
      <c r="ANE280" s="575"/>
      <c r="ANF280" s="575"/>
      <c r="ANG280" s="575"/>
      <c r="ANH280" s="575"/>
      <c r="ANI280" s="575"/>
      <c r="ANJ280" s="575"/>
      <c r="ANK280" s="575"/>
      <c r="ANL280" s="575"/>
      <c r="ANM280" s="575"/>
      <c r="ANN280" s="575"/>
      <c r="ANO280" s="575"/>
      <c r="ANP280" s="575"/>
      <c r="ANQ280" s="575"/>
      <c r="ANR280" s="575"/>
      <c r="ANS280" s="575"/>
      <c r="ANT280" s="575"/>
      <c r="ANU280" s="575"/>
      <c r="ANV280" s="575"/>
      <c r="ANW280" s="575"/>
      <c r="ANX280" s="575"/>
      <c r="ANY280" s="575"/>
      <c r="ANZ280" s="575"/>
      <c r="AOA280" s="575"/>
      <c r="AOB280" s="575"/>
      <c r="AOC280" s="575"/>
      <c r="AOD280" s="575"/>
      <c r="AOE280" s="575"/>
      <c r="AOF280" s="575"/>
      <c r="AOG280" s="575"/>
      <c r="AOH280" s="575"/>
      <c r="AOI280" s="575"/>
      <c r="AOJ280" s="575"/>
      <c r="AOK280" s="575"/>
      <c r="AOL280" s="575"/>
      <c r="AOM280" s="575"/>
      <c r="AON280" s="575"/>
      <c r="AOO280" s="575"/>
      <c r="AOP280" s="575"/>
      <c r="AOQ280" s="575"/>
      <c r="AOR280" s="575"/>
      <c r="AOS280" s="575"/>
      <c r="AOT280" s="575"/>
      <c r="AOU280" s="575"/>
      <c r="AOV280" s="575"/>
      <c r="AOW280" s="575"/>
      <c r="AOX280" s="575"/>
      <c r="AOY280" s="575"/>
      <c r="AOZ280" s="575"/>
      <c r="APA280" s="575"/>
      <c r="APB280" s="575"/>
      <c r="APC280" s="575"/>
      <c r="APD280" s="575"/>
      <c r="APE280" s="575"/>
      <c r="APF280" s="575"/>
      <c r="APG280" s="575"/>
      <c r="APH280" s="575"/>
      <c r="API280" s="575"/>
      <c r="APJ280" s="575"/>
      <c r="APK280" s="575"/>
      <c r="APL280" s="575"/>
      <c r="APM280" s="575"/>
      <c r="APN280" s="575"/>
      <c r="APO280" s="575"/>
      <c r="APP280" s="575"/>
      <c r="APQ280" s="575"/>
      <c r="APR280" s="575"/>
      <c r="APS280" s="575"/>
      <c r="APT280" s="575"/>
      <c r="APU280" s="575"/>
      <c r="APV280" s="575"/>
      <c r="APW280" s="575"/>
      <c r="APX280" s="575"/>
      <c r="APY280" s="575"/>
      <c r="APZ280" s="575"/>
      <c r="AQA280" s="575"/>
      <c r="AQB280" s="575"/>
      <c r="AQC280" s="575"/>
      <c r="AQD280" s="575"/>
      <c r="AQE280" s="575"/>
      <c r="AQF280" s="575"/>
      <c r="AQG280" s="575"/>
      <c r="AQH280" s="575"/>
      <c r="AQI280" s="575"/>
      <c r="AQJ280" s="575"/>
      <c r="AQK280" s="575"/>
      <c r="AQL280" s="575"/>
      <c r="AQM280" s="575"/>
      <c r="AQN280" s="575"/>
      <c r="AQO280" s="575"/>
      <c r="AQP280" s="575"/>
      <c r="AQQ280" s="575"/>
      <c r="AQR280" s="575"/>
      <c r="AQS280" s="575"/>
      <c r="AQT280" s="575"/>
      <c r="AQU280" s="575"/>
      <c r="AQV280" s="575"/>
      <c r="AQW280" s="575"/>
      <c r="AQX280" s="575"/>
      <c r="AQY280" s="575"/>
      <c r="AQZ280" s="575"/>
      <c r="ARA280" s="575"/>
      <c r="ARB280" s="575"/>
      <c r="ARC280" s="575"/>
      <c r="ARD280" s="575"/>
      <c r="ARE280" s="575"/>
      <c r="ARF280" s="575"/>
      <c r="ARG280" s="575"/>
      <c r="ARH280" s="575"/>
      <c r="ARI280" s="575"/>
      <c r="ARJ280" s="575"/>
      <c r="ARK280" s="575"/>
      <c r="ARL280" s="575"/>
      <c r="ARM280" s="575"/>
      <c r="ARN280" s="575"/>
      <c r="ARO280" s="575"/>
      <c r="ARP280" s="575"/>
      <c r="ARQ280" s="575"/>
      <c r="ARR280" s="575"/>
      <c r="ARS280" s="575"/>
      <c r="ART280" s="575"/>
      <c r="ARU280" s="575"/>
      <c r="ARV280" s="575"/>
      <c r="ARW280" s="575"/>
      <c r="ARX280" s="575"/>
      <c r="ARY280" s="575"/>
      <c r="ARZ280" s="575"/>
      <c r="ASA280" s="575"/>
      <c r="ASB280" s="575"/>
      <c r="ASC280" s="575"/>
      <c r="ASD280" s="575"/>
      <c r="ASE280" s="575"/>
      <c r="ASF280" s="575"/>
      <c r="ASG280" s="575"/>
      <c r="ASH280" s="575"/>
      <c r="ASI280" s="575"/>
      <c r="ASJ280" s="575"/>
      <c r="ASK280" s="575"/>
      <c r="ASL280" s="575"/>
      <c r="ASM280" s="575"/>
      <c r="ASN280" s="575"/>
      <c r="ASO280" s="575"/>
      <c r="ASP280" s="575"/>
      <c r="ASQ280" s="575"/>
      <c r="ASR280" s="575"/>
      <c r="ASS280" s="575"/>
      <c r="AST280" s="575"/>
      <c r="ASU280" s="575"/>
      <c r="ASV280" s="575"/>
      <c r="ASW280" s="575"/>
      <c r="ASX280" s="575"/>
      <c r="ASY280" s="575"/>
      <c r="ASZ280" s="575"/>
      <c r="ATA280" s="575"/>
      <c r="ATB280" s="575"/>
      <c r="ATC280" s="575"/>
      <c r="ATD280" s="575"/>
      <c r="ATE280" s="575"/>
      <c r="ATF280" s="575"/>
      <c r="ATG280" s="575"/>
      <c r="ATH280" s="575"/>
      <c r="ATI280" s="575"/>
      <c r="ATJ280" s="575"/>
      <c r="ATK280" s="575"/>
      <c r="ATL280" s="575"/>
      <c r="ATM280" s="575"/>
      <c r="ATN280" s="575"/>
      <c r="ATO280" s="575"/>
      <c r="ATP280" s="575"/>
      <c r="ATQ280" s="575"/>
      <c r="ATR280" s="575"/>
      <c r="ATS280" s="575"/>
      <c r="ATT280" s="575"/>
      <c r="ATU280" s="575"/>
      <c r="ATV280" s="575"/>
      <c r="ATW280" s="575"/>
      <c r="ATX280" s="575"/>
      <c r="ATY280" s="575"/>
      <c r="ATZ280" s="575"/>
      <c r="AUA280" s="575"/>
      <c r="AUB280" s="575"/>
      <c r="AUC280" s="575"/>
      <c r="AUD280" s="575"/>
      <c r="AUE280" s="575"/>
      <c r="AUF280" s="575"/>
      <c r="AUG280" s="575"/>
      <c r="AUH280" s="575"/>
      <c r="AUI280" s="575"/>
      <c r="AUJ280" s="575"/>
      <c r="AUK280" s="575"/>
      <c r="AUL280" s="575"/>
      <c r="AUM280" s="575"/>
      <c r="AUN280" s="575"/>
      <c r="AUO280" s="575"/>
      <c r="AUP280" s="575"/>
      <c r="AUQ280" s="575"/>
      <c r="AUR280" s="575"/>
      <c r="AUS280" s="575"/>
      <c r="AUT280" s="575"/>
      <c r="AUU280" s="575"/>
      <c r="AUV280" s="575"/>
      <c r="AUW280" s="575"/>
      <c r="AUX280" s="575"/>
      <c r="AUY280" s="575"/>
      <c r="AUZ280" s="575"/>
      <c r="AVA280" s="575"/>
      <c r="AVB280" s="575"/>
      <c r="AVC280" s="575"/>
      <c r="AVD280" s="575"/>
      <c r="AVE280" s="575"/>
      <c r="AVF280" s="575"/>
      <c r="AVG280" s="575"/>
      <c r="AVH280" s="575"/>
      <c r="AVI280" s="575"/>
      <c r="AVJ280" s="575"/>
      <c r="AVK280" s="575"/>
      <c r="AVL280" s="575"/>
      <c r="AVM280" s="575"/>
      <c r="AVN280" s="575"/>
      <c r="AVO280" s="575"/>
      <c r="AVP280" s="575"/>
      <c r="AVQ280" s="575"/>
      <c r="AVR280" s="575"/>
      <c r="AVS280" s="575"/>
      <c r="AVT280" s="575"/>
      <c r="AVU280" s="575"/>
      <c r="AVV280" s="575"/>
      <c r="AVW280" s="575"/>
      <c r="AVX280" s="575"/>
      <c r="AVY280" s="575"/>
      <c r="AVZ280" s="575"/>
      <c r="AWA280" s="575"/>
      <c r="AWB280" s="575"/>
      <c r="AWC280" s="575"/>
      <c r="AWD280" s="575"/>
      <c r="AWE280" s="575"/>
      <c r="AWF280" s="575"/>
      <c r="AWG280" s="575"/>
      <c r="AWH280" s="575"/>
      <c r="AWI280" s="575"/>
      <c r="AWJ280" s="575"/>
      <c r="AWK280" s="575"/>
      <c r="AWL280" s="575"/>
      <c r="AWM280" s="575"/>
      <c r="AWN280" s="575"/>
      <c r="AWO280" s="575"/>
      <c r="AWP280" s="575"/>
      <c r="AWQ280" s="575"/>
      <c r="AWR280" s="575"/>
      <c r="AWS280" s="575"/>
      <c r="AWT280" s="575"/>
      <c r="AWU280" s="575"/>
      <c r="AWV280" s="575"/>
      <c r="AWW280" s="575"/>
      <c r="AWX280" s="575"/>
      <c r="AWY280" s="575"/>
      <c r="AWZ280" s="575"/>
      <c r="AXA280" s="575"/>
      <c r="AXB280" s="575"/>
      <c r="AXC280" s="575"/>
      <c r="AXD280" s="575"/>
      <c r="AXE280" s="575"/>
      <c r="AXF280" s="575"/>
      <c r="AXG280" s="575"/>
      <c r="AXH280" s="575"/>
      <c r="AXI280" s="575"/>
      <c r="AXJ280" s="575"/>
      <c r="AXK280" s="575"/>
      <c r="AXL280" s="575"/>
      <c r="AXM280" s="575"/>
      <c r="AXN280" s="575"/>
      <c r="AXO280" s="575"/>
      <c r="AXP280" s="575"/>
      <c r="AXQ280" s="575"/>
      <c r="AXR280" s="575"/>
      <c r="AXS280" s="575"/>
      <c r="AXT280" s="575"/>
      <c r="AXU280" s="575"/>
      <c r="AXV280" s="575"/>
      <c r="AXW280" s="575"/>
      <c r="AXX280" s="575"/>
      <c r="AXY280" s="575"/>
      <c r="AXZ280" s="575"/>
      <c r="AYA280" s="575"/>
      <c r="AYB280" s="575"/>
      <c r="AYC280" s="575"/>
      <c r="AYD280" s="575"/>
      <c r="AYE280" s="575"/>
      <c r="AYF280" s="575"/>
      <c r="AYG280" s="575"/>
      <c r="AYH280" s="575"/>
      <c r="AYI280" s="575"/>
      <c r="AYJ280" s="575"/>
      <c r="AYK280" s="575"/>
      <c r="AYL280" s="575"/>
      <c r="AYM280" s="575"/>
      <c r="AYN280" s="575"/>
      <c r="AYO280" s="575"/>
      <c r="AYP280" s="575"/>
      <c r="AYQ280" s="575"/>
      <c r="AYR280" s="575"/>
      <c r="AYS280" s="575"/>
      <c r="AYT280" s="575"/>
      <c r="AYU280" s="575"/>
      <c r="AYV280" s="575"/>
      <c r="AYW280" s="575"/>
      <c r="AYX280" s="575"/>
      <c r="AYY280" s="575"/>
      <c r="AYZ280" s="575"/>
      <c r="AZA280" s="575"/>
      <c r="AZB280" s="575"/>
      <c r="AZC280" s="575"/>
      <c r="AZD280" s="575"/>
      <c r="AZE280" s="575"/>
      <c r="AZF280" s="575"/>
      <c r="AZG280" s="575"/>
      <c r="AZH280" s="575"/>
      <c r="AZI280" s="575"/>
      <c r="AZJ280" s="575"/>
      <c r="AZK280" s="575"/>
      <c r="AZL280" s="575"/>
      <c r="AZM280" s="575"/>
      <c r="AZN280" s="575"/>
      <c r="AZO280" s="575"/>
      <c r="AZP280" s="575"/>
      <c r="AZQ280" s="575"/>
      <c r="AZR280" s="575"/>
      <c r="AZS280" s="575"/>
      <c r="AZT280" s="575"/>
      <c r="AZU280" s="575"/>
      <c r="AZV280" s="575"/>
      <c r="AZW280" s="575"/>
      <c r="AZX280" s="575"/>
      <c r="AZY280" s="575"/>
      <c r="AZZ280" s="575"/>
      <c r="BAA280" s="575"/>
      <c r="BAB280" s="575"/>
      <c r="BAC280" s="575"/>
      <c r="BAD280" s="575"/>
      <c r="BAE280" s="575"/>
      <c r="BAF280" s="575"/>
      <c r="BAG280" s="575"/>
      <c r="BAH280" s="575"/>
      <c r="BAI280" s="575"/>
      <c r="BAJ280" s="575"/>
      <c r="BAK280" s="575"/>
      <c r="BAL280" s="575"/>
      <c r="BAM280" s="575"/>
      <c r="BAN280" s="575"/>
      <c r="BAO280" s="575"/>
      <c r="BAP280" s="575"/>
      <c r="BAQ280" s="575"/>
      <c r="BAR280" s="575"/>
      <c r="BAS280" s="575"/>
      <c r="BAT280" s="575"/>
      <c r="BAU280" s="575"/>
      <c r="BAV280" s="575"/>
      <c r="BAW280" s="575"/>
      <c r="BAX280" s="575"/>
      <c r="BAY280" s="575"/>
      <c r="BAZ280" s="575"/>
      <c r="BBA280" s="575"/>
      <c r="BBB280" s="575"/>
      <c r="BBC280" s="575"/>
      <c r="BBD280" s="575"/>
      <c r="BBE280" s="575"/>
      <c r="BBF280" s="575"/>
      <c r="BBG280" s="575"/>
      <c r="BBH280" s="575"/>
      <c r="BBI280" s="575"/>
      <c r="BBJ280" s="575"/>
      <c r="BBK280" s="575"/>
      <c r="BBL280" s="575"/>
      <c r="BBM280" s="575"/>
      <c r="BBN280" s="575"/>
      <c r="BBO280" s="575"/>
      <c r="BBP280" s="575"/>
      <c r="BBQ280" s="575"/>
      <c r="BBR280" s="575"/>
      <c r="BBS280" s="575"/>
      <c r="BBT280" s="575"/>
      <c r="BBU280" s="575"/>
      <c r="BBV280" s="575"/>
      <c r="BBW280" s="575"/>
      <c r="BBX280" s="575"/>
      <c r="BBY280" s="575"/>
      <c r="BBZ280" s="575"/>
      <c r="BCA280" s="575"/>
      <c r="BCB280" s="575"/>
      <c r="BCC280" s="575"/>
      <c r="BCD280" s="575"/>
      <c r="BCE280" s="575"/>
      <c r="BCF280" s="575"/>
      <c r="BCG280" s="575"/>
      <c r="BCH280" s="575"/>
      <c r="BCI280" s="575"/>
      <c r="BCJ280" s="575"/>
      <c r="BCK280" s="575"/>
      <c r="BCL280" s="575"/>
      <c r="BCM280" s="575"/>
      <c r="BCN280" s="575"/>
      <c r="BCO280" s="575"/>
      <c r="BCP280" s="575"/>
      <c r="BCQ280" s="575"/>
      <c r="BCR280" s="575"/>
      <c r="BCS280" s="575"/>
      <c r="BCT280" s="575"/>
      <c r="BCU280" s="575"/>
      <c r="BCV280" s="575"/>
      <c r="BCW280" s="575"/>
      <c r="BCX280" s="575"/>
      <c r="BCY280" s="575"/>
      <c r="BCZ280" s="575"/>
      <c r="BDA280" s="575"/>
      <c r="BDB280" s="575"/>
      <c r="BDC280" s="575"/>
      <c r="BDD280" s="575"/>
      <c r="BDE280" s="575"/>
      <c r="BDF280" s="575"/>
      <c r="BDG280" s="575"/>
      <c r="BDH280" s="575"/>
      <c r="BDI280" s="575"/>
      <c r="BDJ280" s="575"/>
      <c r="BDK280" s="575"/>
      <c r="BDL280" s="575"/>
      <c r="BDM280" s="575"/>
      <c r="BDN280" s="575"/>
      <c r="BDO280" s="575"/>
      <c r="BDP280" s="575"/>
      <c r="BDQ280" s="575"/>
      <c r="BDR280" s="575"/>
      <c r="BDS280" s="575"/>
      <c r="BDT280" s="575"/>
    </row>
    <row r="281" spans="1:1476" x14ac:dyDescent="0.25">
      <c r="A281" s="608">
        <v>5908</v>
      </c>
      <c r="B281" s="609" t="s">
        <v>56</v>
      </c>
      <c r="C281" s="610">
        <v>297311.81</v>
      </c>
      <c r="D281" s="610">
        <v>56355.22</v>
      </c>
      <c r="E281" s="610"/>
      <c r="F281" s="611"/>
      <c r="G281" s="610">
        <v>13902.45</v>
      </c>
      <c r="H281" s="610">
        <v>-379.3</v>
      </c>
      <c r="I281" s="610"/>
      <c r="J281" s="610">
        <v>-23437.49</v>
      </c>
      <c r="K281" s="610">
        <v>92.95</v>
      </c>
      <c r="L281" s="610">
        <v>23463.15</v>
      </c>
      <c r="M281" s="434">
        <f t="shared" si="16"/>
        <v>367308.7900000001</v>
      </c>
      <c r="N281" s="612">
        <v>0</v>
      </c>
      <c r="O281" s="612"/>
      <c r="P281" s="612">
        <v>12302.5</v>
      </c>
      <c r="Q281" s="612"/>
      <c r="R281" s="612">
        <v>12044.7</v>
      </c>
      <c r="S281" s="610">
        <v>1413.24</v>
      </c>
      <c r="T281" s="543">
        <f t="shared" si="17"/>
        <v>393069.2300000001</v>
      </c>
      <c r="U281" s="575">
        <v>174.07</v>
      </c>
      <c r="V281" s="612"/>
      <c r="W281" s="612">
        <v>-50.85</v>
      </c>
      <c r="X281" s="624">
        <v>75</v>
      </c>
      <c r="Y281" s="631">
        <v>1</v>
      </c>
      <c r="Z281" s="628">
        <f>VLOOKUP(A281,'[2]2022 toutes communes'!$B$9:$D$317,3,FALSE)</f>
        <v>163</v>
      </c>
      <c r="AA281" s="617"/>
      <c r="AB281" s="618">
        <v>4164</v>
      </c>
      <c r="AC281" s="547">
        <f>AB281/VPI!R281</f>
        <v>0.84669654821364759</v>
      </c>
      <c r="AD281" s="548">
        <f t="shared" si="18"/>
        <v>53204</v>
      </c>
      <c r="AE281" s="547">
        <f>AD281/VPI!R281</f>
        <v>10.818358105465636</v>
      </c>
      <c r="AF281" s="618">
        <v>57368</v>
      </c>
      <c r="AG281" s="618">
        <v>7312</v>
      </c>
      <c r="AH281" s="618">
        <v>15491</v>
      </c>
      <c r="AI281" s="637"/>
      <c r="AJ281" s="628">
        <v>0</v>
      </c>
      <c r="AK281" s="547">
        <f>AJ281/VPI!R281</f>
        <v>0</v>
      </c>
      <c r="AL281" s="548">
        <f t="shared" si="20"/>
        <v>16827</v>
      </c>
      <c r="AM281" s="547">
        <f>AL281/VPI!R281</f>
        <v>3.4215568724282055</v>
      </c>
      <c r="AN281" s="628">
        <v>16827</v>
      </c>
      <c r="AO281" s="637"/>
      <c r="AP281" s="629">
        <v>9.6439397837711045</v>
      </c>
      <c r="AR281" s="630">
        <v>0</v>
      </c>
    </row>
    <row r="282" spans="1:1476" x14ac:dyDescent="0.25">
      <c r="A282" s="608">
        <v>5909</v>
      </c>
      <c r="B282" s="609" t="s">
        <v>57</v>
      </c>
      <c r="C282" s="610">
        <v>1708567.83</v>
      </c>
      <c r="D282" s="610">
        <v>388220.97</v>
      </c>
      <c r="E282" s="610"/>
      <c r="F282" s="611"/>
      <c r="G282" s="610">
        <v>4719.1000000000004</v>
      </c>
      <c r="H282" s="610">
        <v>-7819.75</v>
      </c>
      <c r="I282" s="610"/>
      <c r="J282" s="610">
        <v>26919.72</v>
      </c>
      <c r="K282" s="610">
        <v>788.1</v>
      </c>
      <c r="L282" s="610">
        <v>172607.2</v>
      </c>
      <c r="M282" s="434">
        <f t="shared" si="16"/>
        <v>2294003.1700000004</v>
      </c>
      <c r="N282" s="612">
        <v>9007.6</v>
      </c>
      <c r="O282" s="612">
        <v>4593.3</v>
      </c>
      <c r="P282" s="612">
        <v>122503.35</v>
      </c>
      <c r="Q282" s="612"/>
      <c r="R282" s="612">
        <v>81925.600000000006</v>
      </c>
      <c r="S282" s="610">
        <v>-324.02999999999997</v>
      </c>
      <c r="T282" s="543">
        <f t="shared" si="17"/>
        <v>2511708.9900000007</v>
      </c>
      <c r="U282" s="575">
        <v>-2679.65</v>
      </c>
      <c r="V282" s="612"/>
      <c r="W282" s="612">
        <v>-962.95</v>
      </c>
      <c r="X282" s="624">
        <v>67</v>
      </c>
      <c r="Y282" s="631">
        <v>1</v>
      </c>
      <c r="Z282" s="628">
        <f>VLOOKUP(A282,'[2]2022 toutes communes'!$B$9:$D$317,3,FALSE)</f>
        <v>734</v>
      </c>
      <c r="AA282" s="617"/>
      <c r="AB282" s="618">
        <v>111864</v>
      </c>
      <c r="AC282" s="547"/>
      <c r="AD282" s="548">
        <f t="shared" si="18"/>
        <v>63023</v>
      </c>
      <c r="AE282" s="547"/>
      <c r="AF282" s="618">
        <v>174887</v>
      </c>
      <c r="AG282" s="618">
        <v>144226</v>
      </c>
      <c r="AH282" s="618">
        <v>23003</v>
      </c>
      <c r="AI282" s="637"/>
      <c r="AJ282" s="628">
        <v>0</v>
      </c>
      <c r="AK282" s="547"/>
      <c r="AL282" s="548">
        <f t="shared" si="20"/>
        <v>2141</v>
      </c>
      <c r="AM282" s="547"/>
      <c r="AN282" s="628">
        <v>2141</v>
      </c>
      <c r="AO282" s="637"/>
      <c r="AP282" s="629">
        <v>28.996674749597883</v>
      </c>
      <c r="AR282" s="630">
        <v>1</v>
      </c>
    </row>
    <row r="283" spans="1:1476" x14ac:dyDescent="0.25">
      <c r="A283" s="608">
        <v>5910</v>
      </c>
      <c r="B283" s="609" t="s">
        <v>58</v>
      </c>
      <c r="C283" s="610">
        <v>650686</v>
      </c>
      <c r="D283" s="610">
        <v>86332.63</v>
      </c>
      <c r="E283" s="610"/>
      <c r="F283" s="611">
        <v>2270</v>
      </c>
      <c r="G283" s="610">
        <v>15443.3</v>
      </c>
      <c r="H283" s="610">
        <v>177.55</v>
      </c>
      <c r="I283" s="610">
        <v>0</v>
      </c>
      <c r="J283" s="610">
        <v>2816.74</v>
      </c>
      <c r="K283" s="610"/>
      <c r="L283" s="610">
        <v>64331.7</v>
      </c>
      <c r="M283" s="434">
        <f t="shared" si="16"/>
        <v>822057.92</v>
      </c>
      <c r="N283" s="612">
        <v>6244.6</v>
      </c>
      <c r="O283" s="612">
        <v>2978</v>
      </c>
      <c r="P283" s="612">
        <v>83896.65</v>
      </c>
      <c r="Q283" s="612">
        <v>5804.99</v>
      </c>
      <c r="R283" s="612">
        <v>53300.7</v>
      </c>
      <c r="S283" s="610">
        <v>1632.46</v>
      </c>
      <c r="T283" s="543">
        <f t="shared" si="17"/>
        <v>975915.32</v>
      </c>
      <c r="U283" s="575">
        <v>-11753.56</v>
      </c>
      <c r="V283" s="612"/>
      <c r="W283" s="612">
        <v>0</v>
      </c>
      <c r="X283" s="624">
        <v>77</v>
      </c>
      <c r="Y283" s="631">
        <v>1</v>
      </c>
      <c r="Z283" s="628">
        <f>VLOOKUP(A283,'[2]2022 toutes communes'!$B$9:$D$317,3,FALSE)</f>
        <v>410</v>
      </c>
      <c r="AA283" s="617"/>
      <c r="AB283" s="618">
        <v>4499</v>
      </c>
      <c r="AC283" s="547">
        <f>AB283/VPI!R283</f>
        <v>0.42363371392249111</v>
      </c>
      <c r="AD283" s="548">
        <f t="shared" si="18"/>
        <v>37328</v>
      </c>
      <c r="AE283" s="547">
        <f>AD283/VPI!R283</f>
        <v>3.5148698095796282</v>
      </c>
      <c r="AF283" s="618">
        <v>41827</v>
      </c>
      <c r="AG283" s="618">
        <v>28888</v>
      </c>
      <c r="AH283" s="618">
        <v>38651</v>
      </c>
      <c r="AI283" s="637"/>
      <c r="AJ283" s="628">
        <v>0</v>
      </c>
      <c r="AK283" s="547">
        <f>AJ283/VPI!R283</f>
        <v>0</v>
      </c>
      <c r="AL283" s="548">
        <f t="shared" si="20"/>
        <v>60087</v>
      </c>
      <c r="AM283" s="547">
        <f>AL283/VPI!R283</f>
        <v>5.6578970812315452</v>
      </c>
      <c r="AN283" s="628">
        <v>60087</v>
      </c>
      <c r="AO283" s="637"/>
      <c r="AP283" s="629">
        <v>6.2263747605558128</v>
      </c>
      <c r="AR283" s="630">
        <v>0</v>
      </c>
    </row>
    <row r="284" spans="1:1476" x14ac:dyDescent="0.25">
      <c r="A284" s="608">
        <v>5911</v>
      </c>
      <c r="B284" s="609" t="s">
        <v>59</v>
      </c>
      <c r="C284" s="610">
        <v>472001.1</v>
      </c>
      <c r="D284" s="610">
        <v>57827.57</v>
      </c>
      <c r="E284" s="610"/>
      <c r="F284" s="611">
        <v>1520</v>
      </c>
      <c r="G284" s="610">
        <v>3400.55</v>
      </c>
      <c r="H284" s="610">
        <v>135.9</v>
      </c>
      <c r="I284" s="610"/>
      <c r="J284" s="610">
        <v>15883.11</v>
      </c>
      <c r="K284" s="610">
        <v>2201.5</v>
      </c>
      <c r="L284" s="610">
        <v>36573.1</v>
      </c>
      <c r="M284" s="434">
        <f t="shared" si="16"/>
        <v>589542.82999999996</v>
      </c>
      <c r="N284" s="612">
        <v>0</v>
      </c>
      <c r="O284" s="612">
        <v>80.400000000000006</v>
      </c>
      <c r="P284" s="612">
        <v>12120.9</v>
      </c>
      <c r="Q284" s="612">
        <v>266.35000000000002</v>
      </c>
      <c r="R284" s="612">
        <v>18457.7</v>
      </c>
      <c r="S284" s="610">
        <v>369.58</v>
      </c>
      <c r="T284" s="543">
        <f t="shared" si="17"/>
        <v>620837.75999999989</v>
      </c>
      <c r="U284" s="575">
        <v>-2053.27</v>
      </c>
      <c r="V284" s="612"/>
      <c r="W284" s="612">
        <v>-559.65</v>
      </c>
      <c r="X284" s="624">
        <v>77</v>
      </c>
      <c r="Y284" s="631">
        <v>1</v>
      </c>
      <c r="Z284" s="628">
        <f>VLOOKUP(A284,'[2]2022 toutes communes'!$B$9:$D$317,3,FALSE)</f>
        <v>236</v>
      </c>
      <c r="AA284" s="617"/>
      <c r="AB284" s="618">
        <v>0</v>
      </c>
      <c r="AC284" s="547">
        <f>AB284/VPI!R284</f>
        <v>0</v>
      </c>
      <c r="AD284" s="548">
        <f t="shared" si="18"/>
        <v>12853</v>
      </c>
      <c r="AE284" s="547">
        <f>AD284/VPI!R284</f>
        <v>1.6843746396148562</v>
      </c>
      <c r="AF284" s="618">
        <v>12853</v>
      </c>
      <c r="AG284" s="618">
        <v>11708</v>
      </c>
      <c r="AH284" s="618">
        <v>19985</v>
      </c>
      <c r="AI284" s="637"/>
      <c r="AJ284" s="628">
        <v>0</v>
      </c>
      <c r="AK284" s="547">
        <f>AJ284/VPI!R284</f>
        <v>0</v>
      </c>
      <c r="AL284" s="548">
        <f t="shared" si="20"/>
        <v>18605</v>
      </c>
      <c r="AM284" s="547">
        <f>AL284/VPI!R284</f>
        <v>2.4381693122255039</v>
      </c>
      <c r="AN284" s="628">
        <v>18605</v>
      </c>
      <c r="AO284" s="637"/>
      <c r="AP284" s="629">
        <v>13.046897042038109</v>
      </c>
      <c r="AR284" s="630">
        <v>0</v>
      </c>
    </row>
    <row r="285" spans="1:1476" x14ac:dyDescent="0.25">
      <c r="A285" s="608">
        <v>5912</v>
      </c>
      <c r="B285" s="609" t="s">
        <v>60</v>
      </c>
      <c r="C285" s="610">
        <v>190305.84</v>
      </c>
      <c r="D285" s="610">
        <v>24008.03</v>
      </c>
      <c r="E285" s="610"/>
      <c r="F285" s="611">
        <v>940</v>
      </c>
      <c r="G285" s="610">
        <v>2679.95</v>
      </c>
      <c r="H285" s="610">
        <v>141.85</v>
      </c>
      <c r="I285" s="610"/>
      <c r="J285" s="610">
        <v>3771.49</v>
      </c>
      <c r="K285" s="610"/>
      <c r="L285" s="610">
        <v>22461.4</v>
      </c>
      <c r="M285" s="434">
        <f t="shared" si="16"/>
        <v>244308.56</v>
      </c>
      <c r="N285" s="612">
        <v>0</v>
      </c>
      <c r="O285" s="612">
        <v>34118.699999999997</v>
      </c>
      <c r="P285" s="612">
        <v>6974.8</v>
      </c>
      <c r="Q285" s="612">
        <v>1559.41</v>
      </c>
      <c r="R285" s="612">
        <v>392</v>
      </c>
      <c r="S285" s="610">
        <v>294.89</v>
      </c>
      <c r="T285" s="543">
        <f t="shared" si="17"/>
        <v>287648.36</v>
      </c>
      <c r="U285" s="575">
        <v>-9386.1</v>
      </c>
      <c r="V285" s="612"/>
      <c r="W285" s="612">
        <v>0</v>
      </c>
      <c r="X285" s="624">
        <v>78</v>
      </c>
      <c r="Y285" s="631">
        <v>1</v>
      </c>
      <c r="Z285" s="628">
        <f>VLOOKUP(A285,'[2]2022 toutes communes'!$B$9:$D$317,3,FALSE)</f>
        <v>167</v>
      </c>
      <c r="AA285" s="617"/>
      <c r="AB285" s="618">
        <v>0</v>
      </c>
      <c r="AC285" s="547">
        <f>AB285/VPI!R285</f>
        <v>0</v>
      </c>
      <c r="AD285" s="548">
        <f t="shared" si="18"/>
        <v>8202</v>
      </c>
      <c r="AE285" s="547">
        <f>AD285/VPI!R285</f>
        <v>2.7019374705524313</v>
      </c>
      <c r="AF285" s="618">
        <v>8202</v>
      </c>
      <c r="AG285" s="618">
        <v>7837</v>
      </c>
      <c r="AH285" s="618">
        <v>13723</v>
      </c>
      <c r="AI285" s="637"/>
      <c r="AJ285" s="628">
        <v>0</v>
      </c>
      <c r="AK285" s="547">
        <f>AJ285/VPI!R285</f>
        <v>0</v>
      </c>
      <c r="AL285" s="548">
        <f t="shared" si="20"/>
        <v>17783</v>
      </c>
      <c r="AM285" s="547">
        <f>AL285/VPI!R285</f>
        <v>5.8581509435301005</v>
      </c>
      <c r="AN285" s="628">
        <v>17783</v>
      </c>
      <c r="AO285" s="637"/>
      <c r="AP285" s="629">
        <v>8.6897736972399944</v>
      </c>
      <c r="AR285" s="630">
        <v>0</v>
      </c>
    </row>
    <row r="286" spans="1:1476" x14ac:dyDescent="0.25">
      <c r="A286" s="608">
        <v>5913</v>
      </c>
      <c r="B286" s="609" t="s">
        <v>61</v>
      </c>
      <c r="C286" s="610">
        <v>1309396.3799999999</v>
      </c>
      <c r="D286" s="610">
        <v>146583.32</v>
      </c>
      <c r="E286" s="610"/>
      <c r="F286" s="611"/>
      <c r="G286" s="610">
        <v>711.7</v>
      </c>
      <c r="H286" s="610">
        <v>198.8</v>
      </c>
      <c r="I286" s="610"/>
      <c r="J286" s="610">
        <v>33828.449999999997</v>
      </c>
      <c r="K286" s="610">
        <v>-5581.95</v>
      </c>
      <c r="L286" s="610">
        <v>126441</v>
      </c>
      <c r="M286" s="434">
        <f t="shared" si="16"/>
        <v>1611577.7</v>
      </c>
      <c r="N286" s="612">
        <v>19227.599999999999</v>
      </c>
      <c r="O286" s="612">
        <v>464.2</v>
      </c>
      <c r="P286" s="612">
        <v>90926</v>
      </c>
      <c r="Q286" s="612">
        <v>3564.09</v>
      </c>
      <c r="R286" s="612">
        <v>81457.2</v>
      </c>
      <c r="S286" s="610">
        <v>95.15</v>
      </c>
      <c r="T286" s="543">
        <f t="shared" si="17"/>
        <v>1807311.94</v>
      </c>
      <c r="U286" s="575">
        <v>-17967.88</v>
      </c>
      <c r="V286" s="612"/>
      <c r="W286" s="612">
        <v>-892.99</v>
      </c>
      <c r="X286" s="624">
        <v>73</v>
      </c>
      <c r="Y286" s="631">
        <v>1</v>
      </c>
      <c r="Z286" s="628">
        <f>VLOOKUP(A286,'[2]2022 toutes communes'!$B$9:$D$317,3,FALSE)</f>
        <v>905</v>
      </c>
      <c r="AA286" s="617"/>
      <c r="AB286" s="618">
        <v>20793</v>
      </c>
      <c r="AC286" s="547">
        <f>AB286/VPI!R286</f>
        <v>0.95083422291590713</v>
      </c>
      <c r="AD286" s="548">
        <f t="shared" si="18"/>
        <v>103307</v>
      </c>
      <c r="AE286" s="547">
        <f>AD286/VPI!R286</f>
        <v>4.7240817134022803</v>
      </c>
      <c r="AF286" s="618">
        <v>124100</v>
      </c>
      <c r="AG286" s="618">
        <v>63869</v>
      </c>
      <c r="AH286" s="618">
        <v>78461</v>
      </c>
      <c r="AI286" s="637"/>
      <c r="AJ286" s="628">
        <v>0</v>
      </c>
      <c r="AK286" s="547">
        <f>AJ286/VPI!R286</f>
        <v>0</v>
      </c>
      <c r="AL286" s="548">
        <f t="shared" si="20"/>
        <v>55501</v>
      </c>
      <c r="AM286" s="547">
        <f>AL286/VPI!R286</f>
        <v>2.5379815421562912</v>
      </c>
      <c r="AN286" s="628">
        <v>55501</v>
      </c>
      <c r="AO286" s="637"/>
      <c r="AP286" s="629">
        <v>9.0773392157388439</v>
      </c>
      <c r="AR286" s="630">
        <v>0</v>
      </c>
    </row>
    <row r="287" spans="1:1476" s="632" customFormat="1" x14ac:dyDescent="0.25">
      <c r="A287" s="608">
        <v>5914</v>
      </c>
      <c r="B287" s="609" t="s">
        <v>62</v>
      </c>
      <c r="C287" s="610">
        <v>570841.68999999994</v>
      </c>
      <c r="D287" s="610">
        <v>61947.12</v>
      </c>
      <c r="E287" s="610"/>
      <c r="F287" s="611">
        <v>2270</v>
      </c>
      <c r="G287" s="610">
        <v>9161.2000000000007</v>
      </c>
      <c r="H287" s="610">
        <v>3551.8</v>
      </c>
      <c r="I287" s="610"/>
      <c r="J287" s="610">
        <v>14779.43</v>
      </c>
      <c r="K287" s="610">
        <v>7301.35</v>
      </c>
      <c r="L287" s="610">
        <v>64165.7</v>
      </c>
      <c r="M287" s="434">
        <f t="shared" si="16"/>
        <v>734018.28999999992</v>
      </c>
      <c r="N287" s="612">
        <v>20140.25</v>
      </c>
      <c r="O287" s="612"/>
      <c r="P287" s="612">
        <v>14076.2</v>
      </c>
      <c r="Q287" s="612">
        <v>2264.35</v>
      </c>
      <c r="R287" s="612">
        <v>13164.3</v>
      </c>
      <c r="S287" s="610">
        <v>1328.57</v>
      </c>
      <c r="T287" s="543">
        <f t="shared" si="17"/>
        <v>784991.95999999985</v>
      </c>
      <c r="U287" s="575">
        <v>-15389.64</v>
      </c>
      <c r="V287" s="612"/>
      <c r="W287" s="612">
        <v>0</v>
      </c>
      <c r="X287" s="624">
        <v>73.5</v>
      </c>
      <c r="Y287" s="631">
        <v>1</v>
      </c>
      <c r="Z287" s="628">
        <f>VLOOKUP(A287,'[2]2022 toutes communes'!$B$9:$D$317,3,FALSE)</f>
        <v>372</v>
      </c>
      <c r="AA287" s="617"/>
      <c r="AB287" s="618">
        <v>24843</v>
      </c>
      <c r="AC287" s="547">
        <f>AB287/VPI!R287</f>
        <v>2.5282552832090026</v>
      </c>
      <c r="AD287" s="548">
        <f t="shared" si="18"/>
        <v>49152</v>
      </c>
      <c r="AE287" s="547">
        <f>AD287/VPI!R287</f>
        <v>5.0021657481096851</v>
      </c>
      <c r="AF287" s="618">
        <v>73995</v>
      </c>
      <c r="AG287" s="618">
        <v>45519</v>
      </c>
      <c r="AH287" s="618">
        <v>50756</v>
      </c>
      <c r="AI287" s="637"/>
      <c r="AJ287" s="628">
        <v>0</v>
      </c>
      <c r="AK287" s="547">
        <f>AJ287/VPI!R287</f>
        <v>0</v>
      </c>
      <c r="AL287" s="548">
        <f t="shared" si="20"/>
        <v>16155</v>
      </c>
      <c r="AM287" s="547">
        <f>AL287/VPI!R287</f>
        <v>1.6440834078107087</v>
      </c>
      <c r="AN287" s="628">
        <v>16155</v>
      </c>
      <c r="AO287" s="637"/>
      <c r="AP287" s="629">
        <v>7.1237883632554047</v>
      </c>
      <c r="AQ287" s="575"/>
      <c r="AR287" s="630">
        <v>1</v>
      </c>
      <c r="AS287" s="575"/>
      <c r="AT287" s="575"/>
      <c r="AU287" s="575"/>
      <c r="AV287" s="575"/>
      <c r="AW287" s="575"/>
      <c r="AX287" s="575"/>
      <c r="AY287" s="575"/>
      <c r="AZ287" s="575"/>
      <c r="BA287" s="575"/>
      <c r="BB287" s="575"/>
      <c r="BC287" s="575"/>
      <c r="BD287" s="575"/>
      <c r="BE287" s="575"/>
      <c r="BF287" s="575"/>
      <c r="BG287" s="575"/>
      <c r="BH287" s="575"/>
      <c r="BI287" s="575"/>
      <c r="BJ287" s="575"/>
      <c r="BK287" s="575"/>
      <c r="BL287" s="575"/>
      <c r="BM287" s="575"/>
      <c r="BN287" s="575"/>
      <c r="BO287" s="575"/>
      <c r="BP287" s="575"/>
      <c r="BQ287" s="575"/>
      <c r="BR287" s="575"/>
      <c r="BS287" s="575"/>
      <c r="BT287" s="575"/>
      <c r="BU287" s="575"/>
      <c r="BV287" s="575"/>
      <c r="BW287" s="575"/>
      <c r="BX287" s="575"/>
      <c r="BY287" s="575"/>
      <c r="BZ287" s="575"/>
      <c r="CA287" s="575"/>
      <c r="CB287" s="575"/>
      <c r="CC287" s="575"/>
      <c r="CD287" s="575"/>
      <c r="CE287" s="575"/>
      <c r="CF287" s="575"/>
      <c r="CG287" s="575"/>
      <c r="CH287" s="575"/>
      <c r="CI287" s="575"/>
      <c r="CJ287" s="575"/>
      <c r="CK287" s="575"/>
      <c r="CL287" s="575"/>
      <c r="CM287" s="575"/>
      <c r="CN287" s="575"/>
      <c r="CO287" s="575"/>
      <c r="CP287" s="575"/>
      <c r="CQ287" s="575"/>
      <c r="CR287" s="575"/>
      <c r="CS287" s="575"/>
      <c r="CT287" s="575"/>
      <c r="CU287" s="575"/>
      <c r="CV287" s="575"/>
      <c r="CW287" s="575"/>
      <c r="CX287" s="575"/>
      <c r="CY287" s="575"/>
      <c r="CZ287" s="575"/>
      <c r="DA287" s="575"/>
      <c r="DB287" s="575"/>
      <c r="DC287" s="575"/>
      <c r="DD287" s="575"/>
      <c r="DE287" s="575"/>
      <c r="DF287" s="575"/>
      <c r="DG287" s="575"/>
      <c r="DH287" s="575"/>
      <c r="DI287" s="575"/>
      <c r="DJ287" s="575"/>
      <c r="DK287" s="575"/>
      <c r="DL287" s="575"/>
      <c r="DM287" s="575"/>
      <c r="DN287" s="575"/>
      <c r="DO287" s="575"/>
      <c r="DP287" s="575"/>
      <c r="DQ287" s="575"/>
      <c r="DR287" s="575"/>
      <c r="DS287" s="575"/>
      <c r="DT287" s="575"/>
      <c r="DU287" s="575"/>
      <c r="DV287" s="575"/>
      <c r="DW287" s="575"/>
      <c r="DX287" s="575"/>
      <c r="DY287" s="575"/>
      <c r="DZ287" s="575"/>
      <c r="EA287" s="575"/>
      <c r="EB287" s="575"/>
      <c r="EC287" s="575"/>
      <c r="ED287" s="575"/>
      <c r="EE287" s="575"/>
      <c r="EF287" s="575"/>
      <c r="EG287" s="575"/>
      <c r="EH287" s="575"/>
      <c r="EI287" s="575"/>
      <c r="EJ287" s="575"/>
      <c r="EK287" s="575"/>
      <c r="EL287" s="575"/>
      <c r="EM287" s="575"/>
      <c r="EN287" s="575"/>
      <c r="EO287" s="575"/>
      <c r="EP287" s="575"/>
      <c r="EQ287" s="575"/>
      <c r="ER287" s="575"/>
      <c r="ES287" s="575"/>
      <c r="ET287" s="575"/>
      <c r="EU287" s="575"/>
      <c r="EV287" s="575"/>
      <c r="EW287" s="575"/>
      <c r="EX287" s="575"/>
      <c r="EY287" s="575"/>
      <c r="EZ287" s="575"/>
      <c r="FA287" s="575"/>
      <c r="FB287" s="575"/>
      <c r="FC287" s="575"/>
      <c r="FD287" s="575"/>
      <c r="FE287" s="575"/>
      <c r="FF287" s="575"/>
      <c r="FG287" s="575"/>
      <c r="FH287" s="575"/>
      <c r="FI287" s="575"/>
      <c r="FJ287" s="575"/>
      <c r="FK287" s="575"/>
      <c r="FL287" s="575"/>
      <c r="FM287" s="575"/>
      <c r="FN287" s="575"/>
      <c r="FO287" s="575"/>
      <c r="FP287" s="575"/>
      <c r="FQ287" s="575"/>
      <c r="FR287" s="575"/>
      <c r="FS287" s="575"/>
      <c r="FT287" s="575"/>
      <c r="FU287" s="575"/>
      <c r="FV287" s="575"/>
      <c r="FW287" s="575"/>
      <c r="FX287" s="575"/>
      <c r="FY287" s="575"/>
      <c r="FZ287" s="575"/>
      <c r="GA287" s="575"/>
      <c r="GB287" s="575"/>
      <c r="GC287" s="575"/>
      <c r="GD287" s="575"/>
      <c r="GE287" s="575"/>
      <c r="GF287" s="575"/>
      <c r="GG287" s="575"/>
      <c r="GH287" s="575"/>
      <c r="GI287" s="575"/>
      <c r="GJ287" s="575"/>
      <c r="GK287" s="575"/>
      <c r="GL287" s="575"/>
      <c r="GM287" s="575"/>
      <c r="GN287" s="575"/>
      <c r="GO287" s="575"/>
      <c r="GP287" s="575"/>
      <c r="GQ287" s="575"/>
      <c r="GR287" s="575"/>
      <c r="GS287" s="575"/>
      <c r="GT287" s="575"/>
      <c r="GU287" s="575"/>
      <c r="GV287" s="575"/>
      <c r="GW287" s="575"/>
      <c r="GX287" s="575"/>
      <c r="GY287" s="575"/>
      <c r="GZ287" s="575"/>
      <c r="HA287" s="575"/>
      <c r="HB287" s="575"/>
      <c r="HC287" s="575"/>
      <c r="HD287" s="575"/>
      <c r="HE287" s="575"/>
      <c r="HF287" s="575"/>
      <c r="HG287" s="575"/>
      <c r="HH287" s="575"/>
      <c r="HI287" s="575"/>
      <c r="HJ287" s="575"/>
      <c r="HK287" s="575"/>
      <c r="HL287" s="575"/>
      <c r="HM287" s="575"/>
      <c r="HN287" s="575"/>
      <c r="HO287" s="575"/>
      <c r="HP287" s="575"/>
      <c r="HQ287" s="575"/>
      <c r="HR287" s="575"/>
      <c r="HS287" s="575"/>
      <c r="HT287" s="575"/>
      <c r="HU287" s="575"/>
      <c r="HV287" s="575"/>
      <c r="HW287" s="575"/>
      <c r="HX287" s="575"/>
      <c r="HY287" s="575"/>
      <c r="HZ287" s="575"/>
      <c r="IA287" s="575"/>
      <c r="IB287" s="575"/>
      <c r="IC287" s="575"/>
      <c r="ID287" s="575"/>
      <c r="IE287" s="575"/>
      <c r="IF287" s="575"/>
      <c r="IG287" s="575"/>
      <c r="IH287" s="575"/>
      <c r="II287" s="575"/>
      <c r="IJ287" s="575"/>
      <c r="IK287" s="575"/>
      <c r="IL287" s="575"/>
      <c r="IM287" s="575"/>
      <c r="IN287" s="575"/>
      <c r="IO287" s="575"/>
      <c r="IP287" s="575"/>
      <c r="IQ287" s="575"/>
      <c r="IR287" s="575"/>
      <c r="IS287" s="575"/>
      <c r="IT287" s="575"/>
      <c r="IU287" s="575"/>
      <c r="IV287" s="575"/>
      <c r="IW287" s="575"/>
      <c r="IX287" s="575"/>
      <c r="IY287" s="575"/>
      <c r="IZ287" s="575"/>
      <c r="JA287" s="575"/>
      <c r="JB287" s="575"/>
      <c r="JC287" s="575"/>
      <c r="JD287" s="575"/>
      <c r="JE287" s="575"/>
      <c r="JF287" s="575"/>
      <c r="JG287" s="575"/>
      <c r="JH287" s="575"/>
      <c r="JI287" s="575"/>
      <c r="JJ287" s="575"/>
      <c r="JK287" s="575"/>
      <c r="JL287" s="575"/>
      <c r="JM287" s="575"/>
      <c r="JN287" s="575"/>
      <c r="JO287" s="575"/>
      <c r="JP287" s="575"/>
      <c r="JQ287" s="575"/>
      <c r="JR287" s="575"/>
      <c r="JS287" s="575"/>
      <c r="JT287" s="575"/>
      <c r="JU287" s="575"/>
      <c r="JV287" s="575"/>
      <c r="JW287" s="575"/>
      <c r="JX287" s="575"/>
      <c r="JY287" s="575"/>
      <c r="JZ287" s="575"/>
      <c r="KA287" s="575"/>
      <c r="KB287" s="575"/>
      <c r="KC287" s="575"/>
      <c r="KD287" s="575"/>
      <c r="KE287" s="575"/>
      <c r="KF287" s="575"/>
      <c r="KG287" s="575"/>
      <c r="KH287" s="575"/>
      <c r="KI287" s="575"/>
      <c r="KJ287" s="575"/>
      <c r="KK287" s="575"/>
      <c r="KL287" s="575"/>
      <c r="KM287" s="575"/>
      <c r="KN287" s="575"/>
      <c r="KO287" s="575"/>
      <c r="KP287" s="575"/>
      <c r="KQ287" s="575"/>
      <c r="KR287" s="575"/>
      <c r="KS287" s="575"/>
      <c r="KT287" s="575"/>
      <c r="KU287" s="575"/>
      <c r="KV287" s="575"/>
      <c r="KW287" s="575"/>
      <c r="KX287" s="575"/>
      <c r="KY287" s="575"/>
      <c r="KZ287" s="575"/>
      <c r="LA287" s="575"/>
      <c r="LB287" s="575"/>
      <c r="LC287" s="575"/>
      <c r="LD287" s="575"/>
      <c r="LE287" s="575"/>
      <c r="LF287" s="575"/>
      <c r="LG287" s="575"/>
      <c r="LH287" s="575"/>
      <c r="LI287" s="575"/>
      <c r="LJ287" s="575"/>
      <c r="LK287" s="575"/>
      <c r="LL287" s="575"/>
      <c r="LM287" s="575"/>
      <c r="LN287" s="575"/>
      <c r="LO287" s="575"/>
      <c r="LP287" s="575"/>
      <c r="LQ287" s="575"/>
      <c r="LR287" s="575"/>
      <c r="LS287" s="575"/>
      <c r="LT287" s="575"/>
      <c r="LU287" s="575"/>
      <c r="LV287" s="575"/>
      <c r="LW287" s="575"/>
      <c r="LX287" s="575"/>
      <c r="LY287" s="575"/>
      <c r="LZ287" s="575"/>
      <c r="MA287" s="575"/>
      <c r="MB287" s="575"/>
      <c r="MC287" s="575"/>
      <c r="MD287" s="575"/>
      <c r="ME287" s="575"/>
      <c r="MF287" s="575"/>
      <c r="MG287" s="575"/>
      <c r="MH287" s="575"/>
      <c r="MI287" s="575"/>
      <c r="MJ287" s="575"/>
      <c r="MK287" s="575"/>
      <c r="ML287" s="575"/>
      <c r="MM287" s="575"/>
      <c r="MN287" s="575"/>
      <c r="MO287" s="575"/>
      <c r="MP287" s="575"/>
      <c r="MQ287" s="575"/>
      <c r="MR287" s="575"/>
      <c r="MS287" s="575"/>
      <c r="MT287" s="575"/>
      <c r="MU287" s="575"/>
      <c r="MV287" s="575"/>
      <c r="MW287" s="575"/>
      <c r="MX287" s="575"/>
      <c r="MY287" s="575"/>
      <c r="MZ287" s="575"/>
      <c r="NA287" s="575"/>
      <c r="NB287" s="575"/>
      <c r="NC287" s="575"/>
      <c r="ND287" s="575"/>
      <c r="NE287" s="575"/>
      <c r="NF287" s="575"/>
      <c r="NG287" s="575"/>
      <c r="NH287" s="575"/>
      <c r="NI287" s="575"/>
      <c r="NJ287" s="575"/>
      <c r="NK287" s="575"/>
      <c r="NL287" s="575"/>
      <c r="NM287" s="575"/>
      <c r="NN287" s="575"/>
      <c r="NO287" s="575"/>
      <c r="NP287" s="575"/>
      <c r="NQ287" s="575"/>
      <c r="NR287" s="575"/>
      <c r="NS287" s="575"/>
      <c r="NT287" s="575"/>
      <c r="NU287" s="575"/>
      <c r="NV287" s="575"/>
      <c r="NW287" s="575"/>
      <c r="NX287" s="575"/>
      <c r="NY287" s="575"/>
      <c r="NZ287" s="575"/>
      <c r="OA287" s="575"/>
      <c r="OB287" s="575"/>
      <c r="OC287" s="575"/>
      <c r="OD287" s="575"/>
      <c r="OE287" s="575"/>
      <c r="OF287" s="575"/>
      <c r="OG287" s="575"/>
      <c r="OH287" s="575"/>
      <c r="OI287" s="575"/>
      <c r="OJ287" s="575"/>
      <c r="OK287" s="575"/>
      <c r="OL287" s="575"/>
      <c r="OM287" s="575"/>
      <c r="ON287" s="575"/>
      <c r="OO287" s="575"/>
      <c r="OP287" s="575"/>
      <c r="OQ287" s="575"/>
      <c r="OR287" s="575"/>
      <c r="OS287" s="575"/>
      <c r="OT287" s="575"/>
      <c r="OU287" s="575"/>
      <c r="OV287" s="575"/>
      <c r="OW287" s="575"/>
      <c r="OX287" s="575"/>
      <c r="OY287" s="575"/>
      <c r="OZ287" s="575"/>
      <c r="PA287" s="575"/>
      <c r="PB287" s="575"/>
      <c r="PC287" s="575"/>
      <c r="PD287" s="575"/>
      <c r="PE287" s="575"/>
      <c r="PF287" s="575"/>
      <c r="PG287" s="575"/>
      <c r="PH287" s="575"/>
      <c r="PI287" s="575"/>
      <c r="PJ287" s="575"/>
      <c r="PK287" s="575"/>
      <c r="PL287" s="575"/>
      <c r="PM287" s="575"/>
      <c r="PN287" s="575"/>
      <c r="PO287" s="575"/>
      <c r="PP287" s="575"/>
      <c r="PQ287" s="575"/>
      <c r="PR287" s="575"/>
      <c r="PS287" s="575"/>
      <c r="PT287" s="575"/>
      <c r="PU287" s="575"/>
      <c r="PV287" s="575"/>
      <c r="PW287" s="575"/>
      <c r="PX287" s="575"/>
      <c r="PY287" s="575"/>
      <c r="PZ287" s="575"/>
      <c r="QA287" s="575"/>
      <c r="QB287" s="575"/>
      <c r="QC287" s="575"/>
      <c r="QD287" s="575"/>
      <c r="QE287" s="575"/>
      <c r="QF287" s="575"/>
      <c r="QG287" s="575"/>
      <c r="QH287" s="575"/>
      <c r="QI287" s="575"/>
      <c r="QJ287" s="575"/>
      <c r="QK287" s="575"/>
      <c r="QL287" s="575"/>
      <c r="QM287" s="575"/>
      <c r="QN287" s="575"/>
      <c r="QO287" s="575"/>
      <c r="QP287" s="575"/>
      <c r="QQ287" s="575"/>
      <c r="QR287" s="575"/>
      <c r="QS287" s="575"/>
      <c r="QT287" s="575"/>
      <c r="QU287" s="575"/>
      <c r="QV287" s="575"/>
      <c r="QW287" s="575"/>
      <c r="QX287" s="575"/>
      <c r="QY287" s="575"/>
      <c r="QZ287" s="575"/>
      <c r="RA287" s="575"/>
      <c r="RB287" s="575"/>
      <c r="RC287" s="575"/>
      <c r="RD287" s="575"/>
      <c r="RE287" s="575"/>
      <c r="RF287" s="575"/>
      <c r="RG287" s="575"/>
      <c r="RH287" s="575"/>
      <c r="RI287" s="575"/>
      <c r="RJ287" s="575"/>
      <c r="RK287" s="575"/>
      <c r="RL287" s="575"/>
      <c r="RM287" s="575"/>
      <c r="RN287" s="575"/>
      <c r="RO287" s="575"/>
      <c r="RP287" s="575"/>
      <c r="RQ287" s="575"/>
      <c r="RR287" s="575"/>
      <c r="RS287" s="575"/>
      <c r="RT287" s="575"/>
      <c r="RU287" s="575"/>
      <c r="RV287" s="575"/>
      <c r="RW287" s="575"/>
      <c r="RX287" s="575"/>
      <c r="RY287" s="575"/>
      <c r="RZ287" s="575"/>
      <c r="SA287" s="575"/>
      <c r="SB287" s="575"/>
      <c r="SC287" s="575"/>
      <c r="SD287" s="575"/>
      <c r="SE287" s="575"/>
      <c r="SF287" s="575"/>
      <c r="SG287" s="575"/>
      <c r="SH287" s="575"/>
      <c r="SI287" s="575"/>
      <c r="SJ287" s="575"/>
      <c r="SK287" s="575"/>
      <c r="SL287" s="575"/>
      <c r="SM287" s="575"/>
      <c r="SN287" s="575"/>
      <c r="SO287" s="575"/>
      <c r="SP287" s="575"/>
      <c r="SQ287" s="575"/>
      <c r="SR287" s="575"/>
      <c r="SS287" s="575"/>
      <c r="ST287" s="575"/>
      <c r="SU287" s="575"/>
      <c r="SV287" s="575"/>
      <c r="SW287" s="575"/>
      <c r="SX287" s="575"/>
      <c r="SY287" s="575"/>
      <c r="SZ287" s="575"/>
      <c r="TA287" s="575"/>
      <c r="TB287" s="575"/>
      <c r="TC287" s="575"/>
      <c r="TD287" s="575"/>
      <c r="TE287" s="575"/>
      <c r="TF287" s="575"/>
      <c r="TG287" s="575"/>
      <c r="TH287" s="575"/>
      <c r="TI287" s="575"/>
      <c r="TJ287" s="575"/>
      <c r="TK287" s="575"/>
      <c r="TL287" s="575"/>
      <c r="TM287" s="575"/>
      <c r="TN287" s="575"/>
      <c r="TO287" s="575"/>
      <c r="TP287" s="575"/>
      <c r="TQ287" s="575"/>
      <c r="TR287" s="575"/>
      <c r="TS287" s="575"/>
      <c r="TT287" s="575"/>
      <c r="TU287" s="575"/>
      <c r="TV287" s="575"/>
      <c r="TW287" s="575"/>
      <c r="TX287" s="575"/>
      <c r="TY287" s="575"/>
      <c r="TZ287" s="575"/>
      <c r="UA287" s="575"/>
      <c r="UB287" s="575"/>
      <c r="UC287" s="575"/>
      <c r="UD287" s="575"/>
      <c r="UE287" s="575"/>
      <c r="UF287" s="575"/>
      <c r="UG287" s="575"/>
      <c r="UH287" s="575"/>
      <c r="UI287" s="575"/>
      <c r="UJ287" s="575"/>
      <c r="UK287" s="575"/>
      <c r="UL287" s="575"/>
      <c r="UM287" s="575"/>
      <c r="UN287" s="575"/>
      <c r="UO287" s="575"/>
      <c r="UP287" s="575"/>
      <c r="UQ287" s="575"/>
      <c r="UR287" s="575"/>
      <c r="US287" s="575"/>
      <c r="UT287" s="575"/>
      <c r="UU287" s="575"/>
      <c r="UV287" s="575"/>
      <c r="UW287" s="575"/>
      <c r="UX287" s="575"/>
      <c r="UY287" s="575"/>
      <c r="UZ287" s="575"/>
      <c r="VA287" s="575"/>
      <c r="VB287" s="575"/>
      <c r="VC287" s="575"/>
      <c r="VD287" s="575"/>
      <c r="VE287" s="575"/>
      <c r="VF287" s="575"/>
      <c r="VG287" s="575"/>
      <c r="VH287" s="575"/>
      <c r="VI287" s="575"/>
      <c r="VJ287" s="575"/>
      <c r="VK287" s="575"/>
      <c r="VL287" s="575"/>
      <c r="VM287" s="575"/>
      <c r="VN287" s="575"/>
      <c r="VO287" s="575"/>
      <c r="VP287" s="575"/>
      <c r="VQ287" s="575"/>
      <c r="VR287" s="575"/>
      <c r="VS287" s="575"/>
      <c r="VT287" s="575"/>
      <c r="VU287" s="575"/>
      <c r="VV287" s="575"/>
      <c r="VW287" s="575"/>
      <c r="VX287" s="575"/>
      <c r="VY287" s="575"/>
      <c r="VZ287" s="575"/>
      <c r="WA287" s="575"/>
      <c r="WB287" s="575"/>
      <c r="WC287" s="575"/>
      <c r="WD287" s="575"/>
      <c r="WE287" s="575"/>
      <c r="WF287" s="575"/>
      <c r="WG287" s="575"/>
      <c r="WH287" s="575"/>
      <c r="WI287" s="575"/>
      <c r="WJ287" s="575"/>
      <c r="WK287" s="575"/>
      <c r="WL287" s="575"/>
      <c r="WM287" s="575"/>
      <c r="WN287" s="575"/>
      <c r="WO287" s="575"/>
      <c r="WP287" s="575"/>
      <c r="WQ287" s="575"/>
      <c r="WR287" s="575"/>
      <c r="WS287" s="575"/>
      <c r="WT287" s="575"/>
      <c r="WU287" s="575"/>
      <c r="WV287" s="575"/>
      <c r="WW287" s="575"/>
      <c r="WX287" s="575"/>
      <c r="WY287" s="575"/>
      <c r="WZ287" s="575"/>
      <c r="XA287" s="575"/>
      <c r="XB287" s="575"/>
      <c r="XC287" s="575"/>
      <c r="XD287" s="575"/>
      <c r="XE287" s="575"/>
      <c r="XF287" s="575"/>
      <c r="XG287" s="575"/>
      <c r="XH287" s="575"/>
      <c r="XI287" s="575"/>
      <c r="XJ287" s="575"/>
      <c r="XK287" s="575"/>
      <c r="XL287" s="575"/>
      <c r="XM287" s="575"/>
      <c r="XN287" s="575"/>
      <c r="XO287" s="575"/>
      <c r="XP287" s="575"/>
      <c r="XQ287" s="575"/>
      <c r="XR287" s="575"/>
      <c r="XS287" s="575"/>
      <c r="XT287" s="575"/>
      <c r="XU287" s="575"/>
      <c r="XV287" s="575"/>
      <c r="XW287" s="575"/>
      <c r="XX287" s="575"/>
      <c r="XY287" s="575"/>
      <c r="XZ287" s="575"/>
      <c r="YA287" s="575"/>
      <c r="YB287" s="575"/>
      <c r="YC287" s="575"/>
      <c r="YD287" s="575"/>
      <c r="YE287" s="575"/>
      <c r="YF287" s="575"/>
      <c r="YG287" s="575"/>
      <c r="YH287" s="575"/>
      <c r="YI287" s="575"/>
      <c r="YJ287" s="575"/>
      <c r="YK287" s="575"/>
      <c r="YL287" s="575"/>
      <c r="YM287" s="575"/>
      <c r="YN287" s="575"/>
      <c r="YO287" s="575"/>
      <c r="YP287" s="575"/>
      <c r="YQ287" s="575"/>
      <c r="YR287" s="575"/>
      <c r="YS287" s="575"/>
      <c r="YT287" s="575"/>
      <c r="YU287" s="575"/>
      <c r="YV287" s="575"/>
      <c r="YW287" s="575"/>
      <c r="YX287" s="575"/>
      <c r="YY287" s="575"/>
      <c r="YZ287" s="575"/>
      <c r="ZA287" s="575"/>
      <c r="ZB287" s="575"/>
      <c r="ZC287" s="575"/>
      <c r="ZD287" s="575"/>
      <c r="ZE287" s="575"/>
      <c r="ZF287" s="575"/>
      <c r="ZG287" s="575"/>
      <c r="ZH287" s="575"/>
      <c r="ZI287" s="575"/>
      <c r="ZJ287" s="575"/>
      <c r="ZK287" s="575"/>
      <c r="ZL287" s="575"/>
      <c r="ZM287" s="575"/>
      <c r="ZN287" s="575"/>
      <c r="ZO287" s="575"/>
      <c r="ZP287" s="575"/>
      <c r="ZQ287" s="575"/>
      <c r="ZR287" s="575"/>
      <c r="ZS287" s="575"/>
      <c r="ZT287" s="575"/>
      <c r="ZU287" s="575"/>
      <c r="ZV287" s="575"/>
      <c r="ZW287" s="575"/>
      <c r="ZX287" s="575"/>
      <c r="ZY287" s="575"/>
      <c r="ZZ287" s="575"/>
      <c r="AAA287" s="575"/>
      <c r="AAB287" s="575"/>
      <c r="AAC287" s="575"/>
      <c r="AAD287" s="575"/>
      <c r="AAE287" s="575"/>
      <c r="AAF287" s="575"/>
      <c r="AAG287" s="575"/>
      <c r="AAH287" s="575"/>
      <c r="AAI287" s="575"/>
      <c r="AAJ287" s="575"/>
      <c r="AAK287" s="575"/>
      <c r="AAL287" s="575"/>
      <c r="AAM287" s="575"/>
      <c r="AAN287" s="575"/>
      <c r="AAO287" s="575"/>
      <c r="AAP287" s="575"/>
      <c r="AAQ287" s="575"/>
      <c r="AAR287" s="575"/>
      <c r="AAS287" s="575"/>
      <c r="AAT287" s="575"/>
      <c r="AAU287" s="575"/>
      <c r="AAV287" s="575"/>
      <c r="AAW287" s="575"/>
      <c r="AAX287" s="575"/>
      <c r="AAY287" s="575"/>
      <c r="AAZ287" s="575"/>
      <c r="ABA287" s="575"/>
      <c r="ABB287" s="575"/>
      <c r="ABC287" s="575"/>
      <c r="ABD287" s="575"/>
      <c r="ABE287" s="575"/>
      <c r="ABF287" s="575"/>
      <c r="ABG287" s="575"/>
      <c r="ABH287" s="575"/>
      <c r="ABI287" s="575"/>
      <c r="ABJ287" s="575"/>
      <c r="ABK287" s="575"/>
      <c r="ABL287" s="575"/>
      <c r="ABM287" s="575"/>
      <c r="ABN287" s="575"/>
      <c r="ABO287" s="575"/>
      <c r="ABP287" s="575"/>
      <c r="ABQ287" s="575"/>
      <c r="ABR287" s="575"/>
      <c r="ABS287" s="575"/>
      <c r="ABT287" s="575"/>
      <c r="ABU287" s="575"/>
      <c r="ABV287" s="575"/>
      <c r="ABW287" s="575"/>
      <c r="ABX287" s="575"/>
      <c r="ABY287" s="575"/>
      <c r="ABZ287" s="575"/>
      <c r="ACA287" s="575"/>
      <c r="ACB287" s="575"/>
      <c r="ACC287" s="575"/>
      <c r="ACD287" s="575"/>
      <c r="ACE287" s="575"/>
      <c r="ACF287" s="575"/>
      <c r="ACG287" s="575"/>
      <c r="ACH287" s="575"/>
      <c r="ACI287" s="575"/>
      <c r="ACJ287" s="575"/>
      <c r="ACK287" s="575"/>
      <c r="ACL287" s="575"/>
      <c r="ACM287" s="575"/>
      <c r="ACN287" s="575"/>
      <c r="ACO287" s="575"/>
      <c r="ACP287" s="575"/>
      <c r="ACQ287" s="575"/>
      <c r="ACR287" s="575"/>
      <c r="ACS287" s="575"/>
      <c r="ACT287" s="575"/>
      <c r="ACU287" s="575"/>
      <c r="ACV287" s="575"/>
      <c r="ACW287" s="575"/>
      <c r="ACX287" s="575"/>
      <c r="ACY287" s="575"/>
      <c r="ACZ287" s="575"/>
      <c r="ADA287" s="575"/>
      <c r="ADB287" s="575"/>
      <c r="ADC287" s="575"/>
      <c r="ADD287" s="575"/>
      <c r="ADE287" s="575"/>
      <c r="ADF287" s="575"/>
      <c r="ADG287" s="575"/>
      <c r="ADH287" s="575"/>
      <c r="ADI287" s="575"/>
      <c r="ADJ287" s="575"/>
      <c r="ADK287" s="575"/>
      <c r="ADL287" s="575"/>
      <c r="ADM287" s="575"/>
      <c r="ADN287" s="575"/>
      <c r="ADO287" s="575"/>
      <c r="ADP287" s="575"/>
      <c r="ADQ287" s="575"/>
      <c r="ADR287" s="575"/>
      <c r="ADS287" s="575"/>
      <c r="ADT287" s="575"/>
      <c r="ADU287" s="575"/>
      <c r="ADV287" s="575"/>
      <c r="ADW287" s="575"/>
      <c r="ADX287" s="575"/>
      <c r="ADY287" s="575"/>
      <c r="ADZ287" s="575"/>
      <c r="AEA287" s="575"/>
      <c r="AEB287" s="575"/>
      <c r="AEC287" s="575"/>
      <c r="AED287" s="575"/>
      <c r="AEE287" s="575"/>
      <c r="AEF287" s="575"/>
      <c r="AEG287" s="575"/>
      <c r="AEH287" s="575"/>
      <c r="AEI287" s="575"/>
      <c r="AEJ287" s="575"/>
      <c r="AEK287" s="575"/>
      <c r="AEL287" s="575"/>
      <c r="AEM287" s="575"/>
      <c r="AEN287" s="575"/>
      <c r="AEO287" s="575"/>
      <c r="AEP287" s="575"/>
      <c r="AEQ287" s="575"/>
      <c r="AER287" s="575"/>
      <c r="AES287" s="575"/>
      <c r="AET287" s="575"/>
      <c r="AEU287" s="575"/>
      <c r="AEV287" s="575"/>
      <c r="AEW287" s="575"/>
      <c r="AEX287" s="575"/>
      <c r="AEY287" s="575"/>
      <c r="AEZ287" s="575"/>
      <c r="AFA287" s="575"/>
      <c r="AFB287" s="575"/>
      <c r="AFC287" s="575"/>
      <c r="AFD287" s="575"/>
      <c r="AFE287" s="575"/>
      <c r="AFF287" s="575"/>
      <c r="AFG287" s="575"/>
      <c r="AFH287" s="575"/>
      <c r="AFI287" s="575"/>
      <c r="AFJ287" s="575"/>
      <c r="AFK287" s="575"/>
      <c r="AFL287" s="575"/>
      <c r="AFM287" s="575"/>
      <c r="AFN287" s="575"/>
      <c r="AFO287" s="575"/>
      <c r="AFP287" s="575"/>
      <c r="AFQ287" s="575"/>
      <c r="AFR287" s="575"/>
      <c r="AFS287" s="575"/>
      <c r="AFT287" s="575"/>
      <c r="AFU287" s="575"/>
      <c r="AFV287" s="575"/>
      <c r="AFW287" s="575"/>
      <c r="AFX287" s="575"/>
      <c r="AFY287" s="575"/>
      <c r="AFZ287" s="575"/>
      <c r="AGA287" s="575"/>
      <c r="AGB287" s="575"/>
      <c r="AGC287" s="575"/>
      <c r="AGD287" s="575"/>
      <c r="AGE287" s="575"/>
      <c r="AGF287" s="575"/>
      <c r="AGG287" s="575"/>
      <c r="AGH287" s="575"/>
      <c r="AGI287" s="575"/>
      <c r="AGJ287" s="575"/>
      <c r="AGK287" s="575"/>
      <c r="AGL287" s="575"/>
      <c r="AGM287" s="575"/>
      <c r="AGN287" s="575"/>
      <c r="AGO287" s="575"/>
      <c r="AGP287" s="575"/>
      <c r="AGQ287" s="575"/>
      <c r="AGR287" s="575"/>
      <c r="AGS287" s="575"/>
      <c r="AGT287" s="575"/>
      <c r="AGU287" s="575"/>
      <c r="AGV287" s="575"/>
      <c r="AGW287" s="575"/>
      <c r="AGX287" s="575"/>
      <c r="AGY287" s="575"/>
      <c r="AGZ287" s="575"/>
      <c r="AHA287" s="575"/>
      <c r="AHB287" s="575"/>
      <c r="AHC287" s="575"/>
      <c r="AHD287" s="575"/>
      <c r="AHE287" s="575"/>
      <c r="AHF287" s="575"/>
      <c r="AHG287" s="575"/>
      <c r="AHH287" s="575"/>
      <c r="AHI287" s="575"/>
      <c r="AHJ287" s="575"/>
      <c r="AHK287" s="575"/>
      <c r="AHL287" s="575"/>
      <c r="AHM287" s="575"/>
      <c r="AHN287" s="575"/>
      <c r="AHO287" s="575"/>
      <c r="AHP287" s="575"/>
      <c r="AHQ287" s="575"/>
      <c r="AHR287" s="575"/>
      <c r="AHS287" s="575"/>
      <c r="AHT287" s="575"/>
      <c r="AHU287" s="575"/>
      <c r="AHV287" s="575"/>
      <c r="AHW287" s="575"/>
      <c r="AHX287" s="575"/>
      <c r="AHY287" s="575"/>
      <c r="AHZ287" s="575"/>
      <c r="AIA287" s="575"/>
      <c r="AIB287" s="575"/>
      <c r="AIC287" s="575"/>
      <c r="AID287" s="575"/>
      <c r="AIE287" s="575"/>
      <c r="AIF287" s="575"/>
      <c r="AIG287" s="575"/>
      <c r="AIH287" s="575"/>
      <c r="AII287" s="575"/>
      <c r="AIJ287" s="575"/>
      <c r="AIK287" s="575"/>
      <c r="AIL287" s="575"/>
      <c r="AIM287" s="575"/>
      <c r="AIN287" s="575"/>
      <c r="AIO287" s="575"/>
      <c r="AIP287" s="575"/>
      <c r="AIQ287" s="575"/>
      <c r="AIR287" s="575"/>
      <c r="AIS287" s="575"/>
      <c r="AIT287" s="575"/>
      <c r="AIU287" s="575"/>
      <c r="AIV287" s="575"/>
      <c r="AIW287" s="575"/>
      <c r="AIX287" s="575"/>
      <c r="AIY287" s="575"/>
      <c r="AIZ287" s="575"/>
      <c r="AJA287" s="575"/>
      <c r="AJB287" s="575"/>
      <c r="AJC287" s="575"/>
      <c r="AJD287" s="575"/>
      <c r="AJE287" s="575"/>
      <c r="AJF287" s="575"/>
      <c r="AJG287" s="575"/>
      <c r="AJH287" s="575"/>
      <c r="AJI287" s="575"/>
      <c r="AJJ287" s="575"/>
      <c r="AJK287" s="575"/>
      <c r="AJL287" s="575"/>
      <c r="AJM287" s="575"/>
      <c r="AJN287" s="575"/>
      <c r="AJO287" s="575"/>
      <c r="AJP287" s="575"/>
      <c r="AJQ287" s="575"/>
      <c r="AJR287" s="575"/>
      <c r="AJS287" s="575"/>
      <c r="AJT287" s="575"/>
      <c r="AJU287" s="575"/>
      <c r="AJV287" s="575"/>
      <c r="AJW287" s="575"/>
      <c r="AJX287" s="575"/>
      <c r="AJY287" s="575"/>
      <c r="AJZ287" s="575"/>
      <c r="AKA287" s="575"/>
      <c r="AKB287" s="575"/>
      <c r="AKC287" s="575"/>
      <c r="AKD287" s="575"/>
      <c r="AKE287" s="575"/>
      <c r="AKF287" s="575"/>
      <c r="AKG287" s="575"/>
      <c r="AKH287" s="575"/>
      <c r="AKI287" s="575"/>
      <c r="AKJ287" s="575"/>
      <c r="AKK287" s="575"/>
      <c r="AKL287" s="575"/>
      <c r="AKM287" s="575"/>
      <c r="AKN287" s="575"/>
      <c r="AKO287" s="575"/>
      <c r="AKP287" s="575"/>
      <c r="AKQ287" s="575"/>
      <c r="AKR287" s="575"/>
      <c r="AKS287" s="575"/>
      <c r="AKT287" s="575"/>
      <c r="AKU287" s="575"/>
      <c r="AKV287" s="575"/>
      <c r="AKW287" s="575"/>
      <c r="AKX287" s="575"/>
      <c r="AKY287" s="575"/>
      <c r="AKZ287" s="575"/>
      <c r="ALA287" s="575"/>
      <c r="ALB287" s="575"/>
      <c r="ALC287" s="575"/>
      <c r="ALD287" s="575"/>
      <c r="ALE287" s="575"/>
      <c r="ALF287" s="575"/>
      <c r="ALG287" s="575"/>
      <c r="ALH287" s="575"/>
      <c r="ALI287" s="575"/>
      <c r="ALJ287" s="575"/>
      <c r="ALK287" s="575"/>
      <c r="ALL287" s="575"/>
      <c r="ALM287" s="575"/>
      <c r="ALN287" s="575"/>
      <c r="ALO287" s="575"/>
      <c r="ALP287" s="575"/>
      <c r="ALQ287" s="575"/>
      <c r="ALR287" s="575"/>
      <c r="ALS287" s="575"/>
      <c r="ALT287" s="575"/>
      <c r="ALU287" s="575"/>
      <c r="ALV287" s="575"/>
      <c r="ALW287" s="575"/>
      <c r="ALX287" s="575"/>
      <c r="ALY287" s="575"/>
      <c r="ALZ287" s="575"/>
      <c r="AMA287" s="575"/>
      <c r="AMB287" s="575"/>
      <c r="AMC287" s="575"/>
      <c r="AMD287" s="575"/>
      <c r="AME287" s="575"/>
      <c r="AMF287" s="575"/>
      <c r="AMG287" s="575"/>
      <c r="AMH287" s="575"/>
      <c r="AMI287" s="575"/>
      <c r="AMJ287" s="575"/>
      <c r="AMK287" s="575"/>
      <c r="AML287" s="575"/>
      <c r="AMM287" s="575"/>
      <c r="AMN287" s="575"/>
      <c r="AMO287" s="575"/>
      <c r="AMP287" s="575"/>
      <c r="AMQ287" s="575"/>
      <c r="AMR287" s="575"/>
      <c r="AMS287" s="575"/>
      <c r="AMT287" s="575"/>
      <c r="AMU287" s="575"/>
      <c r="AMV287" s="575"/>
      <c r="AMW287" s="575"/>
      <c r="AMX287" s="575"/>
      <c r="AMY287" s="575"/>
      <c r="AMZ287" s="575"/>
      <c r="ANA287" s="575"/>
      <c r="ANB287" s="575"/>
      <c r="ANC287" s="575"/>
      <c r="AND287" s="575"/>
      <c r="ANE287" s="575"/>
      <c r="ANF287" s="575"/>
      <c r="ANG287" s="575"/>
      <c r="ANH287" s="575"/>
      <c r="ANI287" s="575"/>
      <c r="ANJ287" s="575"/>
      <c r="ANK287" s="575"/>
      <c r="ANL287" s="575"/>
      <c r="ANM287" s="575"/>
      <c r="ANN287" s="575"/>
      <c r="ANO287" s="575"/>
      <c r="ANP287" s="575"/>
      <c r="ANQ287" s="575"/>
      <c r="ANR287" s="575"/>
      <c r="ANS287" s="575"/>
      <c r="ANT287" s="575"/>
      <c r="ANU287" s="575"/>
      <c r="ANV287" s="575"/>
      <c r="ANW287" s="575"/>
      <c r="ANX287" s="575"/>
      <c r="ANY287" s="575"/>
      <c r="ANZ287" s="575"/>
      <c r="AOA287" s="575"/>
      <c r="AOB287" s="575"/>
      <c r="AOC287" s="575"/>
      <c r="AOD287" s="575"/>
      <c r="AOE287" s="575"/>
      <c r="AOF287" s="575"/>
      <c r="AOG287" s="575"/>
      <c r="AOH287" s="575"/>
      <c r="AOI287" s="575"/>
      <c r="AOJ287" s="575"/>
      <c r="AOK287" s="575"/>
      <c r="AOL287" s="575"/>
      <c r="AOM287" s="575"/>
      <c r="AON287" s="575"/>
      <c r="AOO287" s="575"/>
      <c r="AOP287" s="575"/>
      <c r="AOQ287" s="575"/>
      <c r="AOR287" s="575"/>
      <c r="AOS287" s="575"/>
      <c r="AOT287" s="575"/>
      <c r="AOU287" s="575"/>
      <c r="AOV287" s="575"/>
      <c r="AOW287" s="575"/>
      <c r="AOX287" s="575"/>
      <c r="AOY287" s="575"/>
      <c r="AOZ287" s="575"/>
      <c r="APA287" s="575"/>
      <c r="APB287" s="575"/>
      <c r="APC287" s="575"/>
      <c r="APD287" s="575"/>
      <c r="APE287" s="575"/>
      <c r="APF287" s="575"/>
      <c r="APG287" s="575"/>
      <c r="APH287" s="575"/>
      <c r="API287" s="575"/>
      <c r="APJ287" s="575"/>
      <c r="APK287" s="575"/>
      <c r="APL287" s="575"/>
      <c r="APM287" s="575"/>
      <c r="APN287" s="575"/>
      <c r="APO287" s="575"/>
      <c r="APP287" s="575"/>
      <c r="APQ287" s="575"/>
      <c r="APR287" s="575"/>
      <c r="APS287" s="575"/>
      <c r="APT287" s="575"/>
      <c r="APU287" s="575"/>
      <c r="APV287" s="575"/>
      <c r="APW287" s="575"/>
      <c r="APX287" s="575"/>
      <c r="APY287" s="575"/>
      <c r="APZ287" s="575"/>
      <c r="AQA287" s="575"/>
      <c r="AQB287" s="575"/>
      <c r="AQC287" s="575"/>
      <c r="AQD287" s="575"/>
      <c r="AQE287" s="575"/>
      <c r="AQF287" s="575"/>
      <c r="AQG287" s="575"/>
      <c r="AQH287" s="575"/>
      <c r="AQI287" s="575"/>
      <c r="AQJ287" s="575"/>
      <c r="AQK287" s="575"/>
      <c r="AQL287" s="575"/>
      <c r="AQM287" s="575"/>
      <c r="AQN287" s="575"/>
      <c r="AQO287" s="575"/>
      <c r="AQP287" s="575"/>
      <c r="AQQ287" s="575"/>
      <c r="AQR287" s="575"/>
      <c r="AQS287" s="575"/>
      <c r="AQT287" s="575"/>
      <c r="AQU287" s="575"/>
      <c r="AQV287" s="575"/>
      <c r="AQW287" s="575"/>
      <c r="AQX287" s="575"/>
      <c r="AQY287" s="575"/>
      <c r="AQZ287" s="575"/>
      <c r="ARA287" s="575"/>
      <c r="ARB287" s="575"/>
      <c r="ARC287" s="575"/>
      <c r="ARD287" s="575"/>
      <c r="ARE287" s="575"/>
      <c r="ARF287" s="575"/>
      <c r="ARG287" s="575"/>
      <c r="ARH287" s="575"/>
      <c r="ARI287" s="575"/>
      <c r="ARJ287" s="575"/>
      <c r="ARK287" s="575"/>
      <c r="ARL287" s="575"/>
      <c r="ARM287" s="575"/>
      <c r="ARN287" s="575"/>
      <c r="ARO287" s="575"/>
      <c r="ARP287" s="575"/>
      <c r="ARQ287" s="575"/>
      <c r="ARR287" s="575"/>
      <c r="ARS287" s="575"/>
      <c r="ART287" s="575"/>
      <c r="ARU287" s="575"/>
      <c r="ARV287" s="575"/>
      <c r="ARW287" s="575"/>
      <c r="ARX287" s="575"/>
      <c r="ARY287" s="575"/>
      <c r="ARZ287" s="575"/>
      <c r="ASA287" s="575"/>
      <c r="ASB287" s="575"/>
      <c r="ASC287" s="575"/>
      <c r="ASD287" s="575"/>
      <c r="ASE287" s="575"/>
      <c r="ASF287" s="575"/>
      <c r="ASG287" s="575"/>
      <c r="ASH287" s="575"/>
      <c r="ASI287" s="575"/>
      <c r="ASJ287" s="575"/>
      <c r="ASK287" s="575"/>
      <c r="ASL287" s="575"/>
      <c r="ASM287" s="575"/>
      <c r="ASN287" s="575"/>
      <c r="ASO287" s="575"/>
      <c r="ASP287" s="575"/>
      <c r="ASQ287" s="575"/>
      <c r="ASR287" s="575"/>
      <c r="ASS287" s="575"/>
      <c r="AST287" s="575"/>
      <c r="ASU287" s="575"/>
      <c r="ASV287" s="575"/>
      <c r="ASW287" s="575"/>
      <c r="ASX287" s="575"/>
      <c r="ASY287" s="575"/>
      <c r="ASZ287" s="575"/>
      <c r="ATA287" s="575"/>
      <c r="ATB287" s="575"/>
      <c r="ATC287" s="575"/>
      <c r="ATD287" s="575"/>
      <c r="ATE287" s="575"/>
      <c r="ATF287" s="575"/>
      <c r="ATG287" s="575"/>
      <c r="ATH287" s="575"/>
      <c r="ATI287" s="575"/>
      <c r="ATJ287" s="575"/>
      <c r="ATK287" s="575"/>
      <c r="ATL287" s="575"/>
      <c r="ATM287" s="575"/>
      <c r="ATN287" s="575"/>
      <c r="ATO287" s="575"/>
      <c r="ATP287" s="575"/>
      <c r="ATQ287" s="575"/>
      <c r="ATR287" s="575"/>
      <c r="ATS287" s="575"/>
      <c r="ATT287" s="575"/>
      <c r="ATU287" s="575"/>
      <c r="ATV287" s="575"/>
      <c r="ATW287" s="575"/>
      <c r="ATX287" s="575"/>
      <c r="ATY287" s="575"/>
      <c r="ATZ287" s="575"/>
      <c r="AUA287" s="575"/>
      <c r="AUB287" s="575"/>
      <c r="AUC287" s="575"/>
      <c r="AUD287" s="575"/>
      <c r="AUE287" s="575"/>
      <c r="AUF287" s="575"/>
      <c r="AUG287" s="575"/>
      <c r="AUH287" s="575"/>
      <c r="AUI287" s="575"/>
      <c r="AUJ287" s="575"/>
      <c r="AUK287" s="575"/>
      <c r="AUL287" s="575"/>
      <c r="AUM287" s="575"/>
      <c r="AUN287" s="575"/>
      <c r="AUO287" s="575"/>
      <c r="AUP287" s="575"/>
      <c r="AUQ287" s="575"/>
      <c r="AUR287" s="575"/>
      <c r="AUS287" s="575"/>
      <c r="AUT287" s="575"/>
      <c r="AUU287" s="575"/>
      <c r="AUV287" s="575"/>
      <c r="AUW287" s="575"/>
      <c r="AUX287" s="575"/>
      <c r="AUY287" s="575"/>
      <c r="AUZ287" s="575"/>
      <c r="AVA287" s="575"/>
      <c r="AVB287" s="575"/>
      <c r="AVC287" s="575"/>
      <c r="AVD287" s="575"/>
      <c r="AVE287" s="575"/>
      <c r="AVF287" s="575"/>
      <c r="AVG287" s="575"/>
      <c r="AVH287" s="575"/>
      <c r="AVI287" s="575"/>
      <c r="AVJ287" s="575"/>
      <c r="AVK287" s="575"/>
      <c r="AVL287" s="575"/>
      <c r="AVM287" s="575"/>
      <c r="AVN287" s="575"/>
      <c r="AVO287" s="575"/>
      <c r="AVP287" s="575"/>
      <c r="AVQ287" s="575"/>
      <c r="AVR287" s="575"/>
      <c r="AVS287" s="575"/>
      <c r="AVT287" s="575"/>
      <c r="AVU287" s="575"/>
      <c r="AVV287" s="575"/>
      <c r="AVW287" s="575"/>
      <c r="AVX287" s="575"/>
      <c r="AVY287" s="575"/>
      <c r="AVZ287" s="575"/>
      <c r="AWA287" s="575"/>
      <c r="AWB287" s="575"/>
      <c r="AWC287" s="575"/>
      <c r="AWD287" s="575"/>
      <c r="AWE287" s="575"/>
      <c r="AWF287" s="575"/>
      <c r="AWG287" s="575"/>
      <c r="AWH287" s="575"/>
      <c r="AWI287" s="575"/>
      <c r="AWJ287" s="575"/>
      <c r="AWK287" s="575"/>
      <c r="AWL287" s="575"/>
      <c r="AWM287" s="575"/>
      <c r="AWN287" s="575"/>
      <c r="AWO287" s="575"/>
      <c r="AWP287" s="575"/>
      <c r="AWQ287" s="575"/>
      <c r="AWR287" s="575"/>
      <c r="AWS287" s="575"/>
      <c r="AWT287" s="575"/>
      <c r="AWU287" s="575"/>
      <c r="AWV287" s="575"/>
      <c r="AWW287" s="575"/>
      <c r="AWX287" s="575"/>
      <c r="AWY287" s="575"/>
      <c r="AWZ287" s="575"/>
      <c r="AXA287" s="575"/>
      <c r="AXB287" s="575"/>
      <c r="AXC287" s="575"/>
      <c r="AXD287" s="575"/>
      <c r="AXE287" s="575"/>
      <c r="AXF287" s="575"/>
      <c r="AXG287" s="575"/>
      <c r="AXH287" s="575"/>
      <c r="AXI287" s="575"/>
      <c r="AXJ287" s="575"/>
      <c r="AXK287" s="575"/>
      <c r="AXL287" s="575"/>
      <c r="AXM287" s="575"/>
      <c r="AXN287" s="575"/>
      <c r="AXO287" s="575"/>
      <c r="AXP287" s="575"/>
      <c r="AXQ287" s="575"/>
      <c r="AXR287" s="575"/>
      <c r="AXS287" s="575"/>
      <c r="AXT287" s="575"/>
      <c r="AXU287" s="575"/>
      <c r="AXV287" s="575"/>
      <c r="AXW287" s="575"/>
      <c r="AXX287" s="575"/>
      <c r="AXY287" s="575"/>
      <c r="AXZ287" s="575"/>
      <c r="AYA287" s="575"/>
      <c r="AYB287" s="575"/>
      <c r="AYC287" s="575"/>
      <c r="AYD287" s="575"/>
      <c r="AYE287" s="575"/>
      <c r="AYF287" s="575"/>
      <c r="AYG287" s="575"/>
      <c r="AYH287" s="575"/>
      <c r="AYI287" s="575"/>
      <c r="AYJ287" s="575"/>
      <c r="AYK287" s="575"/>
      <c r="AYL287" s="575"/>
      <c r="AYM287" s="575"/>
      <c r="AYN287" s="575"/>
      <c r="AYO287" s="575"/>
      <c r="AYP287" s="575"/>
      <c r="AYQ287" s="575"/>
      <c r="AYR287" s="575"/>
      <c r="AYS287" s="575"/>
      <c r="AYT287" s="575"/>
      <c r="AYU287" s="575"/>
      <c r="AYV287" s="575"/>
      <c r="AYW287" s="575"/>
      <c r="AYX287" s="575"/>
      <c r="AYY287" s="575"/>
      <c r="AYZ287" s="575"/>
      <c r="AZA287" s="575"/>
      <c r="AZB287" s="575"/>
      <c r="AZC287" s="575"/>
      <c r="AZD287" s="575"/>
      <c r="AZE287" s="575"/>
      <c r="AZF287" s="575"/>
      <c r="AZG287" s="575"/>
      <c r="AZH287" s="575"/>
      <c r="AZI287" s="575"/>
      <c r="AZJ287" s="575"/>
      <c r="AZK287" s="575"/>
      <c r="AZL287" s="575"/>
      <c r="AZM287" s="575"/>
      <c r="AZN287" s="575"/>
      <c r="AZO287" s="575"/>
      <c r="AZP287" s="575"/>
      <c r="AZQ287" s="575"/>
      <c r="AZR287" s="575"/>
      <c r="AZS287" s="575"/>
      <c r="AZT287" s="575"/>
      <c r="AZU287" s="575"/>
      <c r="AZV287" s="575"/>
      <c r="AZW287" s="575"/>
      <c r="AZX287" s="575"/>
      <c r="AZY287" s="575"/>
      <c r="AZZ287" s="575"/>
      <c r="BAA287" s="575"/>
      <c r="BAB287" s="575"/>
      <c r="BAC287" s="575"/>
      <c r="BAD287" s="575"/>
      <c r="BAE287" s="575"/>
      <c r="BAF287" s="575"/>
      <c r="BAG287" s="575"/>
      <c r="BAH287" s="575"/>
      <c r="BAI287" s="575"/>
      <c r="BAJ287" s="575"/>
      <c r="BAK287" s="575"/>
      <c r="BAL287" s="575"/>
      <c r="BAM287" s="575"/>
      <c r="BAN287" s="575"/>
      <c r="BAO287" s="575"/>
      <c r="BAP287" s="575"/>
      <c r="BAQ287" s="575"/>
      <c r="BAR287" s="575"/>
      <c r="BAS287" s="575"/>
      <c r="BAT287" s="575"/>
      <c r="BAU287" s="575"/>
      <c r="BAV287" s="575"/>
      <c r="BAW287" s="575"/>
      <c r="BAX287" s="575"/>
      <c r="BAY287" s="575"/>
      <c r="BAZ287" s="575"/>
      <c r="BBA287" s="575"/>
      <c r="BBB287" s="575"/>
      <c r="BBC287" s="575"/>
      <c r="BBD287" s="575"/>
      <c r="BBE287" s="575"/>
      <c r="BBF287" s="575"/>
      <c r="BBG287" s="575"/>
      <c r="BBH287" s="575"/>
      <c r="BBI287" s="575"/>
      <c r="BBJ287" s="575"/>
      <c r="BBK287" s="575"/>
      <c r="BBL287" s="575"/>
      <c r="BBM287" s="575"/>
      <c r="BBN287" s="575"/>
      <c r="BBO287" s="575"/>
      <c r="BBP287" s="575"/>
      <c r="BBQ287" s="575"/>
      <c r="BBR287" s="575"/>
      <c r="BBS287" s="575"/>
      <c r="BBT287" s="575"/>
      <c r="BBU287" s="575"/>
      <c r="BBV287" s="575"/>
      <c r="BBW287" s="575"/>
      <c r="BBX287" s="575"/>
      <c r="BBY287" s="575"/>
      <c r="BBZ287" s="575"/>
      <c r="BCA287" s="575"/>
      <c r="BCB287" s="575"/>
      <c r="BCC287" s="575"/>
      <c r="BCD287" s="575"/>
      <c r="BCE287" s="575"/>
      <c r="BCF287" s="575"/>
      <c r="BCG287" s="575"/>
      <c r="BCH287" s="575"/>
      <c r="BCI287" s="575"/>
      <c r="BCJ287" s="575"/>
      <c r="BCK287" s="575"/>
      <c r="BCL287" s="575"/>
      <c r="BCM287" s="575"/>
      <c r="BCN287" s="575"/>
      <c r="BCO287" s="575"/>
      <c r="BCP287" s="575"/>
      <c r="BCQ287" s="575"/>
      <c r="BCR287" s="575"/>
      <c r="BCS287" s="575"/>
      <c r="BCT287" s="575"/>
      <c r="BCU287" s="575"/>
      <c r="BCV287" s="575"/>
      <c r="BCW287" s="575"/>
      <c r="BCX287" s="575"/>
      <c r="BCY287" s="575"/>
      <c r="BCZ287" s="575"/>
      <c r="BDA287" s="575"/>
      <c r="BDB287" s="575"/>
      <c r="BDC287" s="575"/>
      <c r="BDD287" s="575"/>
      <c r="BDE287" s="575"/>
      <c r="BDF287" s="575"/>
      <c r="BDG287" s="575"/>
      <c r="BDH287" s="575"/>
      <c r="BDI287" s="575"/>
      <c r="BDJ287" s="575"/>
      <c r="BDK287" s="575"/>
      <c r="BDL287" s="575"/>
      <c r="BDM287" s="575"/>
      <c r="BDN287" s="575"/>
      <c r="BDO287" s="575"/>
      <c r="BDP287" s="575"/>
      <c r="BDQ287" s="575"/>
      <c r="BDR287" s="575"/>
      <c r="BDS287" s="575"/>
      <c r="BDT287" s="575"/>
    </row>
    <row r="288" spans="1:1476" s="632" customFormat="1" x14ac:dyDescent="0.25">
      <c r="A288" s="608">
        <v>5919</v>
      </c>
      <c r="B288" s="609" t="s">
        <v>322</v>
      </c>
      <c r="C288" s="610">
        <v>1091725.5</v>
      </c>
      <c r="D288" s="610">
        <v>218910.67</v>
      </c>
      <c r="E288" s="610"/>
      <c r="F288" s="611">
        <v>3960</v>
      </c>
      <c r="G288" s="610">
        <v>37342.85</v>
      </c>
      <c r="H288" s="610">
        <v>1037.4000000000001</v>
      </c>
      <c r="I288" s="610"/>
      <c r="J288" s="610">
        <v>23986.73</v>
      </c>
      <c r="K288" s="610">
        <v>11383.75</v>
      </c>
      <c r="L288" s="610">
        <v>148460.75</v>
      </c>
      <c r="M288" s="434">
        <f t="shared" si="16"/>
        <v>1536807.65</v>
      </c>
      <c r="N288" s="612">
        <v>14768.6</v>
      </c>
      <c r="O288" s="612">
        <v>16275.4</v>
      </c>
      <c r="P288" s="612">
        <v>222178.95</v>
      </c>
      <c r="Q288" s="612">
        <v>7673.07</v>
      </c>
      <c r="R288" s="612">
        <v>48237.25</v>
      </c>
      <c r="S288" s="610">
        <v>4010.93</v>
      </c>
      <c r="T288" s="543">
        <f t="shared" si="17"/>
        <v>1849951.8499999999</v>
      </c>
      <c r="U288" s="575">
        <v>-22232.55</v>
      </c>
      <c r="V288" s="612"/>
      <c r="W288" s="612">
        <v>0</v>
      </c>
      <c r="X288" s="624">
        <v>72</v>
      </c>
      <c r="Y288" s="631">
        <v>1.2</v>
      </c>
      <c r="Z288" s="628">
        <f>VLOOKUP(A288,'[2]2022 toutes communes'!$B$9:$D$317,3,FALSE)</f>
        <v>684</v>
      </c>
      <c r="AA288" s="617"/>
      <c r="AB288" s="618">
        <v>105947</v>
      </c>
      <c r="AC288" s="547">
        <f>AB288/VPI!R288</f>
        <v>5.0803227008230136</v>
      </c>
      <c r="AD288" s="548">
        <f t="shared" si="18"/>
        <v>125571</v>
      </c>
      <c r="AE288" s="547">
        <f>AD288/VPI!R288</f>
        <v>6.0213238870854919</v>
      </c>
      <c r="AF288" s="618">
        <v>231518</v>
      </c>
      <c r="AG288" s="618">
        <v>46953</v>
      </c>
      <c r="AH288" s="618">
        <v>20089</v>
      </c>
      <c r="AI288" s="637"/>
      <c r="AJ288" s="628">
        <v>0</v>
      </c>
      <c r="AK288" s="547">
        <f>AJ288/VPI!R288</f>
        <v>0</v>
      </c>
      <c r="AL288" s="548">
        <f t="shared" si="20"/>
        <v>-52965</v>
      </c>
      <c r="AM288" s="547">
        <f>AL288/VPI!R288</f>
        <v>-2.5397537622499073</v>
      </c>
      <c r="AN288" s="628">
        <v>-52965</v>
      </c>
      <c r="AO288" s="637"/>
      <c r="AP288" s="629">
        <v>12.061962787574767</v>
      </c>
      <c r="AQ288" s="575"/>
      <c r="AR288" s="630">
        <v>1</v>
      </c>
      <c r="AS288" s="575"/>
      <c r="AT288" s="575"/>
      <c r="AU288" s="575"/>
      <c r="AV288" s="575"/>
      <c r="AW288" s="575"/>
      <c r="AX288" s="575"/>
      <c r="AY288" s="575"/>
      <c r="AZ288" s="575"/>
      <c r="BA288" s="575"/>
      <c r="BB288" s="575"/>
      <c r="BC288" s="575"/>
      <c r="BD288" s="575"/>
      <c r="BE288" s="575"/>
      <c r="BF288" s="575"/>
      <c r="BG288" s="575"/>
      <c r="BH288" s="575"/>
      <c r="BI288" s="575"/>
      <c r="BJ288" s="575"/>
      <c r="BK288" s="575"/>
      <c r="BL288" s="575"/>
      <c r="BM288" s="575"/>
      <c r="BN288" s="575"/>
      <c r="BO288" s="575"/>
      <c r="BP288" s="575"/>
      <c r="BQ288" s="575"/>
      <c r="BR288" s="575"/>
      <c r="BS288" s="575"/>
      <c r="BT288" s="575"/>
      <c r="BU288" s="575"/>
      <c r="BV288" s="575"/>
      <c r="BW288" s="575"/>
      <c r="BX288" s="575"/>
      <c r="BY288" s="575"/>
      <c r="BZ288" s="575"/>
      <c r="CA288" s="575"/>
      <c r="CB288" s="575"/>
      <c r="CC288" s="575"/>
      <c r="CD288" s="575"/>
      <c r="CE288" s="575"/>
      <c r="CF288" s="575"/>
      <c r="CG288" s="575"/>
      <c r="CH288" s="575"/>
      <c r="CI288" s="575"/>
      <c r="CJ288" s="575"/>
      <c r="CK288" s="575"/>
      <c r="CL288" s="575"/>
      <c r="CM288" s="575"/>
      <c r="CN288" s="575"/>
      <c r="CO288" s="575"/>
      <c r="CP288" s="575"/>
      <c r="CQ288" s="575"/>
      <c r="CR288" s="575"/>
      <c r="CS288" s="575"/>
      <c r="CT288" s="575"/>
      <c r="CU288" s="575"/>
      <c r="CV288" s="575"/>
      <c r="CW288" s="575"/>
      <c r="CX288" s="575"/>
      <c r="CY288" s="575"/>
      <c r="CZ288" s="575"/>
      <c r="DA288" s="575"/>
      <c r="DB288" s="575"/>
      <c r="DC288" s="575"/>
      <c r="DD288" s="575"/>
      <c r="DE288" s="575"/>
      <c r="DF288" s="575"/>
      <c r="DG288" s="575"/>
      <c r="DH288" s="575"/>
      <c r="DI288" s="575"/>
      <c r="DJ288" s="575"/>
      <c r="DK288" s="575"/>
      <c r="DL288" s="575"/>
      <c r="DM288" s="575"/>
      <c r="DN288" s="575"/>
      <c r="DO288" s="575"/>
      <c r="DP288" s="575"/>
      <c r="DQ288" s="575"/>
      <c r="DR288" s="575"/>
      <c r="DS288" s="575"/>
      <c r="DT288" s="575"/>
      <c r="DU288" s="575"/>
      <c r="DV288" s="575"/>
      <c r="DW288" s="575"/>
      <c r="DX288" s="575"/>
      <c r="DY288" s="575"/>
      <c r="DZ288" s="575"/>
      <c r="EA288" s="575"/>
      <c r="EB288" s="575"/>
      <c r="EC288" s="575"/>
      <c r="ED288" s="575"/>
      <c r="EE288" s="575"/>
      <c r="EF288" s="575"/>
      <c r="EG288" s="575"/>
      <c r="EH288" s="575"/>
      <c r="EI288" s="575"/>
      <c r="EJ288" s="575"/>
      <c r="EK288" s="575"/>
      <c r="EL288" s="575"/>
      <c r="EM288" s="575"/>
      <c r="EN288" s="575"/>
      <c r="EO288" s="575"/>
      <c r="EP288" s="575"/>
      <c r="EQ288" s="575"/>
      <c r="ER288" s="575"/>
      <c r="ES288" s="575"/>
      <c r="ET288" s="575"/>
      <c r="EU288" s="575"/>
      <c r="EV288" s="575"/>
      <c r="EW288" s="575"/>
      <c r="EX288" s="575"/>
      <c r="EY288" s="575"/>
      <c r="EZ288" s="575"/>
      <c r="FA288" s="575"/>
      <c r="FB288" s="575"/>
      <c r="FC288" s="575"/>
      <c r="FD288" s="575"/>
      <c r="FE288" s="575"/>
      <c r="FF288" s="575"/>
      <c r="FG288" s="575"/>
      <c r="FH288" s="575"/>
      <c r="FI288" s="575"/>
      <c r="FJ288" s="575"/>
      <c r="FK288" s="575"/>
      <c r="FL288" s="575"/>
      <c r="FM288" s="575"/>
      <c r="FN288" s="575"/>
      <c r="FO288" s="575"/>
      <c r="FP288" s="575"/>
      <c r="FQ288" s="575"/>
      <c r="FR288" s="575"/>
      <c r="FS288" s="575"/>
      <c r="FT288" s="575"/>
      <c r="FU288" s="575"/>
      <c r="FV288" s="575"/>
      <c r="FW288" s="575"/>
      <c r="FX288" s="575"/>
      <c r="FY288" s="575"/>
      <c r="FZ288" s="575"/>
      <c r="GA288" s="575"/>
      <c r="GB288" s="575"/>
      <c r="GC288" s="575"/>
      <c r="GD288" s="575"/>
      <c r="GE288" s="575"/>
      <c r="GF288" s="575"/>
      <c r="GG288" s="575"/>
      <c r="GH288" s="575"/>
      <c r="GI288" s="575"/>
      <c r="GJ288" s="575"/>
      <c r="GK288" s="575"/>
      <c r="GL288" s="575"/>
      <c r="GM288" s="575"/>
      <c r="GN288" s="575"/>
      <c r="GO288" s="575"/>
      <c r="GP288" s="575"/>
      <c r="GQ288" s="575"/>
      <c r="GR288" s="575"/>
      <c r="GS288" s="575"/>
      <c r="GT288" s="575"/>
      <c r="GU288" s="575"/>
      <c r="GV288" s="575"/>
      <c r="GW288" s="575"/>
      <c r="GX288" s="575"/>
      <c r="GY288" s="575"/>
      <c r="GZ288" s="575"/>
      <c r="HA288" s="575"/>
      <c r="HB288" s="575"/>
      <c r="HC288" s="575"/>
      <c r="HD288" s="575"/>
      <c r="HE288" s="575"/>
      <c r="HF288" s="575"/>
      <c r="HG288" s="575"/>
      <c r="HH288" s="575"/>
      <c r="HI288" s="575"/>
      <c r="HJ288" s="575"/>
      <c r="HK288" s="575"/>
      <c r="HL288" s="575"/>
      <c r="HM288" s="575"/>
      <c r="HN288" s="575"/>
      <c r="HO288" s="575"/>
      <c r="HP288" s="575"/>
      <c r="HQ288" s="575"/>
      <c r="HR288" s="575"/>
      <c r="HS288" s="575"/>
      <c r="HT288" s="575"/>
      <c r="HU288" s="575"/>
      <c r="HV288" s="575"/>
      <c r="HW288" s="575"/>
      <c r="HX288" s="575"/>
      <c r="HY288" s="575"/>
      <c r="HZ288" s="575"/>
      <c r="IA288" s="575"/>
      <c r="IB288" s="575"/>
      <c r="IC288" s="575"/>
      <c r="ID288" s="575"/>
      <c r="IE288" s="575"/>
      <c r="IF288" s="575"/>
      <c r="IG288" s="575"/>
      <c r="IH288" s="575"/>
      <c r="II288" s="575"/>
      <c r="IJ288" s="575"/>
      <c r="IK288" s="575"/>
      <c r="IL288" s="575"/>
      <c r="IM288" s="575"/>
      <c r="IN288" s="575"/>
      <c r="IO288" s="575"/>
      <c r="IP288" s="575"/>
      <c r="IQ288" s="575"/>
      <c r="IR288" s="575"/>
      <c r="IS288" s="575"/>
      <c r="IT288" s="575"/>
      <c r="IU288" s="575"/>
      <c r="IV288" s="575"/>
      <c r="IW288" s="575"/>
      <c r="IX288" s="575"/>
      <c r="IY288" s="575"/>
      <c r="IZ288" s="575"/>
      <c r="JA288" s="575"/>
      <c r="JB288" s="575"/>
      <c r="JC288" s="575"/>
      <c r="JD288" s="575"/>
      <c r="JE288" s="575"/>
      <c r="JF288" s="575"/>
      <c r="JG288" s="575"/>
      <c r="JH288" s="575"/>
      <c r="JI288" s="575"/>
      <c r="JJ288" s="575"/>
      <c r="JK288" s="575"/>
      <c r="JL288" s="575"/>
      <c r="JM288" s="575"/>
      <c r="JN288" s="575"/>
      <c r="JO288" s="575"/>
      <c r="JP288" s="575"/>
      <c r="JQ288" s="575"/>
      <c r="JR288" s="575"/>
      <c r="JS288" s="575"/>
      <c r="JT288" s="575"/>
      <c r="JU288" s="575"/>
      <c r="JV288" s="575"/>
      <c r="JW288" s="575"/>
      <c r="JX288" s="575"/>
      <c r="JY288" s="575"/>
      <c r="JZ288" s="575"/>
      <c r="KA288" s="575"/>
      <c r="KB288" s="575"/>
      <c r="KC288" s="575"/>
      <c r="KD288" s="575"/>
      <c r="KE288" s="575"/>
      <c r="KF288" s="575"/>
      <c r="KG288" s="575"/>
      <c r="KH288" s="575"/>
      <c r="KI288" s="575"/>
      <c r="KJ288" s="575"/>
      <c r="KK288" s="575"/>
      <c r="KL288" s="575"/>
      <c r="KM288" s="575"/>
      <c r="KN288" s="575"/>
      <c r="KO288" s="575"/>
      <c r="KP288" s="575"/>
      <c r="KQ288" s="575"/>
      <c r="KR288" s="575"/>
      <c r="KS288" s="575"/>
      <c r="KT288" s="575"/>
      <c r="KU288" s="575"/>
      <c r="KV288" s="575"/>
      <c r="KW288" s="575"/>
      <c r="KX288" s="575"/>
      <c r="KY288" s="575"/>
      <c r="KZ288" s="575"/>
      <c r="LA288" s="575"/>
      <c r="LB288" s="575"/>
      <c r="LC288" s="575"/>
      <c r="LD288" s="575"/>
      <c r="LE288" s="575"/>
      <c r="LF288" s="575"/>
      <c r="LG288" s="575"/>
      <c r="LH288" s="575"/>
      <c r="LI288" s="575"/>
      <c r="LJ288" s="575"/>
      <c r="LK288" s="575"/>
      <c r="LL288" s="575"/>
      <c r="LM288" s="575"/>
      <c r="LN288" s="575"/>
      <c r="LO288" s="575"/>
      <c r="LP288" s="575"/>
      <c r="LQ288" s="575"/>
      <c r="LR288" s="575"/>
      <c r="LS288" s="575"/>
      <c r="LT288" s="575"/>
      <c r="LU288" s="575"/>
      <c r="LV288" s="575"/>
      <c r="LW288" s="575"/>
      <c r="LX288" s="575"/>
      <c r="LY288" s="575"/>
      <c r="LZ288" s="575"/>
      <c r="MA288" s="575"/>
      <c r="MB288" s="575"/>
      <c r="MC288" s="575"/>
      <c r="MD288" s="575"/>
      <c r="ME288" s="575"/>
      <c r="MF288" s="575"/>
      <c r="MG288" s="575"/>
      <c r="MH288" s="575"/>
      <c r="MI288" s="575"/>
      <c r="MJ288" s="575"/>
      <c r="MK288" s="575"/>
      <c r="ML288" s="575"/>
      <c r="MM288" s="575"/>
      <c r="MN288" s="575"/>
      <c r="MO288" s="575"/>
      <c r="MP288" s="575"/>
      <c r="MQ288" s="575"/>
      <c r="MR288" s="575"/>
      <c r="MS288" s="575"/>
      <c r="MT288" s="575"/>
      <c r="MU288" s="575"/>
      <c r="MV288" s="575"/>
      <c r="MW288" s="575"/>
      <c r="MX288" s="575"/>
      <c r="MY288" s="575"/>
      <c r="MZ288" s="575"/>
      <c r="NA288" s="575"/>
      <c r="NB288" s="575"/>
      <c r="NC288" s="575"/>
      <c r="ND288" s="575"/>
      <c r="NE288" s="575"/>
      <c r="NF288" s="575"/>
      <c r="NG288" s="575"/>
      <c r="NH288" s="575"/>
      <c r="NI288" s="575"/>
      <c r="NJ288" s="575"/>
      <c r="NK288" s="575"/>
      <c r="NL288" s="575"/>
      <c r="NM288" s="575"/>
      <c r="NN288" s="575"/>
      <c r="NO288" s="575"/>
      <c r="NP288" s="575"/>
      <c r="NQ288" s="575"/>
      <c r="NR288" s="575"/>
      <c r="NS288" s="575"/>
      <c r="NT288" s="575"/>
      <c r="NU288" s="575"/>
      <c r="NV288" s="575"/>
      <c r="NW288" s="575"/>
      <c r="NX288" s="575"/>
      <c r="NY288" s="575"/>
      <c r="NZ288" s="575"/>
      <c r="OA288" s="575"/>
      <c r="OB288" s="575"/>
      <c r="OC288" s="575"/>
      <c r="OD288" s="575"/>
      <c r="OE288" s="575"/>
      <c r="OF288" s="575"/>
      <c r="OG288" s="575"/>
      <c r="OH288" s="575"/>
      <c r="OI288" s="575"/>
      <c r="OJ288" s="575"/>
      <c r="OK288" s="575"/>
      <c r="OL288" s="575"/>
      <c r="OM288" s="575"/>
      <c r="ON288" s="575"/>
      <c r="OO288" s="575"/>
      <c r="OP288" s="575"/>
      <c r="OQ288" s="575"/>
      <c r="OR288" s="575"/>
      <c r="OS288" s="575"/>
      <c r="OT288" s="575"/>
      <c r="OU288" s="575"/>
      <c r="OV288" s="575"/>
      <c r="OW288" s="575"/>
      <c r="OX288" s="575"/>
      <c r="OY288" s="575"/>
      <c r="OZ288" s="575"/>
      <c r="PA288" s="575"/>
      <c r="PB288" s="575"/>
      <c r="PC288" s="575"/>
      <c r="PD288" s="575"/>
      <c r="PE288" s="575"/>
      <c r="PF288" s="575"/>
      <c r="PG288" s="575"/>
      <c r="PH288" s="575"/>
      <c r="PI288" s="575"/>
      <c r="PJ288" s="575"/>
      <c r="PK288" s="575"/>
      <c r="PL288" s="575"/>
      <c r="PM288" s="575"/>
      <c r="PN288" s="575"/>
      <c r="PO288" s="575"/>
      <c r="PP288" s="575"/>
      <c r="PQ288" s="575"/>
      <c r="PR288" s="575"/>
      <c r="PS288" s="575"/>
      <c r="PT288" s="575"/>
      <c r="PU288" s="575"/>
      <c r="PV288" s="575"/>
      <c r="PW288" s="575"/>
      <c r="PX288" s="575"/>
      <c r="PY288" s="575"/>
      <c r="PZ288" s="575"/>
      <c r="QA288" s="575"/>
      <c r="QB288" s="575"/>
      <c r="QC288" s="575"/>
      <c r="QD288" s="575"/>
      <c r="QE288" s="575"/>
      <c r="QF288" s="575"/>
      <c r="QG288" s="575"/>
      <c r="QH288" s="575"/>
      <c r="QI288" s="575"/>
      <c r="QJ288" s="575"/>
      <c r="QK288" s="575"/>
      <c r="QL288" s="575"/>
      <c r="QM288" s="575"/>
      <c r="QN288" s="575"/>
      <c r="QO288" s="575"/>
      <c r="QP288" s="575"/>
      <c r="QQ288" s="575"/>
      <c r="QR288" s="575"/>
      <c r="QS288" s="575"/>
      <c r="QT288" s="575"/>
      <c r="QU288" s="575"/>
      <c r="QV288" s="575"/>
      <c r="QW288" s="575"/>
      <c r="QX288" s="575"/>
      <c r="QY288" s="575"/>
      <c r="QZ288" s="575"/>
      <c r="RA288" s="575"/>
      <c r="RB288" s="575"/>
      <c r="RC288" s="575"/>
      <c r="RD288" s="575"/>
      <c r="RE288" s="575"/>
      <c r="RF288" s="575"/>
      <c r="RG288" s="575"/>
      <c r="RH288" s="575"/>
      <c r="RI288" s="575"/>
      <c r="RJ288" s="575"/>
      <c r="RK288" s="575"/>
      <c r="RL288" s="575"/>
      <c r="RM288" s="575"/>
      <c r="RN288" s="575"/>
      <c r="RO288" s="575"/>
      <c r="RP288" s="575"/>
      <c r="RQ288" s="575"/>
      <c r="RR288" s="575"/>
      <c r="RS288" s="575"/>
      <c r="RT288" s="575"/>
      <c r="RU288" s="575"/>
      <c r="RV288" s="575"/>
      <c r="RW288" s="575"/>
      <c r="RX288" s="575"/>
      <c r="RY288" s="575"/>
      <c r="RZ288" s="575"/>
      <c r="SA288" s="575"/>
      <c r="SB288" s="575"/>
      <c r="SC288" s="575"/>
      <c r="SD288" s="575"/>
      <c r="SE288" s="575"/>
      <c r="SF288" s="575"/>
      <c r="SG288" s="575"/>
      <c r="SH288" s="575"/>
      <c r="SI288" s="575"/>
      <c r="SJ288" s="575"/>
      <c r="SK288" s="575"/>
      <c r="SL288" s="575"/>
      <c r="SM288" s="575"/>
      <c r="SN288" s="575"/>
      <c r="SO288" s="575"/>
      <c r="SP288" s="575"/>
      <c r="SQ288" s="575"/>
      <c r="SR288" s="575"/>
      <c r="SS288" s="575"/>
      <c r="ST288" s="575"/>
      <c r="SU288" s="575"/>
      <c r="SV288" s="575"/>
      <c r="SW288" s="575"/>
      <c r="SX288" s="575"/>
      <c r="SY288" s="575"/>
      <c r="SZ288" s="575"/>
      <c r="TA288" s="575"/>
      <c r="TB288" s="575"/>
      <c r="TC288" s="575"/>
      <c r="TD288" s="575"/>
      <c r="TE288" s="575"/>
      <c r="TF288" s="575"/>
      <c r="TG288" s="575"/>
      <c r="TH288" s="575"/>
      <c r="TI288" s="575"/>
      <c r="TJ288" s="575"/>
      <c r="TK288" s="575"/>
      <c r="TL288" s="575"/>
      <c r="TM288" s="575"/>
      <c r="TN288" s="575"/>
      <c r="TO288" s="575"/>
      <c r="TP288" s="575"/>
      <c r="TQ288" s="575"/>
      <c r="TR288" s="575"/>
      <c r="TS288" s="575"/>
      <c r="TT288" s="575"/>
      <c r="TU288" s="575"/>
      <c r="TV288" s="575"/>
      <c r="TW288" s="575"/>
      <c r="TX288" s="575"/>
      <c r="TY288" s="575"/>
      <c r="TZ288" s="575"/>
      <c r="UA288" s="575"/>
      <c r="UB288" s="575"/>
      <c r="UC288" s="575"/>
      <c r="UD288" s="575"/>
      <c r="UE288" s="575"/>
      <c r="UF288" s="575"/>
      <c r="UG288" s="575"/>
      <c r="UH288" s="575"/>
      <c r="UI288" s="575"/>
      <c r="UJ288" s="575"/>
      <c r="UK288" s="575"/>
      <c r="UL288" s="575"/>
      <c r="UM288" s="575"/>
      <c r="UN288" s="575"/>
      <c r="UO288" s="575"/>
      <c r="UP288" s="575"/>
      <c r="UQ288" s="575"/>
      <c r="UR288" s="575"/>
      <c r="US288" s="575"/>
      <c r="UT288" s="575"/>
      <c r="UU288" s="575"/>
      <c r="UV288" s="575"/>
      <c r="UW288" s="575"/>
      <c r="UX288" s="575"/>
      <c r="UY288" s="575"/>
      <c r="UZ288" s="575"/>
      <c r="VA288" s="575"/>
      <c r="VB288" s="575"/>
      <c r="VC288" s="575"/>
      <c r="VD288" s="575"/>
      <c r="VE288" s="575"/>
      <c r="VF288" s="575"/>
      <c r="VG288" s="575"/>
      <c r="VH288" s="575"/>
      <c r="VI288" s="575"/>
      <c r="VJ288" s="575"/>
      <c r="VK288" s="575"/>
      <c r="VL288" s="575"/>
      <c r="VM288" s="575"/>
      <c r="VN288" s="575"/>
      <c r="VO288" s="575"/>
      <c r="VP288" s="575"/>
      <c r="VQ288" s="575"/>
      <c r="VR288" s="575"/>
      <c r="VS288" s="575"/>
      <c r="VT288" s="575"/>
      <c r="VU288" s="575"/>
      <c r="VV288" s="575"/>
      <c r="VW288" s="575"/>
      <c r="VX288" s="575"/>
      <c r="VY288" s="575"/>
      <c r="VZ288" s="575"/>
      <c r="WA288" s="575"/>
      <c r="WB288" s="575"/>
      <c r="WC288" s="575"/>
      <c r="WD288" s="575"/>
      <c r="WE288" s="575"/>
      <c r="WF288" s="575"/>
      <c r="WG288" s="575"/>
      <c r="WH288" s="575"/>
      <c r="WI288" s="575"/>
      <c r="WJ288" s="575"/>
      <c r="WK288" s="575"/>
      <c r="WL288" s="575"/>
      <c r="WM288" s="575"/>
      <c r="WN288" s="575"/>
      <c r="WO288" s="575"/>
      <c r="WP288" s="575"/>
      <c r="WQ288" s="575"/>
      <c r="WR288" s="575"/>
      <c r="WS288" s="575"/>
      <c r="WT288" s="575"/>
      <c r="WU288" s="575"/>
      <c r="WV288" s="575"/>
      <c r="WW288" s="575"/>
      <c r="WX288" s="575"/>
      <c r="WY288" s="575"/>
      <c r="WZ288" s="575"/>
      <c r="XA288" s="575"/>
      <c r="XB288" s="575"/>
      <c r="XC288" s="575"/>
      <c r="XD288" s="575"/>
      <c r="XE288" s="575"/>
      <c r="XF288" s="575"/>
      <c r="XG288" s="575"/>
      <c r="XH288" s="575"/>
      <c r="XI288" s="575"/>
      <c r="XJ288" s="575"/>
      <c r="XK288" s="575"/>
      <c r="XL288" s="575"/>
      <c r="XM288" s="575"/>
      <c r="XN288" s="575"/>
      <c r="XO288" s="575"/>
      <c r="XP288" s="575"/>
      <c r="XQ288" s="575"/>
      <c r="XR288" s="575"/>
      <c r="XS288" s="575"/>
      <c r="XT288" s="575"/>
      <c r="XU288" s="575"/>
      <c r="XV288" s="575"/>
      <c r="XW288" s="575"/>
      <c r="XX288" s="575"/>
      <c r="XY288" s="575"/>
      <c r="XZ288" s="575"/>
      <c r="YA288" s="575"/>
      <c r="YB288" s="575"/>
      <c r="YC288" s="575"/>
      <c r="YD288" s="575"/>
      <c r="YE288" s="575"/>
      <c r="YF288" s="575"/>
      <c r="YG288" s="575"/>
      <c r="YH288" s="575"/>
      <c r="YI288" s="575"/>
      <c r="YJ288" s="575"/>
      <c r="YK288" s="575"/>
      <c r="YL288" s="575"/>
      <c r="YM288" s="575"/>
      <c r="YN288" s="575"/>
      <c r="YO288" s="575"/>
      <c r="YP288" s="575"/>
      <c r="YQ288" s="575"/>
      <c r="YR288" s="575"/>
      <c r="YS288" s="575"/>
      <c r="YT288" s="575"/>
      <c r="YU288" s="575"/>
      <c r="YV288" s="575"/>
      <c r="YW288" s="575"/>
      <c r="YX288" s="575"/>
      <c r="YY288" s="575"/>
      <c r="YZ288" s="575"/>
      <c r="ZA288" s="575"/>
      <c r="ZB288" s="575"/>
      <c r="ZC288" s="575"/>
      <c r="ZD288" s="575"/>
      <c r="ZE288" s="575"/>
      <c r="ZF288" s="575"/>
      <c r="ZG288" s="575"/>
      <c r="ZH288" s="575"/>
      <c r="ZI288" s="575"/>
      <c r="ZJ288" s="575"/>
      <c r="ZK288" s="575"/>
      <c r="ZL288" s="575"/>
      <c r="ZM288" s="575"/>
      <c r="ZN288" s="575"/>
      <c r="ZO288" s="575"/>
      <c r="ZP288" s="575"/>
      <c r="ZQ288" s="575"/>
      <c r="ZR288" s="575"/>
      <c r="ZS288" s="575"/>
      <c r="ZT288" s="575"/>
      <c r="ZU288" s="575"/>
      <c r="ZV288" s="575"/>
      <c r="ZW288" s="575"/>
      <c r="ZX288" s="575"/>
      <c r="ZY288" s="575"/>
      <c r="ZZ288" s="575"/>
      <c r="AAA288" s="575"/>
      <c r="AAB288" s="575"/>
      <c r="AAC288" s="575"/>
      <c r="AAD288" s="575"/>
      <c r="AAE288" s="575"/>
      <c r="AAF288" s="575"/>
      <c r="AAG288" s="575"/>
      <c r="AAH288" s="575"/>
      <c r="AAI288" s="575"/>
      <c r="AAJ288" s="575"/>
      <c r="AAK288" s="575"/>
      <c r="AAL288" s="575"/>
      <c r="AAM288" s="575"/>
      <c r="AAN288" s="575"/>
      <c r="AAO288" s="575"/>
      <c r="AAP288" s="575"/>
      <c r="AAQ288" s="575"/>
      <c r="AAR288" s="575"/>
      <c r="AAS288" s="575"/>
      <c r="AAT288" s="575"/>
      <c r="AAU288" s="575"/>
      <c r="AAV288" s="575"/>
      <c r="AAW288" s="575"/>
      <c r="AAX288" s="575"/>
      <c r="AAY288" s="575"/>
      <c r="AAZ288" s="575"/>
      <c r="ABA288" s="575"/>
      <c r="ABB288" s="575"/>
      <c r="ABC288" s="575"/>
      <c r="ABD288" s="575"/>
      <c r="ABE288" s="575"/>
      <c r="ABF288" s="575"/>
      <c r="ABG288" s="575"/>
      <c r="ABH288" s="575"/>
      <c r="ABI288" s="575"/>
      <c r="ABJ288" s="575"/>
      <c r="ABK288" s="575"/>
      <c r="ABL288" s="575"/>
      <c r="ABM288" s="575"/>
      <c r="ABN288" s="575"/>
      <c r="ABO288" s="575"/>
      <c r="ABP288" s="575"/>
      <c r="ABQ288" s="575"/>
      <c r="ABR288" s="575"/>
      <c r="ABS288" s="575"/>
      <c r="ABT288" s="575"/>
      <c r="ABU288" s="575"/>
      <c r="ABV288" s="575"/>
      <c r="ABW288" s="575"/>
      <c r="ABX288" s="575"/>
      <c r="ABY288" s="575"/>
      <c r="ABZ288" s="575"/>
      <c r="ACA288" s="575"/>
      <c r="ACB288" s="575"/>
      <c r="ACC288" s="575"/>
      <c r="ACD288" s="575"/>
      <c r="ACE288" s="575"/>
      <c r="ACF288" s="575"/>
      <c r="ACG288" s="575"/>
      <c r="ACH288" s="575"/>
      <c r="ACI288" s="575"/>
      <c r="ACJ288" s="575"/>
      <c r="ACK288" s="575"/>
      <c r="ACL288" s="575"/>
      <c r="ACM288" s="575"/>
      <c r="ACN288" s="575"/>
      <c r="ACO288" s="575"/>
      <c r="ACP288" s="575"/>
      <c r="ACQ288" s="575"/>
      <c r="ACR288" s="575"/>
      <c r="ACS288" s="575"/>
      <c r="ACT288" s="575"/>
      <c r="ACU288" s="575"/>
      <c r="ACV288" s="575"/>
      <c r="ACW288" s="575"/>
      <c r="ACX288" s="575"/>
      <c r="ACY288" s="575"/>
      <c r="ACZ288" s="575"/>
      <c r="ADA288" s="575"/>
      <c r="ADB288" s="575"/>
      <c r="ADC288" s="575"/>
      <c r="ADD288" s="575"/>
      <c r="ADE288" s="575"/>
      <c r="ADF288" s="575"/>
      <c r="ADG288" s="575"/>
      <c r="ADH288" s="575"/>
      <c r="ADI288" s="575"/>
      <c r="ADJ288" s="575"/>
      <c r="ADK288" s="575"/>
      <c r="ADL288" s="575"/>
      <c r="ADM288" s="575"/>
      <c r="ADN288" s="575"/>
      <c r="ADO288" s="575"/>
      <c r="ADP288" s="575"/>
      <c r="ADQ288" s="575"/>
      <c r="ADR288" s="575"/>
      <c r="ADS288" s="575"/>
      <c r="ADT288" s="575"/>
      <c r="ADU288" s="575"/>
      <c r="ADV288" s="575"/>
      <c r="ADW288" s="575"/>
      <c r="ADX288" s="575"/>
      <c r="ADY288" s="575"/>
      <c r="ADZ288" s="575"/>
      <c r="AEA288" s="575"/>
      <c r="AEB288" s="575"/>
      <c r="AEC288" s="575"/>
      <c r="AED288" s="575"/>
      <c r="AEE288" s="575"/>
      <c r="AEF288" s="575"/>
      <c r="AEG288" s="575"/>
      <c r="AEH288" s="575"/>
      <c r="AEI288" s="575"/>
      <c r="AEJ288" s="575"/>
      <c r="AEK288" s="575"/>
      <c r="AEL288" s="575"/>
      <c r="AEM288" s="575"/>
      <c r="AEN288" s="575"/>
      <c r="AEO288" s="575"/>
      <c r="AEP288" s="575"/>
      <c r="AEQ288" s="575"/>
      <c r="AER288" s="575"/>
      <c r="AES288" s="575"/>
      <c r="AET288" s="575"/>
      <c r="AEU288" s="575"/>
      <c r="AEV288" s="575"/>
      <c r="AEW288" s="575"/>
      <c r="AEX288" s="575"/>
      <c r="AEY288" s="575"/>
      <c r="AEZ288" s="575"/>
      <c r="AFA288" s="575"/>
      <c r="AFB288" s="575"/>
      <c r="AFC288" s="575"/>
      <c r="AFD288" s="575"/>
      <c r="AFE288" s="575"/>
      <c r="AFF288" s="575"/>
      <c r="AFG288" s="575"/>
      <c r="AFH288" s="575"/>
      <c r="AFI288" s="575"/>
      <c r="AFJ288" s="575"/>
      <c r="AFK288" s="575"/>
      <c r="AFL288" s="575"/>
      <c r="AFM288" s="575"/>
      <c r="AFN288" s="575"/>
      <c r="AFO288" s="575"/>
      <c r="AFP288" s="575"/>
      <c r="AFQ288" s="575"/>
      <c r="AFR288" s="575"/>
      <c r="AFS288" s="575"/>
      <c r="AFT288" s="575"/>
      <c r="AFU288" s="575"/>
      <c r="AFV288" s="575"/>
      <c r="AFW288" s="575"/>
      <c r="AFX288" s="575"/>
      <c r="AFY288" s="575"/>
      <c r="AFZ288" s="575"/>
      <c r="AGA288" s="575"/>
      <c r="AGB288" s="575"/>
      <c r="AGC288" s="575"/>
      <c r="AGD288" s="575"/>
      <c r="AGE288" s="575"/>
      <c r="AGF288" s="575"/>
      <c r="AGG288" s="575"/>
      <c r="AGH288" s="575"/>
      <c r="AGI288" s="575"/>
      <c r="AGJ288" s="575"/>
      <c r="AGK288" s="575"/>
      <c r="AGL288" s="575"/>
      <c r="AGM288" s="575"/>
      <c r="AGN288" s="575"/>
      <c r="AGO288" s="575"/>
      <c r="AGP288" s="575"/>
      <c r="AGQ288" s="575"/>
      <c r="AGR288" s="575"/>
      <c r="AGS288" s="575"/>
      <c r="AGT288" s="575"/>
      <c r="AGU288" s="575"/>
      <c r="AGV288" s="575"/>
      <c r="AGW288" s="575"/>
      <c r="AGX288" s="575"/>
      <c r="AGY288" s="575"/>
      <c r="AGZ288" s="575"/>
      <c r="AHA288" s="575"/>
      <c r="AHB288" s="575"/>
      <c r="AHC288" s="575"/>
      <c r="AHD288" s="575"/>
      <c r="AHE288" s="575"/>
      <c r="AHF288" s="575"/>
      <c r="AHG288" s="575"/>
      <c r="AHH288" s="575"/>
      <c r="AHI288" s="575"/>
      <c r="AHJ288" s="575"/>
      <c r="AHK288" s="575"/>
      <c r="AHL288" s="575"/>
      <c r="AHM288" s="575"/>
      <c r="AHN288" s="575"/>
      <c r="AHO288" s="575"/>
      <c r="AHP288" s="575"/>
      <c r="AHQ288" s="575"/>
      <c r="AHR288" s="575"/>
      <c r="AHS288" s="575"/>
      <c r="AHT288" s="575"/>
      <c r="AHU288" s="575"/>
      <c r="AHV288" s="575"/>
      <c r="AHW288" s="575"/>
      <c r="AHX288" s="575"/>
      <c r="AHY288" s="575"/>
      <c r="AHZ288" s="575"/>
      <c r="AIA288" s="575"/>
      <c r="AIB288" s="575"/>
      <c r="AIC288" s="575"/>
      <c r="AID288" s="575"/>
      <c r="AIE288" s="575"/>
      <c r="AIF288" s="575"/>
      <c r="AIG288" s="575"/>
      <c r="AIH288" s="575"/>
      <c r="AII288" s="575"/>
      <c r="AIJ288" s="575"/>
      <c r="AIK288" s="575"/>
      <c r="AIL288" s="575"/>
      <c r="AIM288" s="575"/>
      <c r="AIN288" s="575"/>
      <c r="AIO288" s="575"/>
      <c r="AIP288" s="575"/>
      <c r="AIQ288" s="575"/>
      <c r="AIR288" s="575"/>
      <c r="AIS288" s="575"/>
      <c r="AIT288" s="575"/>
      <c r="AIU288" s="575"/>
      <c r="AIV288" s="575"/>
      <c r="AIW288" s="575"/>
      <c r="AIX288" s="575"/>
      <c r="AIY288" s="575"/>
      <c r="AIZ288" s="575"/>
      <c r="AJA288" s="575"/>
      <c r="AJB288" s="575"/>
      <c r="AJC288" s="575"/>
      <c r="AJD288" s="575"/>
      <c r="AJE288" s="575"/>
      <c r="AJF288" s="575"/>
      <c r="AJG288" s="575"/>
      <c r="AJH288" s="575"/>
      <c r="AJI288" s="575"/>
      <c r="AJJ288" s="575"/>
      <c r="AJK288" s="575"/>
      <c r="AJL288" s="575"/>
      <c r="AJM288" s="575"/>
      <c r="AJN288" s="575"/>
      <c r="AJO288" s="575"/>
      <c r="AJP288" s="575"/>
      <c r="AJQ288" s="575"/>
      <c r="AJR288" s="575"/>
      <c r="AJS288" s="575"/>
      <c r="AJT288" s="575"/>
      <c r="AJU288" s="575"/>
      <c r="AJV288" s="575"/>
      <c r="AJW288" s="575"/>
      <c r="AJX288" s="575"/>
      <c r="AJY288" s="575"/>
      <c r="AJZ288" s="575"/>
      <c r="AKA288" s="575"/>
      <c r="AKB288" s="575"/>
      <c r="AKC288" s="575"/>
      <c r="AKD288" s="575"/>
      <c r="AKE288" s="575"/>
      <c r="AKF288" s="575"/>
      <c r="AKG288" s="575"/>
      <c r="AKH288" s="575"/>
      <c r="AKI288" s="575"/>
      <c r="AKJ288" s="575"/>
      <c r="AKK288" s="575"/>
      <c r="AKL288" s="575"/>
      <c r="AKM288" s="575"/>
      <c r="AKN288" s="575"/>
      <c r="AKO288" s="575"/>
      <c r="AKP288" s="575"/>
      <c r="AKQ288" s="575"/>
      <c r="AKR288" s="575"/>
      <c r="AKS288" s="575"/>
      <c r="AKT288" s="575"/>
      <c r="AKU288" s="575"/>
      <c r="AKV288" s="575"/>
      <c r="AKW288" s="575"/>
      <c r="AKX288" s="575"/>
      <c r="AKY288" s="575"/>
      <c r="AKZ288" s="575"/>
      <c r="ALA288" s="575"/>
      <c r="ALB288" s="575"/>
      <c r="ALC288" s="575"/>
      <c r="ALD288" s="575"/>
      <c r="ALE288" s="575"/>
      <c r="ALF288" s="575"/>
      <c r="ALG288" s="575"/>
      <c r="ALH288" s="575"/>
      <c r="ALI288" s="575"/>
      <c r="ALJ288" s="575"/>
      <c r="ALK288" s="575"/>
      <c r="ALL288" s="575"/>
      <c r="ALM288" s="575"/>
      <c r="ALN288" s="575"/>
      <c r="ALO288" s="575"/>
      <c r="ALP288" s="575"/>
      <c r="ALQ288" s="575"/>
      <c r="ALR288" s="575"/>
      <c r="ALS288" s="575"/>
      <c r="ALT288" s="575"/>
      <c r="ALU288" s="575"/>
      <c r="ALV288" s="575"/>
      <c r="ALW288" s="575"/>
      <c r="ALX288" s="575"/>
      <c r="ALY288" s="575"/>
      <c r="ALZ288" s="575"/>
      <c r="AMA288" s="575"/>
      <c r="AMB288" s="575"/>
      <c r="AMC288" s="575"/>
      <c r="AMD288" s="575"/>
      <c r="AME288" s="575"/>
      <c r="AMF288" s="575"/>
      <c r="AMG288" s="575"/>
      <c r="AMH288" s="575"/>
      <c r="AMI288" s="575"/>
      <c r="AMJ288" s="575"/>
      <c r="AMK288" s="575"/>
      <c r="AML288" s="575"/>
      <c r="AMM288" s="575"/>
      <c r="AMN288" s="575"/>
      <c r="AMO288" s="575"/>
      <c r="AMP288" s="575"/>
      <c r="AMQ288" s="575"/>
      <c r="AMR288" s="575"/>
      <c r="AMS288" s="575"/>
      <c r="AMT288" s="575"/>
      <c r="AMU288" s="575"/>
      <c r="AMV288" s="575"/>
      <c r="AMW288" s="575"/>
      <c r="AMX288" s="575"/>
      <c r="AMY288" s="575"/>
      <c r="AMZ288" s="575"/>
      <c r="ANA288" s="575"/>
      <c r="ANB288" s="575"/>
      <c r="ANC288" s="575"/>
      <c r="AND288" s="575"/>
      <c r="ANE288" s="575"/>
      <c r="ANF288" s="575"/>
      <c r="ANG288" s="575"/>
      <c r="ANH288" s="575"/>
      <c r="ANI288" s="575"/>
      <c r="ANJ288" s="575"/>
      <c r="ANK288" s="575"/>
      <c r="ANL288" s="575"/>
      <c r="ANM288" s="575"/>
      <c r="ANN288" s="575"/>
      <c r="ANO288" s="575"/>
      <c r="ANP288" s="575"/>
      <c r="ANQ288" s="575"/>
      <c r="ANR288" s="575"/>
      <c r="ANS288" s="575"/>
      <c r="ANT288" s="575"/>
      <c r="ANU288" s="575"/>
      <c r="ANV288" s="575"/>
      <c r="ANW288" s="575"/>
      <c r="ANX288" s="575"/>
      <c r="ANY288" s="575"/>
      <c r="ANZ288" s="575"/>
      <c r="AOA288" s="575"/>
      <c r="AOB288" s="575"/>
      <c r="AOC288" s="575"/>
      <c r="AOD288" s="575"/>
      <c r="AOE288" s="575"/>
      <c r="AOF288" s="575"/>
      <c r="AOG288" s="575"/>
      <c r="AOH288" s="575"/>
      <c r="AOI288" s="575"/>
      <c r="AOJ288" s="575"/>
      <c r="AOK288" s="575"/>
      <c r="AOL288" s="575"/>
      <c r="AOM288" s="575"/>
      <c r="AON288" s="575"/>
      <c r="AOO288" s="575"/>
      <c r="AOP288" s="575"/>
      <c r="AOQ288" s="575"/>
      <c r="AOR288" s="575"/>
      <c r="AOS288" s="575"/>
      <c r="AOT288" s="575"/>
      <c r="AOU288" s="575"/>
      <c r="AOV288" s="575"/>
      <c r="AOW288" s="575"/>
      <c r="AOX288" s="575"/>
      <c r="AOY288" s="575"/>
      <c r="AOZ288" s="575"/>
      <c r="APA288" s="575"/>
      <c r="APB288" s="575"/>
      <c r="APC288" s="575"/>
      <c r="APD288" s="575"/>
      <c r="APE288" s="575"/>
      <c r="APF288" s="575"/>
      <c r="APG288" s="575"/>
      <c r="APH288" s="575"/>
      <c r="API288" s="575"/>
      <c r="APJ288" s="575"/>
      <c r="APK288" s="575"/>
      <c r="APL288" s="575"/>
      <c r="APM288" s="575"/>
      <c r="APN288" s="575"/>
      <c r="APO288" s="575"/>
      <c r="APP288" s="575"/>
      <c r="APQ288" s="575"/>
      <c r="APR288" s="575"/>
      <c r="APS288" s="575"/>
      <c r="APT288" s="575"/>
      <c r="APU288" s="575"/>
      <c r="APV288" s="575"/>
      <c r="APW288" s="575"/>
      <c r="APX288" s="575"/>
      <c r="APY288" s="575"/>
      <c r="APZ288" s="575"/>
      <c r="AQA288" s="575"/>
      <c r="AQB288" s="575"/>
      <c r="AQC288" s="575"/>
      <c r="AQD288" s="575"/>
      <c r="AQE288" s="575"/>
      <c r="AQF288" s="575"/>
      <c r="AQG288" s="575"/>
      <c r="AQH288" s="575"/>
      <c r="AQI288" s="575"/>
      <c r="AQJ288" s="575"/>
      <c r="AQK288" s="575"/>
      <c r="AQL288" s="575"/>
      <c r="AQM288" s="575"/>
      <c r="AQN288" s="575"/>
      <c r="AQO288" s="575"/>
      <c r="AQP288" s="575"/>
      <c r="AQQ288" s="575"/>
      <c r="AQR288" s="575"/>
      <c r="AQS288" s="575"/>
      <c r="AQT288" s="575"/>
      <c r="AQU288" s="575"/>
      <c r="AQV288" s="575"/>
      <c r="AQW288" s="575"/>
      <c r="AQX288" s="575"/>
      <c r="AQY288" s="575"/>
      <c r="AQZ288" s="575"/>
      <c r="ARA288" s="575"/>
      <c r="ARB288" s="575"/>
      <c r="ARC288" s="575"/>
      <c r="ARD288" s="575"/>
      <c r="ARE288" s="575"/>
      <c r="ARF288" s="575"/>
      <c r="ARG288" s="575"/>
      <c r="ARH288" s="575"/>
      <c r="ARI288" s="575"/>
      <c r="ARJ288" s="575"/>
      <c r="ARK288" s="575"/>
      <c r="ARL288" s="575"/>
      <c r="ARM288" s="575"/>
      <c r="ARN288" s="575"/>
      <c r="ARO288" s="575"/>
      <c r="ARP288" s="575"/>
      <c r="ARQ288" s="575"/>
      <c r="ARR288" s="575"/>
      <c r="ARS288" s="575"/>
      <c r="ART288" s="575"/>
      <c r="ARU288" s="575"/>
      <c r="ARV288" s="575"/>
      <c r="ARW288" s="575"/>
      <c r="ARX288" s="575"/>
      <c r="ARY288" s="575"/>
      <c r="ARZ288" s="575"/>
      <c r="ASA288" s="575"/>
      <c r="ASB288" s="575"/>
      <c r="ASC288" s="575"/>
      <c r="ASD288" s="575"/>
      <c r="ASE288" s="575"/>
      <c r="ASF288" s="575"/>
      <c r="ASG288" s="575"/>
      <c r="ASH288" s="575"/>
      <c r="ASI288" s="575"/>
      <c r="ASJ288" s="575"/>
      <c r="ASK288" s="575"/>
      <c r="ASL288" s="575"/>
      <c r="ASM288" s="575"/>
      <c r="ASN288" s="575"/>
      <c r="ASO288" s="575"/>
      <c r="ASP288" s="575"/>
      <c r="ASQ288" s="575"/>
      <c r="ASR288" s="575"/>
      <c r="ASS288" s="575"/>
      <c r="AST288" s="575"/>
      <c r="ASU288" s="575"/>
      <c r="ASV288" s="575"/>
      <c r="ASW288" s="575"/>
      <c r="ASX288" s="575"/>
      <c r="ASY288" s="575"/>
      <c r="ASZ288" s="575"/>
      <c r="ATA288" s="575"/>
      <c r="ATB288" s="575"/>
      <c r="ATC288" s="575"/>
      <c r="ATD288" s="575"/>
      <c r="ATE288" s="575"/>
      <c r="ATF288" s="575"/>
      <c r="ATG288" s="575"/>
      <c r="ATH288" s="575"/>
      <c r="ATI288" s="575"/>
      <c r="ATJ288" s="575"/>
      <c r="ATK288" s="575"/>
      <c r="ATL288" s="575"/>
      <c r="ATM288" s="575"/>
      <c r="ATN288" s="575"/>
      <c r="ATO288" s="575"/>
      <c r="ATP288" s="575"/>
      <c r="ATQ288" s="575"/>
      <c r="ATR288" s="575"/>
      <c r="ATS288" s="575"/>
      <c r="ATT288" s="575"/>
      <c r="ATU288" s="575"/>
      <c r="ATV288" s="575"/>
      <c r="ATW288" s="575"/>
      <c r="ATX288" s="575"/>
      <c r="ATY288" s="575"/>
      <c r="ATZ288" s="575"/>
      <c r="AUA288" s="575"/>
      <c r="AUB288" s="575"/>
      <c r="AUC288" s="575"/>
      <c r="AUD288" s="575"/>
      <c r="AUE288" s="575"/>
      <c r="AUF288" s="575"/>
      <c r="AUG288" s="575"/>
      <c r="AUH288" s="575"/>
      <c r="AUI288" s="575"/>
      <c r="AUJ288" s="575"/>
      <c r="AUK288" s="575"/>
      <c r="AUL288" s="575"/>
      <c r="AUM288" s="575"/>
      <c r="AUN288" s="575"/>
      <c r="AUO288" s="575"/>
      <c r="AUP288" s="575"/>
      <c r="AUQ288" s="575"/>
      <c r="AUR288" s="575"/>
      <c r="AUS288" s="575"/>
      <c r="AUT288" s="575"/>
      <c r="AUU288" s="575"/>
      <c r="AUV288" s="575"/>
      <c r="AUW288" s="575"/>
      <c r="AUX288" s="575"/>
      <c r="AUY288" s="575"/>
      <c r="AUZ288" s="575"/>
      <c r="AVA288" s="575"/>
      <c r="AVB288" s="575"/>
      <c r="AVC288" s="575"/>
      <c r="AVD288" s="575"/>
      <c r="AVE288" s="575"/>
      <c r="AVF288" s="575"/>
      <c r="AVG288" s="575"/>
      <c r="AVH288" s="575"/>
      <c r="AVI288" s="575"/>
      <c r="AVJ288" s="575"/>
      <c r="AVK288" s="575"/>
      <c r="AVL288" s="575"/>
      <c r="AVM288" s="575"/>
      <c r="AVN288" s="575"/>
      <c r="AVO288" s="575"/>
      <c r="AVP288" s="575"/>
      <c r="AVQ288" s="575"/>
      <c r="AVR288" s="575"/>
      <c r="AVS288" s="575"/>
      <c r="AVT288" s="575"/>
      <c r="AVU288" s="575"/>
      <c r="AVV288" s="575"/>
      <c r="AVW288" s="575"/>
      <c r="AVX288" s="575"/>
      <c r="AVY288" s="575"/>
      <c r="AVZ288" s="575"/>
      <c r="AWA288" s="575"/>
      <c r="AWB288" s="575"/>
      <c r="AWC288" s="575"/>
      <c r="AWD288" s="575"/>
      <c r="AWE288" s="575"/>
      <c r="AWF288" s="575"/>
      <c r="AWG288" s="575"/>
      <c r="AWH288" s="575"/>
      <c r="AWI288" s="575"/>
      <c r="AWJ288" s="575"/>
      <c r="AWK288" s="575"/>
      <c r="AWL288" s="575"/>
      <c r="AWM288" s="575"/>
      <c r="AWN288" s="575"/>
      <c r="AWO288" s="575"/>
      <c r="AWP288" s="575"/>
      <c r="AWQ288" s="575"/>
      <c r="AWR288" s="575"/>
      <c r="AWS288" s="575"/>
      <c r="AWT288" s="575"/>
      <c r="AWU288" s="575"/>
      <c r="AWV288" s="575"/>
      <c r="AWW288" s="575"/>
      <c r="AWX288" s="575"/>
      <c r="AWY288" s="575"/>
      <c r="AWZ288" s="575"/>
      <c r="AXA288" s="575"/>
      <c r="AXB288" s="575"/>
      <c r="AXC288" s="575"/>
      <c r="AXD288" s="575"/>
      <c r="AXE288" s="575"/>
      <c r="AXF288" s="575"/>
      <c r="AXG288" s="575"/>
      <c r="AXH288" s="575"/>
      <c r="AXI288" s="575"/>
      <c r="AXJ288" s="575"/>
      <c r="AXK288" s="575"/>
      <c r="AXL288" s="575"/>
      <c r="AXM288" s="575"/>
      <c r="AXN288" s="575"/>
      <c r="AXO288" s="575"/>
      <c r="AXP288" s="575"/>
      <c r="AXQ288" s="575"/>
      <c r="AXR288" s="575"/>
      <c r="AXS288" s="575"/>
      <c r="AXT288" s="575"/>
      <c r="AXU288" s="575"/>
      <c r="AXV288" s="575"/>
      <c r="AXW288" s="575"/>
      <c r="AXX288" s="575"/>
      <c r="AXY288" s="575"/>
      <c r="AXZ288" s="575"/>
      <c r="AYA288" s="575"/>
      <c r="AYB288" s="575"/>
      <c r="AYC288" s="575"/>
      <c r="AYD288" s="575"/>
      <c r="AYE288" s="575"/>
      <c r="AYF288" s="575"/>
      <c r="AYG288" s="575"/>
      <c r="AYH288" s="575"/>
      <c r="AYI288" s="575"/>
      <c r="AYJ288" s="575"/>
      <c r="AYK288" s="575"/>
      <c r="AYL288" s="575"/>
      <c r="AYM288" s="575"/>
      <c r="AYN288" s="575"/>
      <c r="AYO288" s="575"/>
      <c r="AYP288" s="575"/>
      <c r="AYQ288" s="575"/>
      <c r="AYR288" s="575"/>
      <c r="AYS288" s="575"/>
      <c r="AYT288" s="575"/>
      <c r="AYU288" s="575"/>
      <c r="AYV288" s="575"/>
      <c r="AYW288" s="575"/>
      <c r="AYX288" s="575"/>
      <c r="AYY288" s="575"/>
      <c r="AYZ288" s="575"/>
      <c r="AZA288" s="575"/>
      <c r="AZB288" s="575"/>
      <c r="AZC288" s="575"/>
      <c r="AZD288" s="575"/>
      <c r="AZE288" s="575"/>
      <c r="AZF288" s="575"/>
      <c r="AZG288" s="575"/>
      <c r="AZH288" s="575"/>
      <c r="AZI288" s="575"/>
      <c r="AZJ288" s="575"/>
      <c r="AZK288" s="575"/>
      <c r="AZL288" s="575"/>
      <c r="AZM288" s="575"/>
      <c r="AZN288" s="575"/>
      <c r="AZO288" s="575"/>
      <c r="AZP288" s="575"/>
      <c r="AZQ288" s="575"/>
      <c r="AZR288" s="575"/>
      <c r="AZS288" s="575"/>
      <c r="AZT288" s="575"/>
      <c r="AZU288" s="575"/>
      <c r="AZV288" s="575"/>
      <c r="AZW288" s="575"/>
      <c r="AZX288" s="575"/>
      <c r="AZY288" s="575"/>
      <c r="AZZ288" s="575"/>
      <c r="BAA288" s="575"/>
      <c r="BAB288" s="575"/>
      <c r="BAC288" s="575"/>
      <c r="BAD288" s="575"/>
      <c r="BAE288" s="575"/>
      <c r="BAF288" s="575"/>
      <c r="BAG288" s="575"/>
      <c r="BAH288" s="575"/>
      <c r="BAI288" s="575"/>
      <c r="BAJ288" s="575"/>
      <c r="BAK288" s="575"/>
      <c r="BAL288" s="575"/>
      <c r="BAM288" s="575"/>
      <c r="BAN288" s="575"/>
      <c r="BAO288" s="575"/>
      <c r="BAP288" s="575"/>
      <c r="BAQ288" s="575"/>
      <c r="BAR288" s="575"/>
      <c r="BAS288" s="575"/>
      <c r="BAT288" s="575"/>
      <c r="BAU288" s="575"/>
      <c r="BAV288" s="575"/>
      <c r="BAW288" s="575"/>
      <c r="BAX288" s="575"/>
      <c r="BAY288" s="575"/>
      <c r="BAZ288" s="575"/>
      <c r="BBA288" s="575"/>
      <c r="BBB288" s="575"/>
      <c r="BBC288" s="575"/>
      <c r="BBD288" s="575"/>
      <c r="BBE288" s="575"/>
      <c r="BBF288" s="575"/>
      <c r="BBG288" s="575"/>
      <c r="BBH288" s="575"/>
      <c r="BBI288" s="575"/>
      <c r="BBJ288" s="575"/>
      <c r="BBK288" s="575"/>
      <c r="BBL288" s="575"/>
      <c r="BBM288" s="575"/>
      <c r="BBN288" s="575"/>
      <c r="BBO288" s="575"/>
      <c r="BBP288" s="575"/>
      <c r="BBQ288" s="575"/>
      <c r="BBR288" s="575"/>
      <c r="BBS288" s="575"/>
      <c r="BBT288" s="575"/>
      <c r="BBU288" s="575"/>
      <c r="BBV288" s="575"/>
      <c r="BBW288" s="575"/>
      <c r="BBX288" s="575"/>
      <c r="BBY288" s="575"/>
      <c r="BBZ288" s="575"/>
      <c r="BCA288" s="575"/>
      <c r="BCB288" s="575"/>
      <c r="BCC288" s="575"/>
      <c r="BCD288" s="575"/>
      <c r="BCE288" s="575"/>
      <c r="BCF288" s="575"/>
      <c r="BCG288" s="575"/>
      <c r="BCH288" s="575"/>
      <c r="BCI288" s="575"/>
      <c r="BCJ288" s="575"/>
      <c r="BCK288" s="575"/>
      <c r="BCL288" s="575"/>
      <c r="BCM288" s="575"/>
      <c r="BCN288" s="575"/>
      <c r="BCO288" s="575"/>
      <c r="BCP288" s="575"/>
      <c r="BCQ288" s="575"/>
      <c r="BCR288" s="575"/>
      <c r="BCS288" s="575"/>
      <c r="BCT288" s="575"/>
      <c r="BCU288" s="575"/>
      <c r="BCV288" s="575"/>
      <c r="BCW288" s="575"/>
      <c r="BCX288" s="575"/>
      <c r="BCY288" s="575"/>
      <c r="BCZ288" s="575"/>
      <c r="BDA288" s="575"/>
      <c r="BDB288" s="575"/>
      <c r="BDC288" s="575"/>
      <c r="BDD288" s="575"/>
      <c r="BDE288" s="575"/>
      <c r="BDF288" s="575"/>
      <c r="BDG288" s="575"/>
      <c r="BDH288" s="575"/>
      <c r="BDI288" s="575"/>
      <c r="BDJ288" s="575"/>
      <c r="BDK288" s="575"/>
      <c r="BDL288" s="575"/>
      <c r="BDM288" s="575"/>
      <c r="BDN288" s="575"/>
      <c r="BDO288" s="575"/>
      <c r="BDP288" s="575"/>
      <c r="BDQ288" s="575"/>
      <c r="BDR288" s="575"/>
      <c r="BDS288" s="575"/>
      <c r="BDT288" s="575"/>
    </row>
    <row r="289" spans="1:1476" s="632" customFormat="1" x14ac:dyDescent="0.25">
      <c r="A289" s="608">
        <v>5921</v>
      </c>
      <c r="B289" s="609" t="s">
        <v>323</v>
      </c>
      <c r="C289" s="610">
        <v>333777.21000000002</v>
      </c>
      <c r="D289" s="610">
        <v>38076.980000000003</v>
      </c>
      <c r="E289" s="610"/>
      <c r="F289" s="611">
        <v>1421.7</v>
      </c>
      <c r="G289" s="610">
        <v>920.4</v>
      </c>
      <c r="H289" s="610">
        <v>-59.6</v>
      </c>
      <c r="I289" s="610"/>
      <c r="J289" s="610">
        <v>6939.28</v>
      </c>
      <c r="K289" s="610"/>
      <c r="L289" s="610">
        <v>35888.75</v>
      </c>
      <c r="M289" s="434">
        <f t="shared" si="16"/>
        <v>416964.72000000009</v>
      </c>
      <c r="N289" s="612">
        <v>11053.2</v>
      </c>
      <c r="O289" s="612">
        <v>707.3</v>
      </c>
      <c r="P289" s="612">
        <v>24365</v>
      </c>
      <c r="Q289" s="612">
        <v>2503.8200000000002</v>
      </c>
      <c r="R289" s="612"/>
      <c r="S289" s="610">
        <v>89.96</v>
      </c>
      <c r="T289" s="543">
        <f t="shared" si="17"/>
        <v>455684.00000000012</v>
      </c>
      <c r="U289" s="575">
        <v>-7190.13</v>
      </c>
      <c r="V289" s="612"/>
      <c r="W289" s="612">
        <v>0</v>
      </c>
      <c r="X289" s="624">
        <v>81</v>
      </c>
      <c r="Y289" s="631">
        <v>1</v>
      </c>
      <c r="Z289" s="628">
        <f>VLOOKUP(A289,'[2]2022 toutes communes'!$B$9:$D$317,3,FALSE)</f>
        <v>257</v>
      </c>
      <c r="AA289" s="617"/>
      <c r="AB289" s="618">
        <v>0</v>
      </c>
      <c r="AC289" s="547">
        <f>AB289/VPI!R289</f>
        <v>0</v>
      </c>
      <c r="AD289" s="548">
        <f t="shared" si="18"/>
        <v>13246</v>
      </c>
      <c r="AE289" s="547">
        <f>AD289/VPI!R289</f>
        <v>2.6018629896371537</v>
      </c>
      <c r="AF289" s="618">
        <v>13246</v>
      </c>
      <c r="AG289" s="618">
        <v>11422</v>
      </c>
      <c r="AH289" s="618">
        <v>22984</v>
      </c>
      <c r="AI289" s="637"/>
      <c r="AJ289" s="628">
        <v>0</v>
      </c>
      <c r="AK289" s="547">
        <f>AJ289/VPI!R289</f>
        <v>0</v>
      </c>
      <c r="AL289" s="548">
        <f t="shared" si="20"/>
        <v>10787</v>
      </c>
      <c r="AM289" s="547">
        <f>AL289/VPI!R289</f>
        <v>2.118850677126376</v>
      </c>
      <c r="AN289" s="628">
        <v>10787</v>
      </c>
      <c r="AO289" s="637"/>
      <c r="AP289" s="629">
        <v>0.39753570561138601</v>
      </c>
      <c r="AQ289" s="575"/>
      <c r="AR289" s="630">
        <v>0</v>
      </c>
      <c r="AS289" s="575"/>
      <c r="AT289" s="575"/>
      <c r="AU289" s="575"/>
      <c r="AV289" s="575"/>
      <c r="AW289" s="575"/>
      <c r="AX289" s="575"/>
      <c r="AY289" s="575"/>
      <c r="AZ289" s="575"/>
      <c r="BA289" s="575"/>
      <c r="BB289" s="575"/>
      <c r="BC289" s="575"/>
      <c r="BD289" s="575"/>
      <c r="BE289" s="575"/>
      <c r="BF289" s="575"/>
      <c r="BG289" s="575"/>
      <c r="BH289" s="575"/>
      <c r="BI289" s="575"/>
      <c r="BJ289" s="575"/>
      <c r="BK289" s="575"/>
      <c r="BL289" s="575"/>
      <c r="BM289" s="575"/>
      <c r="BN289" s="575"/>
      <c r="BO289" s="575"/>
      <c r="BP289" s="575"/>
      <c r="BQ289" s="575"/>
      <c r="BR289" s="575"/>
      <c r="BS289" s="575"/>
      <c r="BT289" s="575"/>
      <c r="BU289" s="575"/>
      <c r="BV289" s="575"/>
      <c r="BW289" s="575"/>
      <c r="BX289" s="575"/>
      <c r="BY289" s="575"/>
      <c r="BZ289" s="575"/>
      <c r="CA289" s="575"/>
      <c r="CB289" s="575"/>
      <c r="CC289" s="575"/>
      <c r="CD289" s="575"/>
      <c r="CE289" s="575"/>
      <c r="CF289" s="575"/>
      <c r="CG289" s="575"/>
      <c r="CH289" s="575"/>
      <c r="CI289" s="575"/>
      <c r="CJ289" s="575"/>
      <c r="CK289" s="575"/>
      <c r="CL289" s="575"/>
      <c r="CM289" s="575"/>
      <c r="CN289" s="575"/>
      <c r="CO289" s="575"/>
      <c r="CP289" s="575"/>
      <c r="CQ289" s="575"/>
      <c r="CR289" s="575"/>
      <c r="CS289" s="575"/>
      <c r="CT289" s="575"/>
      <c r="CU289" s="575"/>
      <c r="CV289" s="575"/>
      <c r="CW289" s="575"/>
      <c r="CX289" s="575"/>
      <c r="CY289" s="575"/>
      <c r="CZ289" s="575"/>
      <c r="DA289" s="575"/>
      <c r="DB289" s="575"/>
      <c r="DC289" s="575"/>
      <c r="DD289" s="575"/>
      <c r="DE289" s="575"/>
      <c r="DF289" s="575"/>
      <c r="DG289" s="575"/>
      <c r="DH289" s="575"/>
      <c r="DI289" s="575"/>
      <c r="DJ289" s="575"/>
      <c r="DK289" s="575"/>
      <c r="DL289" s="575"/>
      <c r="DM289" s="575"/>
      <c r="DN289" s="575"/>
      <c r="DO289" s="575"/>
      <c r="DP289" s="575"/>
      <c r="DQ289" s="575"/>
      <c r="DR289" s="575"/>
      <c r="DS289" s="575"/>
      <c r="DT289" s="575"/>
      <c r="DU289" s="575"/>
      <c r="DV289" s="575"/>
      <c r="DW289" s="575"/>
      <c r="DX289" s="575"/>
      <c r="DY289" s="575"/>
      <c r="DZ289" s="575"/>
      <c r="EA289" s="575"/>
      <c r="EB289" s="575"/>
      <c r="EC289" s="575"/>
      <c r="ED289" s="575"/>
      <c r="EE289" s="575"/>
      <c r="EF289" s="575"/>
      <c r="EG289" s="575"/>
      <c r="EH289" s="575"/>
      <c r="EI289" s="575"/>
      <c r="EJ289" s="575"/>
      <c r="EK289" s="575"/>
      <c r="EL289" s="575"/>
      <c r="EM289" s="575"/>
      <c r="EN289" s="575"/>
      <c r="EO289" s="575"/>
      <c r="EP289" s="575"/>
      <c r="EQ289" s="575"/>
      <c r="ER289" s="575"/>
      <c r="ES289" s="575"/>
      <c r="ET289" s="575"/>
      <c r="EU289" s="575"/>
      <c r="EV289" s="575"/>
      <c r="EW289" s="575"/>
      <c r="EX289" s="575"/>
      <c r="EY289" s="575"/>
      <c r="EZ289" s="575"/>
      <c r="FA289" s="575"/>
      <c r="FB289" s="575"/>
      <c r="FC289" s="575"/>
      <c r="FD289" s="575"/>
      <c r="FE289" s="575"/>
      <c r="FF289" s="575"/>
      <c r="FG289" s="575"/>
      <c r="FH289" s="575"/>
      <c r="FI289" s="575"/>
      <c r="FJ289" s="575"/>
      <c r="FK289" s="575"/>
      <c r="FL289" s="575"/>
      <c r="FM289" s="575"/>
      <c r="FN289" s="575"/>
      <c r="FO289" s="575"/>
      <c r="FP289" s="575"/>
      <c r="FQ289" s="575"/>
      <c r="FR289" s="575"/>
      <c r="FS289" s="575"/>
      <c r="FT289" s="575"/>
      <c r="FU289" s="575"/>
      <c r="FV289" s="575"/>
      <c r="FW289" s="575"/>
      <c r="FX289" s="575"/>
      <c r="FY289" s="575"/>
      <c r="FZ289" s="575"/>
      <c r="GA289" s="575"/>
      <c r="GB289" s="575"/>
      <c r="GC289" s="575"/>
      <c r="GD289" s="575"/>
      <c r="GE289" s="575"/>
      <c r="GF289" s="575"/>
      <c r="GG289" s="575"/>
      <c r="GH289" s="575"/>
      <c r="GI289" s="575"/>
      <c r="GJ289" s="575"/>
      <c r="GK289" s="575"/>
      <c r="GL289" s="575"/>
      <c r="GM289" s="575"/>
      <c r="GN289" s="575"/>
      <c r="GO289" s="575"/>
      <c r="GP289" s="575"/>
      <c r="GQ289" s="575"/>
      <c r="GR289" s="575"/>
      <c r="GS289" s="575"/>
      <c r="GT289" s="575"/>
      <c r="GU289" s="575"/>
      <c r="GV289" s="575"/>
      <c r="GW289" s="575"/>
      <c r="GX289" s="575"/>
      <c r="GY289" s="575"/>
      <c r="GZ289" s="575"/>
      <c r="HA289" s="575"/>
      <c r="HB289" s="575"/>
      <c r="HC289" s="575"/>
      <c r="HD289" s="575"/>
      <c r="HE289" s="575"/>
      <c r="HF289" s="575"/>
      <c r="HG289" s="575"/>
      <c r="HH289" s="575"/>
      <c r="HI289" s="575"/>
      <c r="HJ289" s="575"/>
      <c r="HK289" s="575"/>
      <c r="HL289" s="575"/>
      <c r="HM289" s="575"/>
      <c r="HN289" s="575"/>
      <c r="HO289" s="575"/>
      <c r="HP289" s="575"/>
      <c r="HQ289" s="575"/>
      <c r="HR289" s="575"/>
      <c r="HS289" s="575"/>
      <c r="HT289" s="575"/>
      <c r="HU289" s="575"/>
      <c r="HV289" s="575"/>
      <c r="HW289" s="575"/>
      <c r="HX289" s="575"/>
      <c r="HY289" s="575"/>
      <c r="HZ289" s="575"/>
      <c r="IA289" s="575"/>
      <c r="IB289" s="575"/>
      <c r="IC289" s="575"/>
      <c r="ID289" s="575"/>
      <c r="IE289" s="575"/>
      <c r="IF289" s="575"/>
      <c r="IG289" s="575"/>
      <c r="IH289" s="575"/>
      <c r="II289" s="575"/>
      <c r="IJ289" s="575"/>
      <c r="IK289" s="575"/>
      <c r="IL289" s="575"/>
      <c r="IM289" s="575"/>
      <c r="IN289" s="575"/>
      <c r="IO289" s="575"/>
      <c r="IP289" s="575"/>
      <c r="IQ289" s="575"/>
      <c r="IR289" s="575"/>
      <c r="IS289" s="575"/>
      <c r="IT289" s="575"/>
      <c r="IU289" s="575"/>
      <c r="IV289" s="575"/>
      <c r="IW289" s="575"/>
      <c r="IX289" s="575"/>
      <c r="IY289" s="575"/>
      <c r="IZ289" s="575"/>
      <c r="JA289" s="575"/>
      <c r="JB289" s="575"/>
      <c r="JC289" s="575"/>
      <c r="JD289" s="575"/>
      <c r="JE289" s="575"/>
      <c r="JF289" s="575"/>
      <c r="JG289" s="575"/>
      <c r="JH289" s="575"/>
      <c r="JI289" s="575"/>
      <c r="JJ289" s="575"/>
      <c r="JK289" s="575"/>
      <c r="JL289" s="575"/>
      <c r="JM289" s="575"/>
      <c r="JN289" s="575"/>
      <c r="JO289" s="575"/>
      <c r="JP289" s="575"/>
      <c r="JQ289" s="575"/>
      <c r="JR289" s="575"/>
      <c r="JS289" s="575"/>
      <c r="JT289" s="575"/>
      <c r="JU289" s="575"/>
      <c r="JV289" s="575"/>
      <c r="JW289" s="575"/>
      <c r="JX289" s="575"/>
      <c r="JY289" s="575"/>
      <c r="JZ289" s="575"/>
      <c r="KA289" s="575"/>
      <c r="KB289" s="575"/>
      <c r="KC289" s="575"/>
      <c r="KD289" s="575"/>
      <c r="KE289" s="575"/>
      <c r="KF289" s="575"/>
      <c r="KG289" s="575"/>
      <c r="KH289" s="575"/>
      <c r="KI289" s="575"/>
      <c r="KJ289" s="575"/>
      <c r="KK289" s="575"/>
      <c r="KL289" s="575"/>
      <c r="KM289" s="575"/>
      <c r="KN289" s="575"/>
      <c r="KO289" s="575"/>
      <c r="KP289" s="575"/>
      <c r="KQ289" s="575"/>
      <c r="KR289" s="575"/>
      <c r="KS289" s="575"/>
      <c r="KT289" s="575"/>
      <c r="KU289" s="575"/>
      <c r="KV289" s="575"/>
      <c r="KW289" s="575"/>
      <c r="KX289" s="575"/>
      <c r="KY289" s="575"/>
      <c r="KZ289" s="575"/>
      <c r="LA289" s="575"/>
      <c r="LB289" s="575"/>
      <c r="LC289" s="575"/>
      <c r="LD289" s="575"/>
      <c r="LE289" s="575"/>
      <c r="LF289" s="575"/>
      <c r="LG289" s="575"/>
      <c r="LH289" s="575"/>
      <c r="LI289" s="575"/>
      <c r="LJ289" s="575"/>
      <c r="LK289" s="575"/>
      <c r="LL289" s="575"/>
      <c r="LM289" s="575"/>
      <c r="LN289" s="575"/>
      <c r="LO289" s="575"/>
      <c r="LP289" s="575"/>
      <c r="LQ289" s="575"/>
      <c r="LR289" s="575"/>
      <c r="LS289" s="575"/>
      <c r="LT289" s="575"/>
      <c r="LU289" s="575"/>
      <c r="LV289" s="575"/>
      <c r="LW289" s="575"/>
      <c r="LX289" s="575"/>
      <c r="LY289" s="575"/>
      <c r="LZ289" s="575"/>
      <c r="MA289" s="575"/>
      <c r="MB289" s="575"/>
      <c r="MC289" s="575"/>
      <c r="MD289" s="575"/>
      <c r="ME289" s="575"/>
      <c r="MF289" s="575"/>
      <c r="MG289" s="575"/>
      <c r="MH289" s="575"/>
      <c r="MI289" s="575"/>
      <c r="MJ289" s="575"/>
      <c r="MK289" s="575"/>
      <c r="ML289" s="575"/>
      <c r="MM289" s="575"/>
      <c r="MN289" s="575"/>
      <c r="MO289" s="575"/>
      <c r="MP289" s="575"/>
      <c r="MQ289" s="575"/>
      <c r="MR289" s="575"/>
      <c r="MS289" s="575"/>
      <c r="MT289" s="575"/>
      <c r="MU289" s="575"/>
      <c r="MV289" s="575"/>
      <c r="MW289" s="575"/>
      <c r="MX289" s="575"/>
      <c r="MY289" s="575"/>
      <c r="MZ289" s="575"/>
      <c r="NA289" s="575"/>
      <c r="NB289" s="575"/>
      <c r="NC289" s="575"/>
      <c r="ND289" s="575"/>
      <c r="NE289" s="575"/>
      <c r="NF289" s="575"/>
      <c r="NG289" s="575"/>
      <c r="NH289" s="575"/>
      <c r="NI289" s="575"/>
      <c r="NJ289" s="575"/>
      <c r="NK289" s="575"/>
      <c r="NL289" s="575"/>
      <c r="NM289" s="575"/>
      <c r="NN289" s="575"/>
      <c r="NO289" s="575"/>
      <c r="NP289" s="575"/>
      <c r="NQ289" s="575"/>
      <c r="NR289" s="575"/>
      <c r="NS289" s="575"/>
      <c r="NT289" s="575"/>
      <c r="NU289" s="575"/>
      <c r="NV289" s="575"/>
      <c r="NW289" s="575"/>
      <c r="NX289" s="575"/>
      <c r="NY289" s="575"/>
      <c r="NZ289" s="575"/>
      <c r="OA289" s="575"/>
      <c r="OB289" s="575"/>
      <c r="OC289" s="575"/>
      <c r="OD289" s="575"/>
      <c r="OE289" s="575"/>
      <c r="OF289" s="575"/>
      <c r="OG289" s="575"/>
      <c r="OH289" s="575"/>
      <c r="OI289" s="575"/>
      <c r="OJ289" s="575"/>
      <c r="OK289" s="575"/>
      <c r="OL289" s="575"/>
      <c r="OM289" s="575"/>
      <c r="ON289" s="575"/>
      <c r="OO289" s="575"/>
      <c r="OP289" s="575"/>
      <c r="OQ289" s="575"/>
      <c r="OR289" s="575"/>
      <c r="OS289" s="575"/>
      <c r="OT289" s="575"/>
      <c r="OU289" s="575"/>
      <c r="OV289" s="575"/>
      <c r="OW289" s="575"/>
      <c r="OX289" s="575"/>
      <c r="OY289" s="575"/>
      <c r="OZ289" s="575"/>
      <c r="PA289" s="575"/>
      <c r="PB289" s="575"/>
      <c r="PC289" s="575"/>
      <c r="PD289" s="575"/>
      <c r="PE289" s="575"/>
      <c r="PF289" s="575"/>
      <c r="PG289" s="575"/>
      <c r="PH289" s="575"/>
      <c r="PI289" s="575"/>
      <c r="PJ289" s="575"/>
      <c r="PK289" s="575"/>
      <c r="PL289" s="575"/>
      <c r="PM289" s="575"/>
      <c r="PN289" s="575"/>
      <c r="PO289" s="575"/>
      <c r="PP289" s="575"/>
      <c r="PQ289" s="575"/>
      <c r="PR289" s="575"/>
      <c r="PS289" s="575"/>
      <c r="PT289" s="575"/>
      <c r="PU289" s="575"/>
      <c r="PV289" s="575"/>
      <c r="PW289" s="575"/>
      <c r="PX289" s="575"/>
      <c r="PY289" s="575"/>
      <c r="PZ289" s="575"/>
      <c r="QA289" s="575"/>
      <c r="QB289" s="575"/>
      <c r="QC289" s="575"/>
      <c r="QD289" s="575"/>
      <c r="QE289" s="575"/>
      <c r="QF289" s="575"/>
      <c r="QG289" s="575"/>
      <c r="QH289" s="575"/>
      <c r="QI289" s="575"/>
      <c r="QJ289" s="575"/>
      <c r="QK289" s="575"/>
      <c r="QL289" s="575"/>
      <c r="QM289" s="575"/>
      <c r="QN289" s="575"/>
      <c r="QO289" s="575"/>
      <c r="QP289" s="575"/>
      <c r="QQ289" s="575"/>
      <c r="QR289" s="575"/>
      <c r="QS289" s="575"/>
      <c r="QT289" s="575"/>
      <c r="QU289" s="575"/>
      <c r="QV289" s="575"/>
      <c r="QW289" s="575"/>
      <c r="QX289" s="575"/>
      <c r="QY289" s="575"/>
      <c r="QZ289" s="575"/>
      <c r="RA289" s="575"/>
      <c r="RB289" s="575"/>
      <c r="RC289" s="575"/>
      <c r="RD289" s="575"/>
      <c r="RE289" s="575"/>
      <c r="RF289" s="575"/>
      <c r="RG289" s="575"/>
      <c r="RH289" s="575"/>
      <c r="RI289" s="575"/>
      <c r="RJ289" s="575"/>
      <c r="RK289" s="575"/>
      <c r="RL289" s="575"/>
      <c r="RM289" s="575"/>
      <c r="RN289" s="575"/>
      <c r="RO289" s="575"/>
      <c r="RP289" s="575"/>
      <c r="RQ289" s="575"/>
      <c r="RR289" s="575"/>
      <c r="RS289" s="575"/>
      <c r="RT289" s="575"/>
      <c r="RU289" s="575"/>
      <c r="RV289" s="575"/>
      <c r="RW289" s="575"/>
      <c r="RX289" s="575"/>
      <c r="RY289" s="575"/>
      <c r="RZ289" s="575"/>
      <c r="SA289" s="575"/>
      <c r="SB289" s="575"/>
      <c r="SC289" s="575"/>
      <c r="SD289" s="575"/>
      <c r="SE289" s="575"/>
      <c r="SF289" s="575"/>
      <c r="SG289" s="575"/>
      <c r="SH289" s="575"/>
      <c r="SI289" s="575"/>
      <c r="SJ289" s="575"/>
      <c r="SK289" s="575"/>
      <c r="SL289" s="575"/>
      <c r="SM289" s="575"/>
      <c r="SN289" s="575"/>
      <c r="SO289" s="575"/>
      <c r="SP289" s="575"/>
      <c r="SQ289" s="575"/>
      <c r="SR289" s="575"/>
      <c r="SS289" s="575"/>
      <c r="ST289" s="575"/>
      <c r="SU289" s="575"/>
      <c r="SV289" s="575"/>
      <c r="SW289" s="575"/>
      <c r="SX289" s="575"/>
      <c r="SY289" s="575"/>
      <c r="SZ289" s="575"/>
      <c r="TA289" s="575"/>
      <c r="TB289" s="575"/>
      <c r="TC289" s="575"/>
      <c r="TD289" s="575"/>
      <c r="TE289" s="575"/>
      <c r="TF289" s="575"/>
      <c r="TG289" s="575"/>
      <c r="TH289" s="575"/>
      <c r="TI289" s="575"/>
      <c r="TJ289" s="575"/>
      <c r="TK289" s="575"/>
      <c r="TL289" s="575"/>
      <c r="TM289" s="575"/>
      <c r="TN289" s="575"/>
      <c r="TO289" s="575"/>
      <c r="TP289" s="575"/>
      <c r="TQ289" s="575"/>
      <c r="TR289" s="575"/>
      <c r="TS289" s="575"/>
      <c r="TT289" s="575"/>
      <c r="TU289" s="575"/>
      <c r="TV289" s="575"/>
      <c r="TW289" s="575"/>
      <c r="TX289" s="575"/>
      <c r="TY289" s="575"/>
      <c r="TZ289" s="575"/>
      <c r="UA289" s="575"/>
      <c r="UB289" s="575"/>
      <c r="UC289" s="575"/>
      <c r="UD289" s="575"/>
      <c r="UE289" s="575"/>
      <c r="UF289" s="575"/>
      <c r="UG289" s="575"/>
      <c r="UH289" s="575"/>
      <c r="UI289" s="575"/>
      <c r="UJ289" s="575"/>
      <c r="UK289" s="575"/>
      <c r="UL289" s="575"/>
      <c r="UM289" s="575"/>
      <c r="UN289" s="575"/>
      <c r="UO289" s="575"/>
      <c r="UP289" s="575"/>
      <c r="UQ289" s="575"/>
      <c r="UR289" s="575"/>
      <c r="US289" s="575"/>
      <c r="UT289" s="575"/>
      <c r="UU289" s="575"/>
      <c r="UV289" s="575"/>
      <c r="UW289" s="575"/>
      <c r="UX289" s="575"/>
      <c r="UY289" s="575"/>
      <c r="UZ289" s="575"/>
      <c r="VA289" s="575"/>
      <c r="VB289" s="575"/>
      <c r="VC289" s="575"/>
      <c r="VD289" s="575"/>
      <c r="VE289" s="575"/>
      <c r="VF289" s="575"/>
      <c r="VG289" s="575"/>
      <c r="VH289" s="575"/>
      <c r="VI289" s="575"/>
      <c r="VJ289" s="575"/>
      <c r="VK289" s="575"/>
      <c r="VL289" s="575"/>
      <c r="VM289" s="575"/>
      <c r="VN289" s="575"/>
      <c r="VO289" s="575"/>
      <c r="VP289" s="575"/>
      <c r="VQ289" s="575"/>
      <c r="VR289" s="575"/>
      <c r="VS289" s="575"/>
      <c r="VT289" s="575"/>
      <c r="VU289" s="575"/>
      <c r="VV289" s="575"/>
      <c r="VW289" s="575"/>
      <c r="VX289" s="575"/>
      <c r="VY289" s="575"/>
      <c r="VZ289" s="575"/>
      <c r="WA289" s="575"/>
      <c r="WB289" s="575"/>
      <c r="WC289" s="575"/>
      <c r="WD289" s="575"/>
      <c r="WE289" s="575"/>
      <c r="WF289" s="575"/>
      <c r="WG289" s="575"/>
      <c r="WH289" s="575"/>
      <c r="WI289" s="575"/>
      <c r="WJ289" s="575"/>
      <c r="WK289" s="575"/>
      <c r="WL289" s="575"/>
      <c r="WM289" s="575"/>
      <c r="WN289" s="575"/>
      <c r="WO289" s="575"/>
      <c r="WP289" s="575"/>
      <c r="WQ289" s="575"/>
      <c r="WR289" s="575"/>
      <c r="WS289" s="575"/>
      <c r="WT289" s="575"/>
      <c r="WU289" s="575"/>
      <c r="WV289" s="575"/>
      <c r="WW289" s="575"/>
      <c r="WX289" s="575"/>
      <c r="WY289" s="575"/>
      <c r="WZ289" s="575"/>
      <c r="XA289" s="575"/>
      <c r="XB289" s="575"/>
      <c r="XC289" s="575"/>
      <c r="XD289" s="575"/>
      <c r="XE289" s="575"/>
      <c r="XF289" s="575"/>
      <c r="XG289" s="575"/>
      <c r="XH289" s="575"/>
      <c r="XI289" s="575"/>
      <c r="XJ289" s="575"/>
      <c r="XK289" s="575"/>
      <c r="XL289" s="575"/>
      <c r="XM289" s="575"/>
      <c r="XN289" s="575"/>
      <c r="XO289" s="575"/>
      <c r="XP289" s="575"/>
      <c r="XQ289" s="575"/>
      <c r="XR289" s="575"/>
      <c r="XS289" s="575"/>
      <c r="XT289" s="575"/>
      <c r="XU289" s="575"/>
      <c r="XV289" s="575"/>
      <c r="XW289" s="575"/>
      <c r="XX289" s="575"/>
      <c r="XY289" s="575"/>
      <c r="XZ289" s="575"/>
      <c r="YA289" s="575"/>
      <c r="YB289" s="575"/>
      <c r="YC289" s="575"/>
      <c r="YD289" s="575"/>
      <c r="YE289" s="575"/>
      <c r="YF289" s="575"/>
      <c r="YG289" s="575"/>
      <c r="YH289" s="575"/>
      <c r="YI289" s="575"/>
      <c r="YJ289" s="575"/>
      <c r="YK289" s="575"/>
      <c r="YL289" s="575"/>
      <c r="YM289" s="575"/>
      <c r="YN289" s="575"/>
      <c r="YO289" s="575"/>
      <c r="YP289" s="575"/>
      <c r="YQ289" s="575"/>
      <c r="YR289" s="575"/>
      <c r="YS289" s="575"/>
      <c r="YT289" s="575"/>
      <c r="YU289" s="575"/>
      <c r="YV289" s="575"/>
      <c r="YW289" s="575"/>
      <c r="YX289" s="575"/>
      <c r="YY289" s="575"/>
      <c r="YZ289" s="575"/>
      <c r="ZA289" s="575"/>
      <c r="ZB289" s="575"/>
      <c r="ZC289" s="575"/>
      <c r="ZD289" s="575"/>
      <c r="ZE289" s="575"/>
      <c r="ZF289" s="575"/>
      <c r="ZG289" s="575"/>
      <c r="ZH289" s="575"/>
      <c r="ZI289" s="575"/>
      <c r="ZJ289" s="575"/>
      <c r="ZK289" s="575"/>
      <c r="ZL289" s="575"/>
      <c r="ZM289" s="575"/>
      <c r="ZN289" s="575"/>
      <c r="ZO289" s="575"/>
      <c r="ZP289" s="575"/>
      <c r="ZQ289" s="575"/>
      <c r="ZR289" s="575"/>
      <c r="ZS289" s="575"/>
      <c r="ZT289" s="575"/>
      <c r="ZU289" s="575"/>
      <c r="ZV289" s="575"/>
      <c r="ZW289" s="575"/>
      <c r="ZX289" s="575"/>
      <c r="ZY289" s="575"/>
      <c r="ZZ289" s="575"/>
      <c r="AAA289" s="575"/>
      <c r="AAB289" s="575"/>
      <c r="AAC289" s="575"/>
      <c r="AAD289" s="575"/>
      <c r="AAE289" s="575"/>
      <c r="AAF289" s="575"/>
      <c r="AAG289" s="575"/>
      <c r="AAH289" s="575"/>
      <c r="AAI289" s="575"/>
      <c r="AAJ289" s="575"/>
      <c r="AAK289" s="575"/>
      <c r="AAL289" s="575"/>
      <c r="AAM289" s="575"/>
      <c r="AAN289" s="575"/>
      <c r="AAO289" s="575"/>
      <c r="AAP289" s="575"/>
      <c r="AAQ289" s="575"/>
      <c r="AAR289" s="575"/>
      <c r="AAS289" s="575"/>
      <c r="AAT289" s="575"/>
      <c r="AAU289" s="575"/>
      <c r="AAV289" s="575"/>
      <c r="AAW289" s="575"/>
      <c r="AAX289" s="575"/>
      <c r="AAY289" s="575"/>
      <c r="AAZ289" s="575"/>
      <c r="ABA289" s="575"/>
      <c r="ABB289" s="575"/>
      <c r="ABC289" s="575"/>
      <c r="ABD289" s="575"/>
      <c r="ABE289" s="575"/>
      <c r="ABF289" s="575"/>
      <c r="ABG289" s="575"/>
      <c r="ABH289" s="575"/>
      <c r="ABI289" s="575"/>
      <c r="ABJ289" s="575"/>
      <c r="ABK289" s="575"/>
      <c r="ABL289" s="575"/>
      <c r="ABM289" s="575"/>
      <c r="ABN289" s="575"/>
      <c r="ABO289" s="575"/>
      <c r="ABP289" s="575"/>
      <c r="ABQ289" s="575"/>
      <c r="ABR289" s="575"/>
      <c r="ABS289" s="575"/>
      <c r="ABT289" s="575"/>
      <c r="ABU289" s="575"/>
      <c r="ABV289" s="575"/>
      <c r="ABW289" s="575"/>
      <c r="ABX289" s="575"/>
      <c r="ABY289" s="575"/>
      <c r="ABZ289" s="575"/>
      <c r="ACA289" s="575"/>
      <c r="ACB289" s="575"/>
      <c r="ACC289" s="575"/>
      <c r="ACD289" s="575"/>
      <c r="ACE289" s="575"/>
      <c r="ACF289" s="575"/>
      <c r="ACG289" s="575"/>
      <c r="ACH289" s="575"/>
      <c r="ACI289" s="575"/>
      <c r="ACJ289" s="575"/>
      <c r="ACK289" s="575"/>
      <c r="ACL289" s="575"/>
      <c r="ACM289" s="575"/>
      <c r="ACN289" s="575"/>
      <c r="ACO289" s="575"/>
      <c r="ACP289" s="575"/>
      <c r="ACQ289" s="575"/>
      <c r="ACR289" s="575"/>
      <c r="ACS289" s="575"/>
      <c r="ACT289" s="575"/>
      <c r="ACU289" s="575"/>
      <c r="ACV289" s="575"/>
      <c r="ACW289" s="575"/>
      <c r="ACX289" s="575"/>
      <c r="ACY289" s="575"/>
      <c r="ACZ289" s="575"/>
      <c r="ADA289" s="575"/>
      <c r="ADB289" s="575"/>
      <c r="ADC289" s="575"/>
      <c r="ADD289" s="575"/>
      <c r="ADE289" s="575"/>
      <c r="ADF289" s="575"/>
      <c r="ADG289" s="575"/>
      <c r="ADH289" s="575"/>
      <c r="ADI289" s="575"/>
      <c r="ADJ289" s="575"/>
      <c r="ADK289" s="575"/>
      <c r="ADL289" s="575"/>
      <c r="ADM289" s="575"/>
      <c r="ADN289" s="575"/>
      <c r="ADO289" s="575"/>
      <c r="ADP289" s="575"/>
      <c r="ADQ289" s="575"/>
      <c r="ADR289" s="575"/>
      <c r="ADS289" s="575"/>
      <c r="ADT289" s="575"/>
      <c r="ADU289" s="575"/>
      <c r="ADV289" s="575"/>
      <c r="ADW289" s="575"/>
      <c r="ADX289" s="575"/>
      <c r="ADY289" s="575"/>
      <c r="ADZ289" s="575"/>
      <c r="AEA289" s="575"/>
      <c r="AEB289" s="575"/>
      <c r="AEC289" s="575"/>
      <c r="AED289" s="575"/>
      <c r="AEE289" s="575"/>
      <c r="AEF289" s="575"/>
      <c r="AEG289" s="575"/>
      <c r="AEH289" s="575"/>
      <c r="AEI289" s="575"/>
      <c r="AEJ289" s="575"/>
      <c r="AEK289" s="575"/>
      <c r="AEL289" s="575"/>
      <c r="AEM289" s="575"/>
      <c r="AEN289" s="575"/>
      <c r="AEO289" s="575"/>
      <c r="AEP289" s="575"/>
      <c r="AEQ289" s="575"/>
      <c r="AER289" s="575"/>
      <c r="AES289" s="575"/>
      <c r="AET289" s="575"/>
      <c r="AEU289" s="575"/>
      <c r="AEV289" s="575"/>
      <c r="AEW289" s="575"/>
      <c r="AEX289" s="575"/>
      <c r="AEY289" s="575"/>
      <c r="AEZ289" s="575"/>
      <c r="AFA289" s="575"/>
      <c r="AFB289" s="575"/>
      <c r="AFC289" s="575"/>
      <c r="AFD289" s="575"/>
      <c r="AFE289" s="575"/>
      <c r="AFF289" s="575"/>
      <c r="AFG289" s="575"/>
      <c r="AFH289" s="575"/>
      <c r="AFI289" s="575"/>
      <c r="AFJ289" s="575"/>
      <c r="AFK289" s="575"/>
      <c r="AFL289" s="575"/>
      <c r="AFM289" s="575"/>
      <c r="AFN289" s="575"/>
      <c r="AFO289" s="575"/>
      <c r="AFP289" s="575"/>
      <c r="AFQ289" s="575"/>
      <c r="AFR289" s="575"/>
      <c r="AFS289" s="575"/>
      <c r="AFT289" s="575"/>
      <c r="AFU289" s="575"/>
      <c r="AFV289" s="575"/>
      <c r="AFW289" s="575"/>
      <c r="AFX289" s="575"/>
      <c r="AFY289" s="575"/>
      <c r="AFZ289" s="575"/>
      <c r="AGA289" s="575"/>
      <c r="AGB289" s="575"/>
      <c r="AGC289" s="575"/>
      <c r="AGD289" s="575"/>
      <c r="AGE289" s="575"/>
      <c r="AGF289" s="575"/>
      <c r="AGG289" s="575"/>
      <c r="AGH289" s="575"/>
      <c r="AGI289" s="575"/>
      <c r="AGJ289" s="575"/>
      <c r="AGK289" s="575"/>
      <c r="AGL289" s="575"/>
      <c r="AGM289" s="575"/>
      <c r="AGN289" s="575"/>
      <c r="AGO289" s="575"/>
      <c r="AGP289" s="575"/>
      <c r="AGQ289" s="575"/>
      <c r="AGR289" s="575"/>
      <c r="AGS289" s="575"/>
      <c r="AGT289" s="575"/>
      <c r="AGU289" s="575"/>
      <c r="AGV289" s="575"/>
      <c r="AGW289" s="575"/>
      <c r="AGX289" s="575"/>
      <c r="AGY289" s="575"/>
      <c r="AGZ289" s="575"/>
      <c r="AHA289" s="575"/>
      <c r="AHB289" s="575"/>
      <c r="AHC289" s="575"/>
      <c r="AHD289" s="575"/>
      <c r="AHE289" s="575"/>
      <c r="AHF289" s="575"/>
      <c r="AHG289" s="575"/>
      <c r="AHH289" s="575"/>
      <c r="AHI289" s="575"/>
      <c r="AHJ289" s="575"/>
      <c r="AHK289" s="575"/>
      <c r="AHL289" s="575"/>
      <c r="AHM289" s="575"/>
      <c r="AHN289" s="575"/>
      <c r="AHO289" s="575"/>
      <c r="AHP289" s="575"/>
      <c r="AHQ289" s="575"/>
      <c r="AHR289" s="575"/>
      <c r="AHS289" s="575"/>
      <c r="AHT289" s="575"/>
      <c r="AHU289" s="575"/>
      <c r="AHV289" s="575"/>
      <c r="AHW289" s="575"/>
      <c r="AHX289" s="575"/>
      <c r="AHY289" s="575"/>
      <c r="AHZ289" s="575"/>
      <c r="AIA289" s="575"/>
      <c r="AIB289" s="575"/>
      <c r="AIC289" s="575"/>
      <c r="AID289" s="575"/>
      <c r="AIE289" s="575"/>
      <c r="AIF289" s="575"/>
      <c r="AIG289" s="575"/>
      <c r="AIH289" s="575"/>
      <c r="AII289" s="575"/>
      <c r="AIJ289" s="575"/>
      <c r="AIK289" s="575"/>
      <c r="AIL289" s="575"/>
      <c r="AIM289" s="575"/>
      <c r="AIN289" s="575"/>
      <c r="AIO289" s="575"/>
      <c r="AIP289" s="575"/>
      <c r="AIQ289" s="575"/>
      <c r="AIR289" s="575"/>
      <c r="AIS289" s="575"/>
      <c r="AIT289" s="575"/>
      <c r="AIU289" s="575"/>
      <c r="AIV289" s="575"/>
      <c r="AIW289" s="575"/>
      <c r="AIX289" s="575"/>
      <c r="AIY289" s="575"/>
      <c r="AIZ289" s="575"/>
      <c r="AJA289" s="575"/>
      <c r="AJB289" s="575"/>
      <c r="AJC289" s="575"/>
      <c r="AJD289" s="575"/>
      <c r="AJE289" s="575"/>
      <c r="AJF289" s="575"/>
      <c r="AJG289" s="575"/>
      <c r="AJH289" s="575"/>
      <c r="AJI289" s="575"/>
      <c r="AJJ289" s="575"/>
      <c r="AJK289" s="575"/>
      <c r="AJL289" s="575"/>
      <c r="AJM289" s="575"/>
      <c r="AJN289" s="575"/>
      <c r="AJO289" s="575"/>
      <c r="AJP289" s="575"/>
      <c r="AJQ289" s="575"/>
      <c r="AJR289" s="575"/>
      <c r="AJS289" s="575"/>
      <c r="AJT289" s="575"/>
      <c r="AJU289" s="575"/>
      <c r="AJV289" s="575"/>
      <c r="AJW289" s="575"/>
      <c r="AJX289" s="575"/>
      <c r="AJY289" s="575"/>
      <c r="AJZ289" s="575"/>
      <c r="AKA289" s="575"/>
      <c r="AKB289" s="575"/>
      <c r="AKC289" s="575"/>
      <c r="AKD289" s="575"/>
      <c r="AKE289" s="575"/>
      <c r="AKF289" s="575"/>
      <c r="AKG289" s="575"/>
      <c r="AKH289" s="575"/>
      <c r="AKI289" s="575"/>
      <c r="AKJ289" s="575"/>
      <c r="AKK289" s="575"/>
      <c r="AKL289" s="575"/>
      <c r="AKM289" s="575"/>
      <c r="AKN289" s="575"/>
      <c r="AKO289" s="575"/>
      <c r="AKP289" s="575"/>
      <c r="AKQ289" s="575"/>
      <c r="AKR289" s="575"/>
      <c r="AKS289" s="575"/>
      <c r="AKT289" s="575"/>
      <c r="AKU289" s="575"/>
      <c r="AKV289" s="575"/>
      <c r="AKW289" s="575"/>
      <c r="AKX289" s="575"/>
      <c r="AKY289" s="575"/>
      <c r="AKZ289" s="575"/>
      <c r="ALA289" s="575"/>
      <c r="ALB289" s="575"/>
      <c r="ALC289" s="575"/>
      <c r="ALD289" s="575"/>
      <c r="ALE289" s="575"/>
      <c r="ALF289" s="575"/>
      <c r="ALG289" s="575"/>
      <c r="ALH289" s="575"/>
      <c r="ALI289" s="575"/>
      <c r="ALJ289" s="575"/>
      <c r="ALK289" s="575"/>
      <c r="ALL289" s="575"/>
      <c r="ALM289" s="575"/>
      <c r="ALN289" s="575"/>
      <c r="ALO289" s="575"/>
      <c r="ALP289" s="575"/>
      <c r="ALQ289" s="575"/>
      <c r="ALR289" s="575"/>
      <c r="ALS289" s="575"/>
      <c r="ALT289" s="575"/>
      <c r="ALU289" s="575"/>
      <c r="ALV289" s="575"/>
      <c r="ALW289" s="575"/>
      <c r="ALX289" s="575"/>
      <c r="ALY289" s="575"/>
      <c r="ALZ289" s="575"/>
      <c r="AMA289" s="575"/>
      <c r="AMB289" s="575"/>
      <c r="AMC289" s="575"/>
      <c r="AMD289" s="575"/>
      <c r="AME289" s="575"/>
      <c r="AMF289" s="575"/>
      <c r="AMG289" s="575"/>
      <c r="AMH289" s="575"/>
      <c r="AMI289" s="575"/>
      <c r="AMJ289" s="575"/>
      <c r="AMK289" s="575"/>
      <c r="AML289" s="575"/>
      <c r="AMM289" s="575"/>
      <c r="AMN289" s="575"/>
      <c r="AMO289" s="575"/>
      <c r="AMP289" s="575"/>
      <c r="AMQ289" s="575"/>
      <c r="AMR289" s="575"/>
      <c r="AMS289" s="575"/>
      <c r="AMT289" s="575"/>
      <c r="AMU289" s="575"/>
      <c r="AMV289" s="575"/>
      <c r="AMW289" s="575"/>
      <c r="AMX289" s="575"/>
      <c r="AMY289" s="575"/>
      <c r="AMZ289" s="575"/>
      <c r="ANA289" s="575"/>
      <c r="ANB289" s="575"/>
      <c r="ANC289" s="575"/>
      <c r="AND289" s="575"/>
      <c r="ANE289" s="575"/>
      <c r="ANF289" s="575"/>
      <c r="ANG289" s="575"/>
      <c r="ANH289" s="575"/>
      <c r="ANI289" s="575"/>
      <c r="ANJ289" s="575"/>
      <c r="ANK289" s="575"/>
      <c r="ANL289" s="575"/>
      <c r="ANM289" s="575"/>
      <c r="ANN289" s="575"/>
      <c r="ANO289" s="575"/>
      <c r="ANP289" s="575"/>
      <c r="ANQ289" s="575"/>
      <c r="ANR289" s="575"/>
      <c r="ANS289" s="575"/>
      <c r="ANT289" s="575"/>
      <c r="ANU289" s="575"/>
      <c r="ANV289" s="575"/>
      <c r="ANW289" s="575"/>
      <c r="ANX289" s="575"/>
      <c r="ANY289" s="575"/>
      <c r="ANZ289" s="575"/>
      <c r="AOA289" s="575"/>
      <c r="AOB289" s="575"/>
      <c r="AOC289" s="575"/>
      <c r="AOD289" s="575"/>
      <c r="AOE289" s="575"/>
      <c r="AOF289" s="575"/>
      <c r="AOG289" s="575"/>
      <c r="AOH289" s="575"/>
      <c r="AOI289" s="575"/>
      <c r="AOJ289" s="575"/>
      <c r="AOK289" s="575"/>
      <c r="AOL289" s="575"/>
      <c r="AOM289" s="575"/>
      <c r="AON289" s="575"/>
      <c r="AOO289" s="575"/>
      <c r="AOP289" s="575"/>
      <c r="AOQ289" s="575"/>
      <c r="AOR289" s="575"/>
      <c r="AOS289" s="575"/>
      <c r="AOT289" s="575"/>
      <c r="AOU289" s="575"/>
      <c r="AOV289" s="575"/>
      <c r="AOW289" s="575"/>
      <c r="AOX289" s="575"/>
      <c r="AOY289" s="575"/>
      <c r="AOZ289" s="575"/>
      <c r="APA289" s="575"/>
      <c r="APB289" s="575"/>
      <c r="APC289" s="575"/>
      <c r="APD289" s="575"/>
      <c r="APE289" s="575"/>
      <c r="APF289" s="575"/>
      <c r="APG289" s="575"/>
      <c r="APH289" s="575"/>
      <c r="API289" s="575"/>
      <c r="APJ289" s="575"/>
      <c r="APK289" s="575"/>
      <c r="APL289" s="575"/>
      <c r="APM289" s="575"/>
      <c r="APN289" s="575"/>
      <c r="APO289" s="575"/>
      <c r="APP289" s="575"/>
      <c r="APQ289" s="575"/>
      <c r="APR289" s="575"/>
      <c r="APS289" s="575"/>
      <c r="APT289" s="575"/>
      <c r="APU289" s="575"/>
      <c r="APV289" s="575"/>
      <c r="APW289" s="575"/>
      <c r="APX289" s="575"/>
      <c r="APY289" s="575"/>
      <c r="APZ289" s="575"/>
      <c r="AQA289" s="575"/>
      <c r="AQB289" s="575"/>
      <c r="AQC289" s="575"/>
      <c r="AQD289" s="575"/>
      <c r="AQE289" s="575"/>
      <c r="AQF289" s="575"/>
      <c r="AQG289" s="575"/>
      <c r="AQH289" s="575"/>
      <c r="AQI289" s="575"/>
      <c r="AQJ289" s="575"/>
      <c r="AQK289" s="575"/>
      <c r="AQL289" s="575"/>
      <c r="AQM289" s="575"/>
      <c r="AQN289" s="575"/>
      <c r="AQO289" s="575"/>
      <c r="AQP289" s="575"/>
      <c r="AQQ289" s="575"/>
      <c r="AQR289" s="575"/>
      <c r="AQS289" s="575"/>
      <c r="AQT289" s="575"/>
      <c r="AQU289" s="575"/>
      <c r="AQV289" s="575"/>
      <c r="AQW289" s="575"/>
      <c r="AQX289" s="575"/>
      <c r="AQY289" s="575"/>
      <c r="AQZ289" s="575"/>
      <c r="ARA289" s="575"/>
      <c r="ARB289" s="575"/>
      <c r="ARC289" s="575"/>
      <c r="ARD289" s="575"/>
      <c r="ARE289" s="575"/>
      <c r="ARF289" s="575"/>
      <c r="ARG289" s="575"/>
      <c r="ARH289" s="575"/>
      <c r="ARI289" s="575"/>
      <c r="ARJ289" s="575"/>
      <c r="ARK289" s="575"/>
      <c r="ARL289" s="575"/>
      <c r="ARM289" s="575"/>
      <c r="ARN289" s="575"/>
      <c r="ARO289" s="575"/>
      <c r="ARP289" s="575"/>
      <c r="ARQ289" s="575"/>
      <c r="ARR289" s="575"/>
      <c r="ARS289" s="575"/>
      <c r="ART289" s="575"/>
      <c r="ARU289" s="575"/>
      <c r="ARV289" s="575"/>
      <c r="ARW289" s="575"/>
      <c r="ARX289" s="575"/>
      <c r="ARY289" s="575"/>
      <c r="ARZ289" s="575"/>
      <c r="ASA289" s="575"/>
      <c r="ASB289" s="575"/>
      <c r="ASC289" s="575"/>
      <c r="ASD289" s="575"/>
      <c r="ASE289" s="575"/>
      <c r="ASF289" s="575"/>
      <c r="ASG289" s="575"/>
      <c r="ASH289" s="575"/>
      <c r="ASI289" s="575"/>
      <c r="ASJ289" s="575"/>
      <c r="ASK289" s="575"/>
      <c r="ASL289" s="575"/>
      <c r="ASM289" s="575"/>
      <c r="ASN289" s="575"/>
      <c r="ASO289" s="575"/>
      <c r="ASP289" s="575"/>
      <c r="ASQ289" s="575"/>
      <c r="ASR289" s="575"/>
      <c r="ASS289" s="575"/>
      <c r="AST289" s="575"/>
      <c r="ASU289" s="575"/>
      <c r="ASV289" s="575"/>
      <c r="ASW289" s="575"/>
      <c r="ASX289" s="575"/>
      <c r="ASY289" s="575"/>
      <c r="ASZ289" s="575"/>
      <c r="ATA289" s="575"/>
      <c r="ATB289" s="575"/>
      <c r="ATC289" s="575"/>
      <c r="ATD289" s="575"/>
      <c r="ATE289" s="575"/>
      <c r="ATF289" s="575"/>
      <c r="ATG289" s="575"/>
      <c r="ATH289" s="575"/>
      <c r="ATI289" s="575"/>
      <c r="ATJ289" s="575"/>
      <c r="ATK289" s="575"/>
      <c r="ATL289" s="575"/>
      <c r="ATM289" s="575"/>
      <c r="ATN289" s="575"/>
      <c r="ATO289" s="575"/>
      <c r="ATP289" s="575"/>
      <c r="ATQ289" s="575"/>
      <c r="ATR289" s="575"/>
      <c r="ATS289" s="575"/>
      <c r="ATT289" s="575"/>
      <c r="ATU289" s="575"/>
      <c r="ATV289" s="575"/>
      <c r="ATW289" s="575"/>
      <c r="ATX289" s="575"/>
      <c r="ATY289" s="575"/>
      <c r="ATZ289" s="575"/>
      <c r="AUA289" s="575"/>
      <c r="AUB289" s="575"/>
      <c r="AUC289" s="575"/>
      <c r="AUD289" s="575"/>
      <c r="AUE289" s="575"/>
      <c r="AUF289" s="575"/>
      <c r="AUG289" s="575"/>
      <c r="AUH289" s="575"/>
      <c r="AUI289" s="575"/>
      <c r="AUJ289" s="575"/>
      <c r="AUK289" s="575"/>
      <c r="AUL289" s="575"/>
      <c r="AUM289" s="575"/>
      <c r="AUN289" s="575"/>
      <c r="AUO289" s="575"/>
      <c r="AUP289" s="575"/>
      <c r="AUQ289" s="575"/>
      <c r="AUR289" s="575"/>
      <c r="AUS289" s="575"/>
      <c r="AUT289" s="575"/>
      <c r="AUU289" s="575"/>
      <c r="AUV289" s="575"/>
      <c r="AUW289" s="575"/>
      <c r="AUX289" s="575"/>
      <c r="AUY289" s="575"/>
      <c r="AUZ289" s="575"/>
      <c r="AVA289" s="575"/>
      <c r="AVB289" s="575"/>
      <c r="AVC289" s="575"/>
      <c r="AVD289" s="575"/>
      <c r="AVE289" s="575"/>
      <c r="AVF289" s="575"/>
      <c r="AVG289" s="575"/>
      <c r="AVH289" s="575"/>
      <c r="AVI289" s="575"/>
      <c r="AVJ289" s="575"/>
      <c r="AVK289" s="575"/>
      <c r="AVL289" s="575"/>
      <c r="AVM289" s="575"/>
      <c r="AVN289" s="575"/>
      <c r="AVO289" s="575"/>
      <c r="AVP289" s="575"/>
      <c r="AVQ289" s="575"/>
      <c r="AVR289" s="575"/>
      <c r="AVS289" s="575"/>
      <c r="AVT289" s="575"/>
      <c r="AVU289" s="575"/>
      <c r="AVV289" s="575"/>
      <c r="AVW289" s="575"/>
      <c r="AVX289" s="575"/>
      <c r="AVY289" s="575"/>
      <c r="AVZ289" s="575"/>
      <c r="AWA289" s="575"/>
      <c r="AWB289" s="575"/>
      <c r="AWC289" s="575"/>
      <c r="AWD289" s="575"/>
      <c r="AWE289" s="575"/>
      <c r="AWF289" s="575"/>
      <c r="AWG289" s="575"/>
      <c r="AWH289" s="575"/>
      <c r="AWI289" s="575"/>
      <c r="AWJ289" s="575"/>
      <c r="AWK289" s="575"/>
      <c r="AWL289" s="575"/>
      <c r="AWM289" s="575"/>
      <c r="AWN289" s="575"/>
      <c r="AWO289" s="575"/>
      <c r="AWP289" s="575"/>
      <c r="AWQ289" s="575"/>
      <c r="AWR289" s="575"/>
      <c r="AWS289" s="575"/>
      <c r="AWT289" s="575"/>
      <c r="AWU289" s="575"/>
      <c r="AWV289" s="575"/>
      <c r="AWW289" s="575"/>
      <c r="AWX289" s="575"/>
      <c r="AWY289" s="575"/>
      <c r="AWZ289" s="575"/>
      <c r="AXA289" s="575"/>
      <c r="AXB289" s="575"/>
      <c r="AXC289" s="575"/>
      <c r="AXD289" s="575"/>
      <c r="AXE289" s="575"/>
      <c r="AXF289" s="575"/>
      <c r="AXG289" s="575"/>
      <c r="AXH289" s="575"/>
      <c r="AXI289" s="575"/>
      <c r="AXJ289" s="575"/>
      <c r="AXK289" s="575"/>
      <c r="AXL289" s="575"/>
      <c r="AXM289" s="575"/>
      <c r="AXN289" s="575"/>
      <c r="AXO289" s="575"/>
      <c r="AXP289" s="575"/>
      <c r="AXQ289" s="575"/>
      <c r="AXR289" s="575"/>
      <c r="AXS289" s="575"/>
      <c r="AXT289" s="575"/>
      <c r="AXU289" s="575"/>
      <c r="AXV289" s="575"/>
      <c r="AXW289" s="575"/>
      <c r="AXX289" s="575"/>
      <c r="AXY289" s="575"/>
      <c r="AXZ289" s="575"/>
      <c r="AYA289" s="575"/>
      <c r="AYB289" s="575"/>
      <c r="AYC289" s="575"/>
      <c r="AYD289" s="575"/>
      <c r="AYE289" s="575"/>
      <c r="AYF289" s="575"/>
      <c r="AYG289" s="575"/>
      <c r="AYH289" s="575"/>
      <c r="AYI289" s="575"/>
      <c r="AYJ289" s="575"/>
      <c r="AYK289" s="575"/>
      <c r="AYL289" s="575"/>
      <c r="AYM289" s="575"/>
      <c r="AYN289" s="575"/>
      <c r="AYO289" s="575"/>
      <c r="AYP289" s="575"/>
      <c r="AYQ289" s="575"/>
      <c r="AYR289" s="575"/>
      <c r="AYS289" s="575"/>
      <c r="AYT289" s="575"/>
      <c r="AYU289" s="575"/>
      <c r="AYV289" s="575"/>
      <c r="AYW289" s="575"/>
      <c r="AYX289" s="575"/>
      <c r="AYY289" s="575"/>
      <c r="AYZ289" s="575"/>
      <c r="AZA289" s="575"/>
      <c r="AZB289" s="575"/>
      <c r="AZC289" s="575"/>
      <c r="AZD289" s="575"/>
      <c r="AZE289" s="575"/>
      <c r="AZF289" s="575"/>
      <c r="AZG289" s="575"/>
      <c r="AZH289" s="575"/>
      <c r="AZI289" s="575"/>
      <c r="AZJ289" s="575"/>
      <c r="AZK289" s="575"/>
      <c r="AZL289" s="575"/>
      <c r="AZM289" s="575"/>
      <c r="AZN289" s="575"/>
      <c r="AZO289" s="575"/>
      <c r="AZP289" s="575"/>
      <c r="AZQ289" s="575"/>
      <c r="AZR289" s="575"/>
      <c r="AZS289" s="575"/>
      <c r="AZT289" s="575"/>
      <c r="AZU289" s="575"/>
      <c r="AZV289" s="575"/>
      <c r="AZW289" s="575"/>
      <c r="AZX289" s="575"/>
      <c r="AZY289" s="575"/>
      <c r="AZZ289" s="575"/>
      <c r="BAA289" s="575"/>
      <c r="BAB289" s="575"/>
      <c r="BAC289" s="575"/>
      <c r="BAD289" s="575"/>
      <c r="BAE289" s="575"/>
      <c r="BAF289" s="575"/>
      <c r="BAG289" s="575"/>
      <c r="BAH289" s="575"/>
      <c r="BAI289" s="575"/>
      <c r="BAJ289" s="575"/>
      <c r="BAK289" s="575"/>
      <c r="BAL289" s="575"/>
      <c r="BAM289" s="575"/>
      <c r="BAN289" s="575"/>
      <c r="BAO289" s="575"/>
      <c r="BAP289" s="575"/>
      <c r="BAQ289" s="575"/>
      <c r="BAR289" s="575"/>
      <c r="BAS289" s="575"/>
      <c r="BAT289" s="575"/>
      <c r="BAU289" s="575"/>
      <c r="BAV289" s="575"/>
      <c r="BAW289" s="575"/>
      <c r="BAX289" s="575"/>
      <c r="BAY289" s="575"/>
      <c r="BAZ289" s="575"/>
      <c r="BBA289" s="575"/>
      <c r="BBB289" s="575"/>
      <c r="BBC289" s="575"/>
      <c r="BBD289" s="575"/>
      <c r="BBE289" s="575"/>
      <c r="BBF289" s="575"/>
      <c r="BBG289" s="575"/>
      <c r="BBH289" s="575"/>
      <c r="BBI289" s="575"/>
      <c r="BBJ289" s="575"/>
      <c r="BBK289" s="575"/>
      <c r="BBL289" s="575"/>
      <c r="BBM289" s="575"/>
      <c r="BBN289" s="575"/>
      <c r="BBO289" s="575"/>
      <c r="BBP289" s="575"/>
      <c r="BBQ289" s="575"/>
      <c r="BBR289" s="575"/>
      <c r="BBS289" s="575"/>
      <c r="BBT289" s="575"/>
      <c r="BBU289" s="575"/>
      <c r="BBV289" s="575"/>
      <c r="BBW289" s="575"/>
      <c r="BBX289" s="575"/>
      <c r="BBY289" s="575"/>
      <c r="BBZ289" s="575"/>
      <c r="BCA289" s="575"/>
      <c r="BCB289" s="575"/>
      <c r="BCC289" s="575"/>
      <c r="BCD289" s="575"/>
      <c r="BCE289" s="575"/>
      <c r="BCF289" s="575"/>
      <c r="BCG289" s="575"/>
      <c r="BCH289" s="575"/>
      <c r="BCI289" s="575"/>
      <c r="BCJ289" s="575"/>
      <c r="BCK289" s="575"/>
      <c r="BCL289" s="575"/>
      <c r="BCM289" s="575"/>
      <c r="BCN289" s="575"/>
      <c r="BCO289" s="575"/>
      <c r="BCP289" s="575"/>
      <c r="BCQ289" s="575"/>
      <c r="BCR289" s="575"/>
      <c r="BCS289" s="575"/>
      <c r="BCT289" s="575"/>
      <c r="BCU289" s="575"/>
      <c r="BCV289" s="575"/>
      <c r="BCW289" s="575"/>
      <c r="BCX289" s="575"/>
      <c r="BCY289" s="575"/>
      <c r="BCZ289" s="575"/>
      <c r="BDA289" s="575"/>
      <c r="BDB289" s="575"/>
      <c r="BDC289" s="575"/>
      <c r="BDD289" s="575"/>
      <c r="BDE289" s="575"/>
      <c r="BDF289" s="575"/>
      <c r="BDG289" s="575"/>
      <c r="BDH289" s="575"/>
      <c r="BDI289" s="575"/>
      <c r="BDJ289" s="575"/>
      <c r="BDK289" s="575"/>
      <c r="BDL289" s="575"/>
      <c r="BDM289" s="575"/>
      <c r="BDN289" s="575"/>
      <c r="BDO289" s="575"/>
      <c r="BDP289" s="575"/>
      <c r="BDQ289" s="575"/>
      <c r="BDR289" s="575"/>
      <c r="BDS289" s="575"/>
      <c r="BDT289" s="575"/>
    </row>
    <row r="290" spans="1:1476" x14ac:dyDescent="0.25">
      <c r="A290" s="608">
        <v>5922</v>
      </c>
      <c r="B290" s="609" t="s">
        <v>234</v>
      </c>
      <c r="C290" s="610">
        <v>1353693.24</v>
      </c>
      <c r="D290" s="610">
        <v>212766.65</v>
      </c>
      <c r="E290" s="610"/>
      <c r="F290" s="611"/>
      <c r="G290" s="610">
        <v>467640.2</v>
      </c>
      <c r="H290" s="610">
        <v>14051.45</v>
      </c>
      <c r="I290" s="610"/>
      <c r="J290" s="610">
        <v>85313.26</v>
      </c>
      <c r="K290" s="610">
        <v>65824.350000000006</v>
      </c>
      <c r="L290" s="610">
        <v>268740.05</v>
      </c>
      <c r="M290" s="434">
        <f t="shared" si="16"/>
        <v>2468029.1999999997</v>
      </c>
      <c r="N290" s="612">
        <v>403748.6</v>
      </c>
      <c r="O290" s="612">
        <v>3463.5</v>
      </c>
      <c r="P290" s="612">
        <v>36961.1</v>
      </c>
      <c r="Q290" s="612"/>
      <c r="R290" s="612">
        <v>31280.15</v>
      </c>
      <c r="S290" s="610">
        <v>50339.25</v>
      </c>
      <c r="T290" s="543">
        <f t="shared" si="17"/>
        <v>2993821.8</v>
      </c>
      <c r="U290" s="575">
        <v>-18199.62</v>
      </c>
      <c r="V290" s="612"/>
      <c r="W290" s="612">
        <v>-254.07</v>
      </c>
      <c r="X290" s="624">
        <v>64.5</v>
      </c>
      <c r="Y290" s="631">
        <v>0.8</v>
      </c>
      <c r="Z290" s="628">
        <f>VLOOKUP(A290,'[2]2022 toutes communes'!$B$9:$D$317,3,FALSE)</f>
        <v>770</v>
      </c>
      <c r="AA290" s="617"/>
      <c r="AB290" s="618">
        <v>38555</v>
      </c>
      <c r="AC290" s="547">
        <f>AB290/VPI!R290</f>
        <v>0.96871867881403118</v>
      </c>
      <c r="AD290" s="548">
        <f t="shared" si="18"/>
        <v>77873</v>
      </c>
      <c r="AE290" s="547">
        <f>AD290/VPI!R290</f>
        <v>1.9566082135983673</v>
      </c>
      <c r="AF290" s="618">
        <v>116428</v>
      </c>
      <c r="AG290" s="618">
        <v>303778</v>
      </c>
      <c r="AH290" s="618">
        <v>112511</v>
      </c>
      <c r="AI290" s="637"/>
      <c r="AJ290" s="628">
        <v>0</v>
      </c>
      <c r="AK290" s="547">
        <f>AJ290/VPI!R290</f>
        <v>0</v>
      </c>
      <c r="AL290" s="548">
        <f t="shared" si="20"/>
        <v>2492</v>
      </c>
      <c r="AM290" s="547">
        <f>AL290/VPI!R290</f>
        <v>6.261307087549127E-2</v>
      </c>
      <c r="AN290" s="628">
        <v>2492</v>
      </c>
      <c r="AO290" s="637"/>
      <c r="AP290" s="629">
        <v>29.098328756621406</v>
      </c>
      <c r="AR290" s="630">
        <v>0</v>
      </c>
    </row>
    <row r="291" spans="1:1476" x14ac:dyDescent="0.25">
      <c r="A291" s="608">
        <v>5923</v>
      </c>
      <c r="B291" s="609" t="s">
        <v>235</v>
      </c>
      <c r="C291" s="610">
        <v>240852.12</v>
      </c>
      <c r="D291" s="610">
        <v>39684.65</v>
      </c>
      <c r="E291" s="610"/>
      <c r="F291" s="611"/>
      <c r="G291" s="610">
        <v>22460.05</v>
      </c>
      <c r="H291" s="610">
        <v>-218.9</v>
      </c>
      <c r="I291" s="610"/>
      <c r="J291" s="610">
        <v>31244.639999999999</v>
      </c>
      <c r="K291" s="610"/>
      <c r="L291" s="610">
        <v>27354</v>
      </c>
      <c r="M291" s="434">
        <f t="shared" si="16"/>
        <v>361376.56</v>
      </c>
      <c r="N291" s="612">
        <v>40011.199999999997</v>
      </c>
      <c r="O291" s="612">
        <v>1527.6</v>
      </c>
      <c r="P291" s="612"/>
      <c r="Q291" s="612">
        <v>3625.14</v>
      </c>
      <c r="R291" s="612"/>
      <c r="S291" s="610">
        <v>2324.31</v>
      </c>
      <c r="T291" s="543">
        <f t="shared" si="17"/>
        <v>408864.81</v>
      </c>
      <c r="U291" s="575">
        <v>-6113.84</v>
      </c>
      <c r="V291" s="612"/>
      <c r="W291" s="612">
        <v>0</v>
      </c>
      <c r="X291" s="624">
        <v>81</v>
      </c>
      <c r="Y291" s="631">
        <v>1</v>
      </c>
      <c r="Z291" s="628">
        <f>VLOOKUP(A291,'[2]2022 toutes communes'!$B$9:$D$317,3,FALSE)</f>
        <v>202</v>
      </c>
      <c r="AA291" s="617"/>
      <c r="AB291" s="618">
        <v>4200</v>
      </c>
      <c r="AC291" s="547">
        <f>AB291/VPI!R291</f>
        <v>0.94182873185031368</v>
      </c>
      <c r="AD291" s="548">
        <f t="shared" si="18"/>
        <v>33867</v>
      </c>
      <c r="AE291" s="547">
        <f>AD291/VPI!R291</f>
        <v>7.5945032527558514</v>
      </c>
      <c r="AF291" s="618">
        <v>38067</v>
      </c>
      <c r="AG291" s="618">
        <v>9606</v>
      </c>
      <c r="AH291" s="618">
        <v>17700</v>
      </c>
      <c r="AI291" s="637"/>
      <c r="AJ291" s="628">
        <v>0</v>
      </c>
      <c r="AK291" s="547">
        <f>AJ291/VPI!R291</f>
        <v>0</v>
      </c>
      <c r="AL291" s="548">
        <f t="shared" si="20"/>
        <v>28692</v>
      </c>
      <c r="AM291" s="547">
        <f>AL291/VPI!R291</f>
        <v>6.434035708154572</v>
      </c>
      <c r="AN291" s="628">
        <v>28692</v>
      </c>
      <c r="AO291" s="637"/>
      <c r="AP291" s="629">
        <v>2.1094364201705265</v>
      </c>
      <c r="AR291" s="630">
        <v>0</v>
      </c>
    </row>
    <row r="292" spans="1:1476" x14ac:dyDescent="0.25">
      <c r="A292" s="608">
        <v>5924</v>
      </c>
      <c r="B292" s="609" t="s">
        <v>236</v>
      </c>
      <c r="C292" s="610">
        <v>683629.63</v>
      </c>
      <c r="D292" s="610">
        <v>78938.259999999995</v>
      </c>
      <c r="E292" s="610"/>
      <c r="F292" s="611"/>
      <c r="G292" s="610">
        <v>11651.25</v>
      </c>
      <c r="H292" s="610">
        <v>689.2</v>
      </c>
      <c r="I292" s="610"/>
      <c r="J292" s="610">
        <v>22949.55</v>
      </c>
      <c r="K292" s="610"/>
      <c r="L292" s="610">
        <v>61757.15</v>
      </c>
      <c r="M292" s="434">
        <f t="shared" si="16"/>
        <v>859615.04</v>
      </c>
      <c r="N292" s="612">
        <v>20322.2</v>
      </c>
      <c r="O292" s="612"/>
      <c r="P292" s="612">
        <v>26337.05</v>
      </c>
      <c r="Q292" s="612">
        <v>1748.47</v>
      </c>
      <c r="R292" s="612">
        <v>22442.5</v>
      </c>
      <c r="S292" s="610">
        <v>1289.6400000000001</v>
      </c>
      <c r="T292" s="543">
        <f t="shared" si="17"/>
        <v>931754.9</v>
      </c>
      <c r="U292" s="575">
        <v>-1325.8</v>
      </c>
      <c r="V292" s="612"/>
      <c r="W292" s="612">
        <v>-145.54</v>
      </c>
      <c r="X292" s="624">
        <v>74</v>
      </c>
      <c r="Y292" s="631">
        <v>1</v>
      </c>
      <c r="Z292" s="628">
        <f>VLOOKUP(A292,'[2]2022 toutes communes'!$B$9:$D$317,3,FALSE)</f>
        <v>407</v>
      </c>
      <c r="AA292" s="617"/>
      <c r="AB292" s="618">
        <v>2467</v>
      </c>
      <c r="AC292" s="547">
        <f>AB292/VPI!R292</f>
        <v>0.21198543429522743</v>
      </c>
      <c r="AD292" s="548">
        <f t="shared" si="18"/>
        <v>57483</v>
      </c>
      <c r="AE292" s="547">
        <f>AD292/VPI!R292</f>
        <v>4.9394238830938626</v>
      </c>
      <c r="AF292" s="618">
        <v>59950</v>
      </c>
      <c r="AG292" s="618">
        <v>17539</v>
      </c>
      <c r="AH292" s="618">
        <v>60348</v>
      </c>
      <c r="AI292" s="637"/>
      <c r="AJ292" s="628">
        <v>0</v>
      </c>
      <c r="AK292" s="547">
        <f>AJ292/VPI!R292</f>
        <v>0</v>
      </c>
      <c r="AL292" s="548">
        <f t="shared" si="20"/>
        <v>7458</v>
      </c>
      <c r="AM292" s="547">
        <f>AL292/VPI!R292</f>
        <v>0.64085422333757847</v>
      </c>
      <c r="AN292" s="628">
        <v>7458</v>
      </c>
      <c r="AO292" s="637"/>
      <c r="AP292" s="629">
        <v>19.604113810476523</v>
      </c>
      <c r="AR292" s="630">
        <v>0</v>
      </c>
    </row>
    <row r="293" spans="1:1476" s="632" customFormat="1" x14ac:dyDescent="0.25">
      <c r="A293" s="608">
        <v>5925</v>
      </c>
      <c r="B293" s="609" t="s">
        <v>327</v>
      </c>
      <c r="C293" s="610">
        <v>310921.34999999998</v>
      </c>
      <c r="D293" s="610">
        <v>61925.62</v>
      </c>
      <c r="E293" s="610"/>
      <c r="F293" s="611">
        <v>1210</v>
      </c>
      <c r="G293" s="610">
        <v>2423</v>
      </c>
      <c r="H293" s="610">
        <v>450.25</v>
      </c>
      <c r="I293" s="610"/>
      <c r="J293" s="610">
        <v>11747.07</v>
      </c>
      <c r="K293" s="610"/>
      <c r="L293" s="610">
        <v>34493.699999999997</v>
      </c>
      <c r="M293" s="434">
        <f t="shared" si="16"/>
        <v>423170.99</v>
      </c>
      <c r="N293" s="612">
        <v>288.45</v>
      </c>
      <c r="O293" s="612">
        <v>13581.5</v>
      </c>
      <c r="P293" s="612">
        <v>4660.1499999999996</v>
      </c>
      <c r="Q293" s="612">
        <v>2220.4899999999998</v>
      </c>
      <c r="R293" s="612">
        <v>20445.099999999999</v>
      </c>
      <c r="S293" s="610">
        <v>300.27</v>
      </c>
      <c r="T293" s="543">
        <f t="shared" si="17"/>
        <v>464666.95</v>
      </c>
      <c r="U293" s="575">
        <v>-10323.950000000001</v>
      </c>
      <c r="V293" s="612"/>
      <c r="W293" s="612">
        <v>-164.65</v>
      </c>
      <c r="X293" s="624">
        <v>79</v>
      </c>
      <c r="Y293" s="631">
        <v>1</v>
      </c>
      <c r="Z293" s="628">
        <f>VLOOKUP(A293,'[2]2022 toutes communes'!$B$9:$D$317,3,FALSE)</f>
        <v>212</v>
      </c>
      <c r="AA293" s="617"/>
      <c r="AB293" s="618">
        <v>3827</v>
      </c>
      <c r="AC293" s="547">
        <f>AB293/VPI!R293</f>
        <v>0.72815680709551467</v>
      </c>
      <c r="AD293" s="548">
        <f t="shared" si="18"/>
        <v>74615</v>
      </c>
      <c r="AE293" s="547">
        <f>AD293/VPI!R293</f>
        <v>14.196869652843434</v>
      </c>
      <c r="AF293" s="618">
        <v>78442</v>
      </c>
      <c r="AG293" s="618">
        <v>9653</v>
      </c>
      <c r="AH293" s="618">
        <v>17788</v>
      </c>
      <c r="AI293" s="637"/>
      <c r="AJ293" s="628">
        <v>0</v>
      </c>
      <c r="AK293" s="547">
        <f>AJ293/VPI!R293</f>
        <v>0</v>
      </c>
      <c r="AL293" s="548">
        <f t="shared" si="20"/>
        <v>10619</v>
      </c>
      <c r="AM293" s="547">
        <f>AL293/VPI!R293</f>
        <v>2.0204591415069948</v>
      </c>
      <c r="AN293" s="628">
        <v>10619</v>
      </c>
      <c r="AO293" s="637"/>
      <c r="AP293" s="629">
        <v>4.379456119725619</v>
      </c>
      <c r="AQ293" s="575"/>
      <c r="AR293" s="630">
        <v>0</v>
      </c>
      <c r="AS293" s="575"/>
      <c r="AT293" s="575"/>
      <c r="AU293" s="575"/>
      <c r="AV293" s="575"/>
      <c r="AW293" s="575"/>
      <c r="AX293" s="575"/>
      <c r="AY293" s="575"/>
      <c r="AZ293" s="575"/>
      <c r="BA293" s="575"/>
      <c r="BB293" s="575"/>
      <c r="BC293" s="575"/>
      <c r="BD293" s="575"/>
      <c r="BE293" s="575"/>
      <c r="BF293" s="575"/>
      <c r="BG293" s="575"/>
      <c r="BH293" s="575"/>
      <c r="BI293" s="575"/>
      <c r="BJ293" s="575"/>
      <c r="BK293" s="575"/>
      <c r="BL293" s="575"/>
      <c r="BM293" s="575"/>
      <c r="BN293" s="575"/>
      <c r="BO293" s="575"/>
      <c r="BP293" s="575"/>
      <c r="BQ293" s="575"/>
      <c r="BR293" s="575"/>
      <c r="BS293" s="575"/>
      <c r="BT293" s="575"/>
      <c r="BU293" s="575"/>
      <c r="BV293" s="575"/>
      <c r="BW293" s="575"/>
      <c r="BX293" s="575"/>
      <c r="BY293" s="575"/>
      <c r="BZ293" s="575"/>
      <c r="CA293" s="575"/>
      <c r="CB293" s="575"/>
      <c r="CC293" s="575"/>
      <c r="CD293" s="575"/>
      <c r="CE293" s="575"/>
      <c r="CF293" s="575"/>
      <c r="CG293" s="575"/>
      <c r="CH293" s="575"/>
      <c r="CI293" s="575"/>
      <c r="CJ293" s="575"/>
      <c r="CK293" s="575"/>
      <c r="CL293" s="575"/>
      <c r="CM293" s="575"/>
      <c r="CN293" s="575"/>
      <c r="CO293" s="575"/>
      <c r="CP293" s="575"/>
      <c r="CQ293" s="575"/>
      <c r="CR293" s="575"/>
      <c r="CS293" s="575"/>
      <c r="CT293" s="575"/>
      <c r="CU293" s="575"/>
      <c r="CV293" s="575"/>
      <c r="CW293" s="575"/>
      <c r="CX293" s="575"/>
      <c r="CY293" s="575"/>
      <c r="CZ293" s="575"/>
      <c r="DA293" s="575"/>
      <c r="DB293" s="575"/>
      <c r="DC293" s="575"/>
      <c r="DD293" s="575"/>
      <c r="DE293" s="575"/>
      <c r="DF293" s="575"/>
      <c r="DG293" s="575"/>
      <c r="DH293" s="575"/>
      <c r="DI293" s="575"/>
      <c r="DJ293" s="575"/>
      <c r="DK293" s="575"/>
      <c r="DL293" s="575"/>
      <c r="DM293" s="575"/>
      <c r="DN293" s="575"/>
      <c r="DO293" s="575"/>
      <c r="DP293" s="575"/>
      <c r="DQ293" s="575"/>
      <c r="DR293" s="575"/>
      <c r="DS293" s="575"/>
      <c r="DT293" s="575"/>
      <c r="DU293" s="575"/>
      <c r="DV293" s="575"/>
      <c r="DW293" s="575"/>
      <c r="DX293" s="575"/>
      <c r="DY293" s="575"/>
      <c r="DZ293" s="575"/>
      <c r="EA293" s="575"/>
      <c r="EB293" s="575"/>
      <c r="EC293" s="575"/>
      <c r="ED293" s="575"/>
      <c r="EE293" s="575"/>
      <c r="EF293" s="575"/>
      <c r="EG293" s="575"/>
      <c r="EH293" s="575"/>
      <c r="EI293" s="575"/>
      <c r="EJ293" s="575"/>
      <c r="EK293" s="575"/>
      <c r="EL293" s="575"/>
      <c r="EM293" s="575"/>
      <c r="EN293" s="575"/>
      <c r="EO293" s="575"/>
      <c r="EP293" s="575"/>
      <c r="EQ293" s="575"/>
      <c r="ER293" s="575"/>
      <c r="ES293" s="575"/>
      <c r="ET293" s="575"/>
      <c r="EU293" s="575"/>
      <c r="EV293" s="575"/>
      <c r="EW293" s="575"/>
      <c r="EX293" s="575"/>
      <c r="EY293" s="575"/>
      <c r="EZ293" s="575"/>
      <c r="FA293" s="575"/>
      <c r="FB293" s="575"/>
      <c r="FC293" s="575"/>
      <c r="FD293" s="575"/>
      <c r="FE293" s="575"/>
      <c r="FF293" s="575"/>
      <c r="FG293" s="575"/>
      <c r="FH293" s="575"/>
      <c r="FI293" s="575"/>
      <c r="FJ293" s="575"/>
      <c r="FK293" s="575"/>
      <c r="FL293" s="575"/>
      <c r="FM293" s="575"/>
      <c r="FN293" s="575"/>
      <c r="FO293" s="575"/>
      <c r="FP293" s="575"/>
      <c r="FQ293" s="575"/>
      <c r="FR293" s="575"/>
      <c r="FS293" s="575"/>
      <c r="FT293" s="575"/>
      <c r="FU293" s="575"/>
      <c r="FV293" s="575"/>
      <c r="FW293" s="575"/>
      <c r="FX293" s="575"/>
      <c r="FY293" s="575"/>
      <c r="FZ293" s="575"/>
      <c r="GA293" s="575"/>
      <c r="GB293" s="575"/>
      <c r="GC293" s="575"/>
      <c r="GD293" s="575"/>
      <c r="GE293" s="575"/>
      <c r="GF293" s="575"/>
      <c r="GG293" s="575"/>
      <c r="GH293" s="575"/>
      <c r="GI293" s="575"/>
      <c r="GJ293" s="575"/>
      <c r="GK293" s="575"/>
      <c r="GL293" s="575"/>
      <c r="GM293" s="575"/>
      <c r="GN293" s="575"/>
      <c r="GO293" s="575"/>
      <c r="GP293" s="575"/>
      <c r="GQ293" s="575"/>
      <c r="GR293" s="575"/>
      <c r="GS293" s="575"/>
      <c r="GT293" s="575"/>
      <c r="GU293" s="575"/>
      <c r="GV293" s="575"/>
      <c r="GW293" s="575"/>
      <c r="GX293" s="575"/>
      <c r="GY293" s="575"/>
      <c r="GZ293" s="575"/>
      <c r="HA293" s="575"/>
      <c r="HB293" s="575"/>
      <c r="HC293" s="575"/>
      <c r="HD293" s="575"/>
      <c r="HE293" s="575"/>
      <c r="HF293" s="575"/>
      <c r="HG293" s="575"/>
      <c r="HH293" s="575"/>
      <c r="HI293" s="575"/>
      <c r="HJ293" s="575"/>
      <c r="HK293" s="575"/>
      <c r="HL293" s="575"/>
      <c r="HM293" s="575"/>
      <c r="HN293" s="575"/>
      <c r="HO293" s="575"/>
      <c r="HP293" s="575"/>
      <c r="HQ293" s="575"/>
      <c r="HR293" s="575"/>
      <c r="HS293" s="575"/>
      <c r="HT293" s="575"/>
      <c r="HU293" s="575"/>
      <c r="HV293" s="575"/>
      <c r="HW293" s="575"/>
      <c r="HX293" s="575"/>
      <c r="HY293" s="575"/>
      <c r="HZ293" s="575"/>
      <c r="IA293" s="575"/>
      <c r="IB293" s="575"/>
      <c r="IC293" s="575"/>
      <c r="ID293" s="575"/>
      <c r="IE293" s="575"/>
      <c r="IF293" s="575"/>
      <c r="IG293" s="575"/>
      <c r="IH293" s="575"/>
      <c r="II293" s="575"/>
      <c r="IJ293" s="575"/>
      <c r="IK293" s="575"/>
      <c r="IL293" s="575"/>
      <c r="IM293" s="575"/>
      <c r="IN293" s="575"/>
      <c r="IO293" s="575"/>
      <c r="IP293" s="575"/>
      <c r="IQ293" s="575"/>
      <c r="IR293" s="575"/>
      <c r="IS293" s="575"/>
      <c r="IT293" s="575"/>
      <c r="IU293" s="575"/>
      <c r="IV293" s="575"/>
      <c r="IW293" s="575"/>
      <c r="IX293" s="575"/>
      <c r="IY293" s="575"/>
      <c r="IZ293" s="575"/>
      <c r="JA293" s="575"/>
      <c r="JB293" s="575"/>
      <c r="JC293" s="575"/>
      <c r="JD293" s="575"/>
      <c r="JE293" s="575"/>
      <c r="JF293" s="575"/>
      <c r="JG293" s="575"/>
      <c r="JH293" s="575"/>
      <c r="JI293" s="575"/>
      <c r="JJ293" s="575"/>
      <c r="JK293" s="575"/>
      <c r="JL293" s="575"/>
      <c r="JM293" s="575"/>
      <c r="JN293" s="575"/>
      <c r="JO293" s="575"/>
      <c r="JP293" s="575"/>
      <c r="JQ293" s="575"/>
      <c r="JR293" s="575"/>
      <c r="JS293" s="575"/>
      <c r="JT293" s="575"/>
      <c r="JU293" s="575"/>
      <c r="JV293" s="575"/>
      <c r="JW293" s="575"/>
      <c r="JX293" s="575"/>
      <c r="JY293" s="575"/>
      <c r="JZ293" s="575"/>
      <c r="KA293" s="575"/>
      <c r="KB293" s="575"/>
      <c r="KC293" s="575"/>
      <c r="KD293" s="575"/>
      <c r="KE293" s="575"/>
      <c r="KF293" s="575"/>
      <c r="KG293" s="575"/>
      <c r="KH293" s="575"/>
      <c r="KI293" s="575"/>
      <c r="KJ293" s="575"/>
      <c r="KK293" s="575"/>
      <c r="KL293" s="575"/>
      <c r="KM293" s="575"/>
      <c r="KN293" s="575"/>
      <c r="KO293" s="575"/>
      <c r="KP293" s="575"/>
      <c r="KQ293" s="575"/>
      <c r="KR293" s="575"/>
      <c r="KS293" s="575"/>
      <c r="KT293" s="575"/>
      <c r="KU293" s="575"/>
      <c r="KV293" s="575"/>
      <c r="KW293" s="575"/>
      <c r="KX293" s="575"/>
      <c r="KY293" s="575"/>
      <c r="KZ293" s="575"/>
      <c r="LA293" s="575"/>
      <c r="LB293" s="575"/>
      <c r="LC293" s="575"/>
      <c r="LD293" s="575"/>
      <c r="LE293" s="575"/>
      <c r="LF293" s="575"/>
      <c r="LG293" s="575"/>
      <c r="LH293" s="575"/>
      <c r="LI293" s="575"/>
      <c r="LJ293" s="575"/>
      <c r="LK293" s="575"/>
      <c r="LL293" s="575"/>
      <c r="LM293" s="575"/>
      <c r="LN293" s="575"/>
      <c r="LO293" s="575"/>
      <c r="LP293" s="575"/>
      <c r="LQ293" s="575"/>
      <c r="LR293" s="575"/>
      <c r="LS293" s="575"/>
      <c r="LT293" s="575"/>
      <c r="LU293" s="575"/>
      <c r="LV293" s="575"/>
      <c r="LW293" s="575"/>
      <c r="LX293" s="575"/>
      <c r="LY293" s="575"/>
      <c r="LZ293" s="575"/>
      <c r="MA293" s="575"/>
      <c r="MB293" s="575"/>
      <c r="MC293" s="575"/>
      <c r="MD293" s="575"/>
      <c r="ME293" s="575"/>
      <c r="MF293" s="575"/>
      <c r="MG293" s="575"/>
      <c r="MH293" s="575"/>
      <c r="MI293" s="575"/>
      <c r="MJ293" s="575"/>
      <c r="MK293" s="575"/>
      <c r="ML293" s="575"/>
      <c r="MM293" s="575"/>
      <c r="MN293" s="575"/>
      <c r="MO293" s="575"/>
      <c r="MP293" s="575"/>
      <c r="MQ293" s="575"/>
      <c r="MR293" s="575"/>
      <c r="MS293" s="575"/>
      <c r="MT293" s="575"/>
      <c r="MU293" s="575"/>
      <c r="MV293" s="575"/>
      <c r="MW293" s="575"/>
      <c r="MX293" s="575"/>
      <c r="MY293" s="575"/>
      <c r="MZ293" s="575"/>
      <c r="NA293" s="575"/>
      <c r="NB293" s="575"/>
      <c r="NC293" s="575"/>
      <c r="ND293" s="575"/>
      <c r="NE293" s="575"/>
      <c r="NF293" s="575"/>
      <c r="NG293" s="575"/>
      <c r="NH293" s="575"/>
      <c r="NI293" s="575"/>
      <c r="NJ293" s="575"/>
      <c r="NK293" s="575"/>
      <c r="NL293" s="575"/>
      <c r="NM293" s="575"/>
      <c r="NN293" s="575"/>
      <c r="NO293" s="575"/>
      <c r="NP293" s="575"/>
      <c r="NQ293" s="575"/>
      <c r="NR293" s="575"/>
      <c r="NS293" s="575"/>
      <c r="NT293" s="575"/>
      <c r="NU293" s="575"/>
      <c r="NV293" s="575"/>
      <c r="NW293" s="575"/>
      <c r="NX293" s="575"/>
      <c r="NY293" s="575"/>
      <c r="NZ293" s="575"/>
      <c r="OA293" s="575"/>
      <c r="OB293" s="575"/>
      <c r="OC293" s="575"/>
      <c r="OD293" s="575"/>
      <c r="OE293" s="575"/>
      <c r="OF293" s="575"/>
      <c r="OG293" s="575"/>
      <c r="OH293" s="575"/>
      <c r="OI293" s="575"/>
      <c r="OJ293" s="575"/>
      <c r="OK293" s="575"/>
      <c r="OL293" s="575"/>
      <c r="OM293" s="575"/>
      <c r="ON293" s="575"/>
      <c r="OO293" s="575"/>
      <c r="OP293" s="575"/>
      <c r="OQ293" s="575"/>
      <c r="OR293" s="575"/>
      <c r="OS293" s="575"/>
      <c r="OT293" s="575"/>
      <c r="OU293" s="575"/>
      <c r="OV293" s="575"/>
      <c r="OW293" s="575"/>
      <c r="OX293" s="575"/>
      <c r="OY293" s="575"/>
      <c r="OZ293" s="575"/>
      <c r="PA293" s="575"/>
      <c r="PB293" s="575"/>
      <c r="PC293" s="575"/>
      <c r="PD293" s="575"/>
      <c r="PE293" s="575"/>
      <c r="PF293" s="575"/>
      <c r="PG293" s="575"/>
      <c r="PH293" s="575"/>
      <c r="PI293" s="575"/>
      <c r="PJ293" s="575"/>
      <c r="PK293" s="575"/>
      <c r="PL293" s="575"/>
      <c r="PM293" s="575"/>
      <c r="PN293" s="575"/>
      <c r="PO293" s="575"/>
      <c r="PP293" s="575"/>
      <c r="PQ293" s="575"/>
      <c r="PR293" s="575"/>
      <c r="PS293" s="575"/>
      <c r="PT293" s="575"/>
      <c r="PU293" s="575"/>
      <c r="PV293" s="575"/>
      <c r="PW293" s="575"/>
      <c r="PX293" s="575"/>
      <c r="PY293" s="575"/>
      <c r="PZ293" s="575"/>
      <c r="QA293" s="575"/>
      <c r="QB293" s="575"/>
      <c r="QC293" s="575"/>
      <c r="QD293" s="575"/>
      <c r="QE293" s="575"/>
      <c r="QF293" s="575"/>
      <c r="QG293" s="575"/>
      <c r="QH293" s="575"/>
      <c r="QI293" s="575"/>
      <c r="QJ293" s="575"/>
      <c r="QK293" s="575"/>
      <c r="QL293" s="575"/>
      <c r="QM293" s="575"/>
      <c r="QN293" s="575"/>
      <c r="QO293" s="575"/>
      <c r="QP293" s="575"/>
      <c r="QQ293" s="575"/>
      <c r="QR293" s="575"/>
      <c r="QS293" s="575"/>
      <c r="QT293" s="575"/>
      <c r="QU293" s="575"/>
      <c r="QV293" s="575"/>
      <c r="QW293" s="575"/>
      <c r="QX293" s="575"/>
      <c r="QY293" s="575"/>
      <c r="QZ293" s="575"/>
      <c r="RA293" s="575"/>
      <c r="RB293" s="575"/>
      <c r="RC293" s="575"/>
      <c r="RD293" s="575"/>
      <c r="RE293" s="575"/>
      <c r="RF293" s="575"/>
      <c r="RG293" s="575"/>
      <c r="RH293" s="575"/>
      <c r="RI293" s="575"/>
      <c r="RJ293" s="575"/>
      <c r="RK293" s="575"/>
      <c r="RL293" s="575"/>
      <c r="RM293" s="575"/>
      <c r="RN293" s="575"/>
      <c r="RO293" s="575"/>
      <c r="RP293" s="575"/>
      <c r="RQ293" s="575"/>
      <c r="RR293" s="575"/>
      <c r="RS293" s="575"/>
      <c r="RT293" s="575"/>
      <c r="RU293" s="575"/>
      <c r="RV293" s="575"/>
      <c r="RW293" s="575"/>
      <c r="RX293" s="575"/>
      <c r="RY293" s="575"/>
      <c r="RZ293" s="575"/>
      <c r="SA293" s="575"/>
      <c r="SB293" s="575"/>
      <c r="SC293" s="575"/>
      <c r="SD293" s="575"/>
      <c r="SE293" s="575"/>
      <c r="SF293" s="575"/>
      <c r="SG293" s="575"/>
      <c r="SH293" s="575"/>
      <c r="SI293" s="575"/>
      <c r="SJ293" s="575"/>
      <c r="SK293" s="575"/>
      <c r="SL293" s="575"/>
      <c r="SM293" s="575"/>
      <c r="SN293" s="575"/>
      <c r="SO293" s="575"/>
      <c r="SP293" s="575"/>
      <c r="SQ293" s="575"/>
      <c r="SR293" s="575"/>
      <c r="SS293" s="575"/>
      <c r="ST293" s="575"/>
      <c r="SU293" s="575"/>
      <c r="SV293" s="575"/>
      <c r="SW293" s="575"/>
      <c r="SX293" s="575"/>
      <c r="SY293" s="575"/>
      <c r="SZ293" s="575"/>
      <c r="TA293" s="575"/>
      <c r="TB293" s="575"/>
      <c r="TC293" s="575"/>
      <c r="TD293" s="575"/>
      <c r="TE293" s="575"/>
      <c r="TF293" s="575"/>
      <c r="TG293" s="575"/>
      <c r="TH293" s="575"/>
      <c r="TI293" s="575"/>
      <c r="TJ293" s="575"/>
      <c r="TK293" s="575"/>
      <c r="TL293" s="575"/>
      <c r="TM293" s="575"/>
      <c r="TN293" s="575"/>
      <c r="TO293" s="575"/>
      <c r="TP293" s="575"/>
      <c r="TQ293" s="575"/>
      <c r="TR293" s="575"/>
      <c r="TS293" s="575"/>
      <c r="TT293" s="575"/>
      <c r="TU293" s="575"/>
      <c r="TV293" s="575"/>
      <c r="TW293" s="575"/>
      <c r="TX293" s="575"/>
      <c r="TY293" s="575"/>
      <c r="TZ293" s="575"/>
      <c r="UA293" s="575"/>
      <c r="UB293" s="575"/>
      <c r="UC293" s="575"/>
      <c r="UD293" s="575"/>
      <c r="UE293" s="575"/>
      <c r="UF293" s="575"/>
      <c r="UG293" s="575"/>
      <c r="UH293" s="575"/>
      <c r="UI293" s="575"/>
      <c r="UJ293" s="575"/>
      <c r="UK293" s="575"/>
      <c r="UL293" s="575"/>
      <c r="UM293" s="575"/>
      <c r="UN293" s="575"/>
      <c r="UO293" s="575"/>
      <c r="UP293" s="575"/>
      <c r="UQ293" s="575"/>
      <c r="UR293" s="575"/>
      <c r="US293" s="575"/>
      <c r="UT293" s="575"/>
      <c r="UU293" s="575"/>
      <c r="UV293" s="575"/>
      <c r="UW293" s="575"/>
      <c r="UX293" s="575"/>
      <c r="UY293" s="575"/>
      <c r="UZ293" s="575"/>
      <c r="VA293" s="575"/>
      <c r="VB293" s="575"/>
      <c r="VC293" s="575"/>
      <c r="VD293" s="575"/>
      <c r="VE293" s="575"/>
      <c r="VF293" s="575"/>
      <c r="VG293" s="575"/>
      <c r="VH293" s="575"/>
      <c r="VI293" s="575"/>
      <c r="VJ293" s="575"/>
      <c r="VK293" s="575"/>
      <c r="VL293" s="575"/>
      <c r="VM293" s="575"/>
      <c r="VN293" s="575"/>
      <c r="VO293" s="575"/>
      <c r="VP293" s="575"/>
      <c r="VQ293" s="575"/>
      <c r="VR293" s="575"/>
      <c r="VS293" s="575"/>
      <c r="VT293" s="575"/>
      <c r="VU293" s="575"/>
      <c r="VV293" s="575"/>
      <c r="VW293" s="575"/>
      <c r="VX293" s="575"/>
      <c r="VY293" s="575"/>
      <c r="VZ293" s="575"/>
      <c r="WA293" s="575"/>
      <c r="WB293" s="575"/>
      <c r="WC293" s="575"/>
      <c r="WD293" s="575"/>
      <c r="WE293" s="575"/>
      <c r="WF293" s="575"/>
      <c r="WG293" s="575"/>
      <c r="WH293" s="575"/>
      <c r="WI293" s="575"/>
      <c r="WJ293" s="575"/>
      <c r="WK293" s="575"/>
      <c r="WL293" s="575"/>
      <c r="WM293" s="575"/>
      <c r="WN293" s="575"/>
      <c r="WO293" s="575"/>
      <c r="WP293" s="575"/>
      <c r="WQ293" s="575"/>
      <c r="WR293" s="575"/>
      <c r="WS293" s="575"/>
      <c r="WT293" s="575"/>
      <c r="WU293" s="575"/>
      <c r="WV293" s="575"/>
      <c r="WW293" s="575"/>
      <c r="WX293" s="575"/>
      <c r="WY293" s="575"/>
      <c r="WZ293" s="575"/>
      <c r="XA293" s="575"/>
      <c r="XB293" s="575"/>
      <c r="XC293" s="575"/>
      <c r="XD293" s="575"/>
      <c r="XE293" s="575"/>
      <c r="XF293" s="575"/>
      <c r="XG293" s="575"/>
      <c r="XH293" s="575"/>
      <c r="XI293" s="575"/>
      <c r="XJ293" s="575"/>
      <c r="XK293" s="575"/>
      <c r="XL293" s="575"/>
      <c r="XM293" s="575"/>
      <c r="XN293" s="575"/>
      <c r="XO293" s="575"/>
      <c r="XP293" s="575"/>
      <c r="XQ293" s="575"/>
      <c r="XR293" s="575"/>
      <c r="XS293" s="575"/>
      <c r="XT293" s="575"/>
      <c r="XU293" s="575"/>
      <c r="XV293" s="575"/>
      <c r="XW293" s="575"/>
      <c r="XX293" s="575"/>
      <c r="XY293" s="575"/>
      <c r="XZ293" s="575"/>
      <c r="YA293" s="575"/>
      <c r="YB293" s="575"/>
      <c r="YC293" s="575"/>
      <c r="YD293" s="575"/>
      <c r="YE293" s="575"/>
      <c r="YF293" s="575"/>
      <c r="YG293" s="575"/>
      <c r="YH293" s="575"/>
      <c r="YI293" s="575"/>
      <c r="YJ293" s="575"/>
      <c r="YK293" s="575"/>
      <c r="YL293" s="575"/>
      <c r="YM293" s="575"/>
      <c r="YN293" s="575"/>
      <c r="YO293" s="575"/>
      <c r="YP293" s="575"/>
      <c r="YQ293" s="575"/>
      <c r="YR293" s="575"/>
      <c r="YS293" s="575"/>
      <c r="YT293" s="575"/>
      <c r="YU293" s="575"/>
      <c r="YV293" s="575"/>
      <c r="YW293" s="575"/>
      <c r="YX293" s="575"/>
      <c r="YY293" s="575"/>
      <c r="YZ293" s="575"/>
      <c r="ZA293" s="575"/>
      <c r="ZB293" s="575"/>
      <c r="ZC293" s="575"/>
      <c r="ZD293" s="575"/>
      <c r="ZE293" s="575"/>
      <c r="ZF293" s="575"/>
      <c r="ZG293" s="575"/>
      <c r="ZH293" s="575"/>
      <c r="ZI293" s="575"/>
      <c r="ZJ293" s="575"/>
      <c r="ZK293" s="575"/>
      <c r="ZL293" s="575"/>
      <c r="ZM293" s="575"/>
      <c r="ZN293" s="575"/>
      <c r="ZO293" s="575"/>
      <c r="ZP293" s="575"/>
      <c r="ZQ293" s="575"/>
      <c r="ZR293" s="575"/>
      <c r="ZS293" s="575"/>
      <c r="ZT293" s="575"/>
      <c r="ZU293" s="575"/>
      <c r="ZV293" s="575"/>
      <c r="ZW293" s="575"/>
      <c r="ZX293" s="575"/>
      <c r="ZY293" s="575"/>
      <c r="ZZ293" s="575"/>
      <c r="AAA293" s="575"/>
      <c r="AAB293" s="575"/>
      <c r="AAC293" s="575"/>
      <c r="AAD293" s="575"/>
      <c r="AAE293" s="575"/>
      <c r="AAF293" s="575"/>
      <c r="AAG293" s="575"/>
      <c r="AAH293" s="575"/>
      <c r="AAI293" s="575"/>
      <c r="AAJ293" s="575"/>
      <c r="AAK293" s="575"/>
      <c r="AAL293" s="575"/>
      <c r="AAM293" s="575"/>
      <c r="AAN293" s="575"/>
      <c r="AAO293" s="575"/>
      <c r="AAP293" s="575"/>
      <c r="AAQ293" s="575"/>
      <c r="AAR293" s="575"/>
      <c r="AAS293" s="575"/>
      <c r="AAT293" s="575"/>
      <c r="AAU293" s="575"/>
      <c r="AAV293" s="575"/>
      <c r="AAW293" s="575"/>
      <c r="AAX293" s="575"/>
      <c r="AAY293" s="575"/>
      <c r="AAZ293" s="575"/>
      <c r="ABA293" s="575"/>
      <c r="ABB293" s="575"/>
      <c r="ABC293" s="575"/>
      <c r="ABD293" s="575"/>
      <c r="ABE293" s="575"/>
      <c r="ABF293" s="575"/>
      <c r="ABG293" s="575"/>
      <c r="ABH293" s="575"/>
      <c r="ABI293" s="575"/>
      <c r="ABJ293" s="575"/>
      <c r="ABK293" s="575"/>
      <c r="ABL293" s="575"/>
      <c r="ABM293" s="575"/>
      <c r="ABN293" s="575"/>
      <c r="ABO293" s="575"/>
      <c r="ABP293" s="575"/>
      <c r="ABQ293" s="575"/>
      <c r="ABR293" s="575"/>
      <c r="ABS293" s="575"/>
      <c r="ABT293" s="575"/>
      <c r="ABU293" s="575"/>
      <c r="ABV293" s="575"/>
      <c r="ABW293" s="575"/>
      <c r="ABX293" s="575"/>
      <c r="ABY293" s="575"/>
      <c r="ABZ293" s="575"/>
      <c r="ACA293" s="575"/>
      <c r="ACB293" s="575"/>
      <c r="ACC293" s="575"/>
      <c r="ACD293" s="575"/>
      <c r="ACE293" s="575"/>
      <c r="ACF293" s="575"/>
      <c r="ACG293" s="575"/>
      <c r="ACH293" s="575"/>
      <c r="ACI293" s="575"/>
      <c r="ACJ293" s="575"/>
      <c r="ACK293" s="575"/>
      <c r="ACL293" s="575"/>
      <c r="ACM293" s="575"/>
      <c r="ACN293" s="575"/>
      <c r="ACO293" s="575"/>
      <c r="ACP293" s="575"/>
      <c r="ACQ293" s="575"/>
      <c r="ACR293" s="575"/>
      <c r="ACS293" s="575"/>
      <c r="ACT293" s="575"/>
      <c r="ACU293" s="575"/>
      <c r="ACV293" s="575"/>
      <c r="ACW293" s="575"/>
      <c r="ACX293" s="575"/>
      <c r="ACY293" s="575"/>
      <c r="ACZ293" s="575"/>
      <c r="ADA293" s="575"/>
      <c r="ADB293" s="575"/>
      <c r="ADC293" s="575"/>
      <c r="ADD293" s="575"/>
      <c r="ADE293" s="575"/>
      <c r="ADF293" s="575"/>
      <c r="ADG293" s="575"/>
      <c r="ADH293" s="575"/>
      <c r="ADI293" s="575"/>
      <c r="ADJ293" s="575"/>
      <c r="ADK293" s="575"/>
      <c r="ADL293" s="575"/>
      <c r="ADM293" s="575"/>
      <c r="ADN293" s="575"/>
      <c r="ADO293" s="575"/>
      <c r="ADP293" s="575"/>
      <c r="ADQ293" s="575"/>
      <c r="ADR293" s="575"/>
      <c r="ADS293" s="575"/>
      <c r="ADT293" s="575"/>
      <c r="ADU293" s="575"/>
      <c r="ADV293" s="575"/>
      <c r="ADW293" s="575"/>
      <c r="ADX293" s="575"/>
      <c r="ADY293" s="575"/>
      <c r="ADZ293" s="575"/>
      <c r="AEA293" s="575"/>
      <c r="AEB293" s="575"/>
      <c r="AEC293" s="575"/>
      <c r="AED293" s="575"/>
      <c r="AEE293" s="575"/>
      <c r="AEF293" s="575"/>
      <c r="AEG293" s="575"/>
      <c r="AEH293" s="575"/>
      <c r="AEI293" s="575"/>
      <c r="AEJ293" s="575"/>
      <c r="AEK293" s="575"/>
      <c r="AEL293" s="575"/>
      <c r="AEM293" s="575"/>
      <c r="AEN293" s="575"/>
      <c r="AEO293" s="575"/>
      <c r="AEP293" s="575"/>
      <c r="AEQ293" s="575"/>
      <c r="AER293" s="575"/>
      <c r="AES293" s="575"/>
      <c r="AET293" s="575"/>
      <c r="AEU293" s="575"/>
      <c r="AEV293" s="575"/>
      <c r="AEW293" s="575"/>
      <c r="AEX293" s="575"/>
      <c r="AEY293" s="575"/>
      <c r="AEZ293" s="575"/>
      <c r="AFA293" s="575"/>
      <c r="AFB293" s="575"/>
      <c r="AFC293" s="575"/>
      <c r="AFD293" s="575"/>
      <c r="AFE293" s="575"/>
      <c r="AFF293" s="575"/>
      <c r="AFG293" s="575"/>
      <c r="AFH293" s="575"/>
      <c r="AFI293" s="575"/>
      <c r="AFJ293" s="575"/>
      <c r="AFK293" s="575"/>
      <c r="AFL293" s="575"/>
      <c r="AFM293" s="575"/>
      <c r="AFN293" s="575"/>
      <c r="AFO293" s="575"/>
      <c r="AFP293" s="575"/>
      <c r="AFQ293" s="575"/>
      <c r="AFR293" s="575"/>
      <c r="AFS293" s="575"/>
      <c r="AFT293" s="575"/>
      <c r="AFU293" s="575"/>
      <c r="AFV293" s="575"/>
      <c r="AFW293" s="575"/>
      <c r="AFX293" s="575"/>
      <c r="AFY293" s="575"/>
      <c r="AFZ293" s="575"/>
      <c r="AGA293" s="575"/>
      <c r="AGB293" s="575"/>
      <c r="AGC293" s="575"/>
      <c r="AGD293" s="575"/>
      <c r="AGE293" s="575"/>
      <c r="AGF293" s="575"/>
      <c r="AGG293" s="575"/>
      <c r="AGH293" s="575"/>
      <c r="AGI293" s="575"/>
      <c r="AGJ293" s="575"/>
      <c r="AGK293" s="575"/>
      <c r="AGL293" s="575"/>
      <c r="AGM293" s="575"/>
      <c r="AGN293" s="575"/>
      <c r="AGO293" s="575"/>
      <c r="AGP293" s="575"/>
      <c r="AGQ293" s="575"/>
      <c r="AGR293" s="575"/>
      <c r="AGS293" s="575"/>
      <c r="AGT293" s="575"/>
      <c r="AGU293" s="575"/>
      <c r="AGV293" s="575"/>
      <c r="AGW293" s="575"/>
      <c r="AGX293" s="575"/>
      <c r="AGY293" s="575"/>
      <c r="AGZ293" s="575"/>
      <c r="AHA293" s="575"/>
      <c r="AHB293" s="575"/>
      <c r="AHC293" s="575"/>
      <c r="AHD293" s="575"/>
      <c r="AHE293" s="575"/>
      <c r="AHF293" s="575"/>
      <c r="AHG293" s="575"/>
      <c r="AHH293" s="575"/>
      <c r="AHI293" s="575"/>
      <c r="AHJ293" s="575"/>
      <c r="AHK293" s="575"/>
      <c r="AHL293" s="575"/>
      <c r="AHM293" s="575"/>
      <c r="AHN293" s="575"/>
      <c r="AHO293" s="575"/>
      <c r="AHP293" s="575"/>
      <c r="AHQ293" s="575"/>
      <c r="AHR293" s="575"/>
      <c r="AHS293" s="575"/>
      <c r="AHT293" s="575"/>
      <c r="AHU293" s="575"/>
      <c r="AHV293" s="575"/>
      <c r="AHW293" s="575"/>
      <c r="AHX293" s="575"/>
      <c r="AHY293" s="575"/>
      <c r="AHZ293" s="575"/>
      <c r="AIA293" s="575"/>
      <c r="AIB293" s="575"/>
      <c r="AIC293" s="575"/>
      <c r="AID293" s="575"/>
      <c r="AIE293" s="575"/>
      <c r="AIF293" s="575"/>
      <c r="AIG293" s="575"/>
      <c r="AIH293" s="575"/>
      <c r="AII293" s="575"/>
      <c r="AIJ293" s="575"/>
      <c r="AIK293" s="575"/>
      <c r="AIL293" s="575"/>
      <c r="AIM293" s="575"/>
      <c r="AIN293" s="575"/>
      <c r="AIO293" s="575"/>
      <c r="AIP293" s="575"/>
      <c r="AIQ293" s="575"/>
      <c r="AIR293" s="575"/>
      <c r="AIS293" s="575"/>
      <c r="AIT293" s="575"/>
      <c r="AIU293" s="575"/>
      <c r="AIV293" s="575"/>
      <c r="AIW293" s="575"/>
      <c r="AIX293" s="575"/>
      <c r="AIY293" s="575"/>
      <c r="AIZ293" s="575"/>
      <c r="AJA293" s="575"/>
      <c r="AJB293" s="575"/>
      <c r="AJC293" s="575"/>
      <c r="AJD293" s="575"/>
      <c r="AJE293" s="575"/>
      <c r="AJF293" s="575"/>
      <c r="AJG293" s="575"/>
      <c r="AJH293" s="575"/>
      <c r="AJI293" s="575"/>
      <c r="AJJ293" s="575"/>
      <c r="AJK293" s="575"/>
      <c r="AJL293" s="575"/>
      <c r="AJM293" s="575"/>
      <c r="AJN293" s="575"/>
      <c r="AJO293" s="575"/>
      <c r="AJP293" s="575"/>
      <c r="AJQ293" s="575"/>
      <c r="AJR293" s="575"/>
      <c r="AJS293" s="575"/>
      <c r="AJT293" s="575"/>
      <c r="AJU293" s="575"/>
      <c r="AJV293" s="575"/>
      <c r="AJW293" s="575"/>
      <c r="AJX293" s="575"/>
      <c r="AJY293" s="575"/>
      <c r="AJZ293" s="575"/>
      <c r="AKA293" s="575"/>
      <c r="AKB293" s="575"/>
      <c r="AKC293" s="575"/>
      <c r="AKD293" s="575"/>
      <c r="AKE293" s="575"/>
      <c r="AKF293" s="575"/>
      <c r="AKG293" s="575"/>
      <c r="AKH293" s="575"/>
      <c r="AKI293" s="575"/>
      <c r="AKJ293" s="575"/>
      <c r="AKK293" s="575"/>
      <c r="AKL293" s="575"/>
      <c r="AKM293" s="575"/>
      <c r="AKN293" s="575"/>
      <c r="AKO293" s="575"/>
      <c r="AKP293" s="575"/>
      <c r="AKQ293" s="575"/>
      <c r="AKR293" s="575"/>
      <c r="AKS293" s="575"/>
      <c r="AKT293" s="575"/>
      <c r="AKU293" s="575"/>
      <c r="AKV293" s="575"/>
      <c r="AKW293" s="575"/>
      <c r="AKX293" s="575"/>
      <c r="AKY293" s="575"/>
      <c r="AKZ293" s="575"/>
      <c r="ALA293" s="575"/>
      <c r="ALB293" s="575"/>
      <c r="ALC293" s="575"/>
      <c r="ALD293" s="575"/>
      <c r="ALE293" s="575"/>
      <c r="ALF293" s="575"/>
      <c r="ALG293" s="575"/>
      <c r="ALH293" s="575"/>
      <c r="ALI293" s="575"/>
      <c r="ALJ293" s="575"/>
      <c r="ALK293" s="575"/>
      <c r="ALL293" s="575"/>
      <c r="ALM293" s="575"/>
      <c r="ALN293" s="575"/>
      <c r="ALO293" s="575"/>
      <c r="ALP293" s="575"/>
      <c r="ALQ293" s="575"/>
      <c r="ALR293" s="575"/>
      <c r="ALS293" s="575"/>
      <c r="ALT293" s="575"/>
      <c r="ALU293" s="575"/>
      <c r="ALV293" s="575"/>
      <c r="ALW293" s="575"/>
      <c r="ALX293" s="575"/>
      <c r="ALY293" s="575"/>
      <c r="ALZ293" s="575"/>
      <c r="AMA293" s="575"/>
      <c r="AMB293" s="575"/>
      <c r="AMC293" s="575"/>
      <c r="AMD293" s="575"/>
      <c r="AME293" s="575"/>
      <c r="AMF293" s="575"/>
      <c r="AMG293" s="575"/>
      <c r="AMH293" s="575"/>
      <c r="AMI293" s="575"/>
      <c r="AMJ293" s="575"/>
      <c r="AMK293" s="575"/>
      <c r="AML293" s="575"/>
      <c r="AMM293" s="575"/>
      <c r="AMN293" s="575"/>
      <c r="AMO293" s="575"/>
      <c r="AMP293" s="575"/>
      <c r="AMQ293" s="575"/>
      <c r="AMR293" s="575"/>
      <c r="AMS293" s="575"/>
      <c r="AMT293" s="575"/>
      <c r="AMU293" s="575"/>
      <c r="AMV293" s="575"/>
      <c r="AMW293" s="575"/>
      <c r="AMX293" s="575"/>
      <c r="AMY293" s="575"/>
      <c r="AMZ293" s="575"/>
      <c r="ANA293" s="575"/>
      <c r="ANB293" s="575"/>
      <c r="ANC293" s="575"/>
      <c r="AND293" s="575"/>
      <c r="ANE293" s="575"/>
      <c r="ANF293" s="575"/>
      <c r="ANG293" s="575"/>
      <c r="ANH293" s="575"/>
      <c r="ANI293" s="575"/>
      <c r="ANJ293" s="575"/>
      <c r="ANK293" s="575"/>
      <c r="ANL293" s="575"/>
      <c r="ANM293" s="575"/>
      <c r="ANN293" s="575"/>
      <c r="ANO293" s="575"/>
      <c r="ANP293" s="575"/>
      <c r="ANQ293" s="575"/>
      <c r="ANR293" s="575"/>
      <c r="ANS293" s="575"/>
      <c r="ANT293" s="575"/>
      <c r="ANU293" s="575"/>
      <c r="ANV293" s="575"/>
      <c r="ANW293" s="575"/>
      <c r="ANX293" s="575"/>
      <c r="ANY293" s="575"/>
      <c r="ANZ293" s="575"/>
      <c r="AOA293" s="575"/>
      <c r="AOB293" s="575"/>
      <c r="AOC293" s="575"/>
      <c r="AOD293" s="575"/>
      <c r="AOE293" s="575"/>
      <c r="AOF293" s="575"/>
      <c r="AOG293" s="575"/>
      <c r="AOH293" s="575"/>
      <c r="AOI293" s="575"/>
      <c r="AOJ293" s="575"/>
      <c r="AOK293" s="575"/>
      <c r="AOL293" s="575"/>
      <c r="AOM293" s="575"/>
      <c r="AON293" s="575"/>
      <c r="AOO293" s="575"/>
      <c r="AOP293" s="575"/>
      <c r="AOQ293" s="575"/>
      <c r="AOR293" s="575"/>
      <c r="AOS293" s="575"/>
      <c r="AOT293" s="575"/>
      <c r="AOU293" s="575"/>
      <c r="AOV293" s="575"/>
      <c r="AOW293" s="575"/>
      <c r="AOX293" s="575"/>
      <c r="AOY293" s="575"/>
      <c r="AOZ293" s="575"/>
      <c r="APA293" s="575"/>
      <c r="APB293" s="575"/>
      <c r="APC293" s="575"/>
      <c r="APD293" s="575"/>
      <c r="APE293" s="575"/>
      <c r="APF293" s="575"/>
      <c r="APG293" s="575"/>
      <c r="APH293" s="575"/>
      <c r="API293" s="575"/>
      <c r="APJ293" s="575"/>
      <c r="APK293" s="575"/>
      <c r="APL293" s="575"/>
      <c r="APM293" s="575"/>
      <c r="APN293" s="575"/>
      <c r="APO293" s="575"/>
      <c r="APP293" s="575"/>
      <c r="APQ293" s="575"/>
      <c r="APR293" s="575"/>
      <c r="APS293" s="575"/>
      <c r="APT293" s="575"/>
      <c r="APU293" s="575"/>
      <c r="APV293" s="575"/>
      <c r="APW293" s="575"/>
      <c r="APX293" s="575"/>
      <c r="APY293" s="575"/>
      <c r="APZ293" s="575"/>
      <c r="AQA293" s="575"/>
      <c r="AQB293" s="575"/>
      <c r="AQC293" s="575"/>
      <c r="AQD293" s="575"/>
      <c r="AQE293" s="575"/>
      <c r="AQF293" s="575"/>
      <c r="AQG293" s="575"/>
      <c r="AQH293" s="575"/>
      <c r="AQI293" s="575"/>
      <c r="AQJ293" s="575"/>
      <c r="AQK293" s="575"/>
      <c r="AQL293" s="575"/>
      <c r="AQM293" s="575"/>
      <c r="AQN293" s="575"/>
      <c r="AQO293" s="575"/>
      <c r="AQP293" s="575"/>
      <c r="AQQ293" s="575"/>
      <c r="AQR293" s="575"/>
      <c r="AQS293" s="575"/>
      <c r="AQT293" s="575"/>
      <c r="AQU293" s="575"/>
      <c r="AQV293" s="575"/>
      <c r="AQW293" s="575"/>
      <c r="AQX293" s="575"/>
      <c r="AQY293" s="575"/>
      <c r="AQZ293" s="575"/>
      <c r="ARA293" s="575"/>
      <c r="ARB293" s="575"/>
      <c r="ARC293" s="575"/>
      <c r="ARD293" s="575"/>
      <c r="ARE293" s="575"/>
      <c r="ARF293" s="575"/>
      <c r="ARG293" s="575"/>
      <c r="ARH293" s="575"/>
      <c r="ARI293" s="575"/>
      <c r="ARJ293" s="575"/>
      <c r="ARK293" s="575"/>
      <c r="ARL293" s="575"/>
      <c r="ARM293" s="575"/>
      <c r="ARN293" s="575"/>
      <c r="ARO293" s="575"/>
      <c r="ARP293" s="575"/>
      <c r="ARQ293" s="575"/>
      <c r="ARR293" s="575"/>
      <c r="ARS293" s="575"/>
      <c r="ART293" s="575"/>
      <c r="ARU293" s="575"/>
      <c r="ARV293" s="575"/>
      <c r="ARW293" s="575"/>
      <c r="ARX293" s="575"/>
      <c r="ARY293" s="575"/>
      <c r="ARZ293" s="575"/>
      <c r="ASA293" s="575"/>
      <c r="ASB293" s="575"/>
      <c r="ASC293" s="575"/>
      <c r="ASD293" s="575"/>
      <c r="ASE293" s="575"/>
      <c r="ASF293" s="575"/>
      <c r="ASG293" s="575"/>
      <c r="ASH293" s="575"/>
      <c r="ASI293" s="575"/>
      <c r="ASJ293" s="575"/>
      <c r="ASK293" s="575"/>
      <c r="ASL293" s="575"/>
      <c r="ASM293" s="575"/>
      <c r="ASN293" s="575"/>
      <c r="ASO293" s="575"/>
      <c r="ASP293" s="575"/>
      <c r="ASQ293" s="575"/>
      <c r="ASR293" s="575"/>
      <c r="ASS293" s="575"/>
      <c r="AST293" s="575"/>
      <c r="ASU293" s="575"/>
      <c r="ASV293" s="575"/>
      <c r="ASW293" s="575"/>
      <c r="ASX293" s="575"/>
      <c r="ASY293" s="575"/>
      <c r="ASZ293" s="575"/>
      <c r="ATA293" s="575"/>
      <c r="ATB293" s="575"/>
      <c r="ATC293" s="575"/>
      <c r="ATD293" s="575"/>
      <c r="ATE293" s="575"/>
      <c r="ATF293" s="575"/>
      <c r="ATG293" s="575"/>
      <c r="ATH293" s="575"/>
      <c r="ATI293" s="575"/>
      <c r="ATJ293" s="575"/>
      <c r="ATK293" s="575"/>
      <c r="ATL293" s="575"/>
      <c r="ATM293" s="575"/>
      <c r="ATN293" s="575"/>
      <c r="ATO293" s="575"/>
      <c r="ATP293" s="575"/>
      <c r="ATQ293" s="575"/>
      <c r="ATR293" s="575"/>
      <c r="ATS293" s="575"/>
      <c r="ATT293" s="575"/>
      <c r="ATU293" s="575"/>
      <c r="ATV293" s="575"/>
      <c r="ATW293" s="575"/>
      <c r="ATX293" s="575"/>
      <c r="ATY293" s="575"/>
      <c r="ATZ293" s="575"/>
      <c r="AUA293" s="575"/>
      <c r="AUB293" s="575"/>
      <c r="AUC293" s="575"/>
      <c r="AUD293" s="575"/>
      <c r="AUE293" s="575"/>
      <c r="AUF293" s="575"/>
      <c r="AUG293" s="575"/>
      <c r="AUH293" s="575"/>
      <c r="AUI293" s="575"/>
      <c r="AUJ293" s="575"/>
      <c r="AUK293" s="575"/>
      <c r="AUL293" s="575"/>
      <c r="AUM293" s="575"/>
      <c r="AUN293" s="575"/>
      <c r="AUO293" s="575"/>
      <c r="AUP293" s="575"/>
      <c r="AUQ293" s="575"/>
      <c r="AUR293" s="575"/>
      <c r="AUS293" s="575"/>
      <c r="AUT293" s="575"/>
      <c r="AUU293" s="575"/>
      <c r="AUV293" s="575"/>
      <c r="AUW293" s="575"/>
      <c r="AUX293" s="575"/>
      <c r="AUY293" s="575"/>
      <c r="AUZ293" s="575"/>
      <c r="AVA293" s="575"/>
      <c r="AVB293" s="575"/>
      <c r="AVC293" s="575"/>
      <c r="AVD293" s="575"/>
      <c r="AVE293" s="575"/>
      <c r="AVF293" s="575"/>
      <c r="AVG293" s="575"/>
      <c r="AVH293" s="575"/>
      <c r="AVI293" s="575"/>
      <c r="AVJ293" s="575"/>
      <c r="AVK293" s="575"/>
      <c r="AVL293" s="575"/>
      <c r="AVM293" s="575"/>
      <c r="AVN293" s="575"/>
      <c r="AVO293" s="575"/>
      <c r="AVP293" s="575"/>
      <c r="AVQ293" s="575"/>
      <c r="AVR293" s="575"/>
      <c r="AVS293" s="575"/>
      <c r="AVT293" s="575"/>
      <c r="AVU293" s="575"/>
      <c r="AVV293" s="575"/>
      <c r="AVW293" s="575"/>
      <c r="AVX293" s="575"/>
      <c r="AVY293" s="575"/>
      <c r="AVZ293" s="575"/>
      <c r="AWA293" s="575"/>
      <c r="AWB293" s="575"/>
      <c r="AWC293" s="575"/>
      <c r="AWD293" s="575"/>
      <c r="AWE293" s="575"/>
      <c r="AWF293" s="575"/>
      <c r="AWG293" s="575"/>
      <c r="AWH293" s="575"/>
      <c r="AWI293" s="575"/>
      <c r="AWJ293" s="575"/>
      <c r="AWK293" s="575"/>
      <c r="AWL293" s="575"/>
      <c r="AWM293" s="575"/>
      <c r="AWN293" s="575"/>
      <c r="AWO293" s="575"/>
      <c r="AWP293" s="575"/>
      <c r="AWQ293" s="575"/>
      <c r="AWR293" s="575"/>
      <c r="AWS293" s="575"/>
      <c r="AWT293" s="575"/>
      <c r="AWU293" s="575"/>
      <c r="AWV293" s="575"/>
      <c r="AWW293" s="575"/>
      <c r="AWX293" s="575"/>
      <c r="AWY293" s="575"/>
      <c r="AWZ293" s="575"/>
      <c r="AXA293" s="575"/>
      <c r="AXB293" s="575"/>
      <c r="AXC293" s="575"/>
      <c r="AXD293" s="575"/>
      <c r="AXE293" s="575"/>
      <c r="AXF293" s="575"/>
      <c r="AXG293" s="575"/>
      <c r="AXH293" s="575"/>
      <c r="AXI293" s="575"/>
      <c r="AXJ293" s="575"/>
      <c r="AXK293" s="575"/>
      <c r="AXL293" s="575"/>
      <c r="AXM293" s="575"/>
      <c r="AXN293" s="575"/>
      <c r="AXO293" s="575"/>
      <c r="AXP293" s="575"/>
      <c r="AXQ293" s="575"/>
      <c r="AXR293" s="575"/>
      <c r="AXS293" s="575"/>
      <c r="AXT293" s="575"/>
      <c r="AXU293" s="575"/>
      <c r="AXV293" s="575"/>
      <c r="AXW293" s="575"/>
      <c r="AXX293" s="575"/>
      <c r="AXY293" s="575"/>
      <c r="AXZ293" s="575"/>
      <c r="AYA293" s="575"/>
      <c r="AYB293" s="575"/>
      <c r="AYC293" s="575"/>
      <c r="AYD293" s="575"/>
      <c r="AYE293" s="575"/>
      <c r="AYF293" s="575"/>
      <c r="AYG293" s="575"/>
      <c r="AYH293" s="575"/>
      <c r="AYI293" s="575"/>
      <c r="AYJ293" s="575"/>
      <c r="AYK293" s="575"/>
      <c r="AYL293" s="575"/>
      <c r="AYM293" s="575"/>
      <c r="AYN293" s="575"/>
      <c r="AYO293" s="575"/>
      <c r="AYP293" s="575"/>
      <c r="AYQ293" s="575"/>
      <c r="AYR293" s="575"/>
      <c r="AYS293" s="575"/>
      <c r="AYT293" s="575"/>
      <c r="AYU293" s="575"/>
      <c r="AYV293" s="575"/>
      <c r="AYW293" s="575"/>
      <c r="AYX293" s="575"/>
      <c r="AYY293" s="575"/>
      <c r="AYZ293" s="575"/>
      <c r="AZA293" s="575"/>
      <c r="AZB293" s="575"/>
      <c r="AZC293" s="575"/>
      <c r="AZD293" s="575"/>
      <c r="AZE293" s="575"/>
      <c r="AZF293" s="575"/>
      <c r="AZG293" s="575"/>
      <c r="AZH293" s="575"/>
      <c r="AZI293" s="575"/>
      <c r="AZJ293" s="575"/>
      <c r="AZK293" s="575"/>
      <c r="AZL293" s="575"/>
      <c r="AZM293" s="575"/>
      <c r="AZN293" s="575"/>
      <c r="AZO293" s="575"/>
      <c r="AZP293" s="575"/>
      <c r="AZQ293" s="575"/>
      <c r="AZR293" s="575"/>
      <c r="AZS293" s="575"/>
      <c r="AZT293" s="575"/>
      <c r="AZU293" s="575"/>
      <c r="AZV293" s="575"/>
      <c r="AZW293" s="575"/>
      <c r="AZX293" s="575"/>
      <c r="AZY293" s="575"/>
      <c r="AZZ293" s="575"/>
      <c r="BAA293" s="575"/>
      <c r="BAB293" s="575"/>
      <c r="BAC293" s="575"/>
      <c r="BAD293" s="575"/>
      <c r="BAE293" s="575"/>
      <c r="BAF293" s="575"/>
      <c r="BAG293" s="575"/>
      <c r="BAH293" s="575"/>
      <c r="BAI293" s="575"/>
      <c r="BAJ293" s="575"/>
      <c r="BAK293" s="575"/>
      <c r="BAL293" s="575"/>
      <c r="BAM293" s="575"/>
      <c r="BAN293" s="575"/>
      <c r="BAO293" s="575"/>
      <c r="BAP293" s="575"/>
      <c r="BAQ293" s="575"/>
      <c r="BAR293" s="575"/>
      <c r="BAS293" s="575"/>
      <c r="BAT293" s="575"/>
      <c r="BAU293" s="575"/>
      <c r="BAV293" s="575"/>
      <c r="BAW293" s="575"/>
      <c r="BAX293" s="575"/>
      <c r="BAY293" s="575"/>
      <c r="BAZ293" s="575"/>
      <c r="BBA293" s="575"/>
      <c r="BBB293" s="575"/>
      <c r="BBC293" s="575"/>
      <c r="BBD293" s="575"/>
      <c r="BBE293" s="575"/>
      <c r="BBF293" s="575"/>
      <c r="BBG293" s="575"/>
      <c r="BBH293" s="575"/>
      <c r="BBI293" s="575"/>
      <c r="BBJ293" s="575"/>
      <c r="BBK293" s="575"/>
      <c r="BBL293" s="575"/>
      <c r="BBM293" s="575"/>
      <c r="BBN293" s="575"/>
      <c r="BBO293" s="575"/>
      <c r="BBP293" s="575"/>
      <c r="BBQ293" s="575"/>
      <c r="BBR293" s="575"/>
      <c r="BBS293" s="575"/>
      <c r="BBT293" s="575"/>
      <c r="BBU293" s="575"/>
      <c r="BBV293" s="575"/>
      <c r="BBW293" s="575"/>
      <c r="BBX293" s="575"/>
      <c r="BBY293" s="575"/>
      <c r="BBZ293" s="575"/>
      <c r="BCA293" s="575"/>
      <c r="BCB293" s="575"/>
      <c r="BCC293" s="575"/>
      <c r="BCD293" s="575"/>
      <c r="BCE293" s="575"/>
      <c r="BCF293" s="575"/>
      <c r="BCG293" s="575"/>
      <c r="BCH293" s="575"/>
      <c r="BCI293" s="575"/>
      <c r="BCJ293" s="575"/>
      <c r="BCK293" s="575"/>
      <c r="BCL293" s="575"/>
      <c r="BCM293" s="575"/>
      <c r="BCN293" s="575"/>
      <c r="BCO293" s="575"/>
      <c r="BCP293" s="575"/>
      <c r="BCQ293" s="575"/>
      <c r="BCR293" s="575"/>
      <c r="BCS293" s="575"/>
      <c r="BCT293" s="575"/>
      <c r="BCU293" s="575"/>
      <c r="BCV293" s="575"/>
      <c r="BCW293" s="575"/>
      <c r="BCX293" s="575"/>
      <c r="BCY293" s="575"/>
      <c r="BCZ293" s="575"/>
      <c r="BDA293" s="575"/>
      <c r="BDB293" s="575"/>
      <c r="BDC293" s="575"/>
      <c r="BDD293" s="575"/>
      <c r="BDE293" s="575"/>
      <c r="BDF293" s="575"/>
      <c r="BDG293" s="575"/>
      <c r="BDH293" s="575"/>
      <c r="BDI293" s="575"/>
      <c r="BDJ293" s="575"/>
      <c r="BDK293" s="575"/>
      <c r="BDL293" s="575"/>
      <c r="BDM293" s="575"/>
      <c r="BDN293" s="575"/>
      <c r="BDO293" s="575"/>
      <c r="BDP293" s="575"/>
      <c r="BDQ293" s="575"/>
      <c r="BDR293" s="575"/>
      <c r="BDS293" s="575"/>
      <c r="BDT293" s="575"/>
    </row>
    <row r="294" spans="1:1476" x14ac:dyDescent="0.25">
      <c r="A294" s="608">
        <v>5926</v>
      </c>
      <c r="B294" s="609" t="s">
        <v>328</v>
      </c>
      <c r="C294" s="610">
        <v>1440302.97</v>
      </c>
      <c r="D294" s="610">
        <v>242047.73</v>
      </c>
      <c r="E294" s="610"/>
      <c r="F294" s="611"/>
      <c r="G294" s="610">
        <v>46776.800000000003</v>
      </c>
      <c r="H294" s="610">
        <v>589.65</v>
      </c>
      <c r="I294" s="610"/>
      <c r="J294" s="610">
        <v>39940.949999999997</v>
      </c>
      <c r="K294" s="610"/>
      <c r="L294" s="639">
        <v>139755.29999999999</v>
      </c>
      <c r="M294" s="434">
        <f t="shared" si="16"/>
        <v>1909413.4</v>
      </c>
      <c r="N294" s="612">
        <v>24861.65</v>
      </c>
      <c r="O294" s="612">
        <v>23125.599999999999</v>
      </c>
      <c r="P294" s="612">
        <v>45914.65</v>
      </c>
      <c r="Q294" s="612">
        <v>1395.7</v>
      </c>
      <c r="R294" s="612">
        <v>30756.799999999999</v>
      </c>
      <c r="S294" s="610">
        <v>4950.04</v>
      </c>
      <c r="T294" s="543">
        <f t="shared" si="17"/>
        <v>2040417.8399999999</v>
      </c>
      <c r="U294" s="575">
        <v>-14155.75</v>
      </c>
      <c r="V294" s="612"/>
      <c r="W294" s="612">
        <v>-33.1</v>
      </c>
      <c r="X294" s="624">
        <v>71</v>
      </c>
      <c r="Y294" s="631">
        <v>1</v>
      </c>
      <c r="Z294" s="628">
        <f>VLOOKUP(A294,'[2]2022 toutes communes'!$B$9:$D$317,3,FALSE)</f>
        <v>868</v>
      </c>
      <c r="AA294" s="617"/>
      <c r="AB294" s="618">
        <v>51417</v>
      </c>
      <c r="AC294" s="547">
        <f>AB294/VPI!R294</f>
        <v>1.9197854632026252</v>
      </c>
      <c r="AD294" s="548">
        <f t="shared" si="18"/>
        <v>81151</v>
      </c>
      <c r="AE294" s="547">
        <f>AD294/VPI!R294</f>
        <v>3.0299805535981532</v>
      </c>
      <c r="AF294" s="618">
        <v>132568</v>
      </c>
      <c r="AG294" s="618">
        <v>60071</v>
      </c>
      <c r="AH294" s="618">
        <v>81310</v>
      </c>
      <c r="AI294" s="637"/>
      <c r="AJ294" s="628">
        <v>0</v>
      </c>
      <c r="AK294" s="547">
        <f>AJ294/VPI!R294</f>
        <v>0</v>
      </c>
      <c r="AL294" s="548">
        <f t="shared" si="20"/>
        <v>38901</v>
      </c>
      <c r="AM294" s="547">
        <f>AL294/VPI!R294</f>
        <v>1.4524685279974585</v>
      </c>
      <c r="AN294" s="628">
        <v>38901</v>
      </c>
      <c r="AO294" s="637"/>
      <c r="AP294" s="629">
        <v>17.946168935028922</v>
      </c>
      <c r="AR294" s="630">
        <v>1</v>
      </c>
    </row>
    <row r="295" spans="1:1476" x14ac:dyDescent="0.25">
      <c r="A295" s="608">
        <v>5928</v>
      </c>
      <c r="B295" s="609" t="s">
        <v>329</v>
      </c>
      <c r="C295" s="610">
        <v>295283.53000000003</v>
      </c>
      <c r="D295" s="610">
        <v>35785.18</v>
      </c>
      <c r="E295" s="610"/>
      <c r="F295" s="611"/>
      <c r="G295" s="610">
        <v>1941.6</v>
      </c>
      <c r="H295" s="610">
        <v>-21.6</v>
      </c>
      <c r="I295" s="610"/>
      <c r="J295" s="610">
        <v>12054.8</v>
      </c>
      <c r="K295" s="610"/>
      <c r="L295" s="610">
        <v>26295.7</v>
      </c>
      <c r="M295" s="434">
        <f t="shared" si="16"/>
        <v>371339.21</v>
      </c>
      <c r="N295" s="612">
        <v>0</v>
      </c>
      <c r="O295" s="612"/>
      <c r="P295" s="612">
        <v>70.25</v>
      </c>
      <c r="Q295" s="612">
        <v>11</v>
      </c>
      <c r="R295" s="612">
        <v>168.25</v>
      </c>
      <c r="S295" s="610">
        <v>200.65</v>
      </c>
      <c r="T295" s="543">
        <f t="shared" si="17"/>
        <v>371789.36000000004</v>
      </c>
      <c r="U295" s="575">
        <v>-7221.21</v>
      </c>
      <c r="V295" s="612"/>
      <c r="W295" s="612">
        <v>0</v>
      </c>
      <c r="X295" s="624">
        <v>71.5</v>
      </c>
      <c r="Y295" s="631">
        <v>1</v>
      </c>
      <c r="Z295" s="628">
        <f>VLOOKUP(A295,'[2]2022 toutes communes'!$B$9:$D$317,3,FALSE)</f>
        <v>197</v>
      </c>
      <c r="AA295" s="617"/>
      <c r="AB295" s="618">
        <v>6931</v>
      </c>
      <c r="AC295" s="547">
        <f>AB295/VPI!R295</f>
        <v>1.3602145749048971</v>
      </c>
      <c r="AD295" s="548">
        <f t="shared" si="18"/>
        <v>8751</v>
      </c>
      <c r="AE295" s="547">
        <f>AD295/VPI!R295</f>
        <v>1.7173911044571857</v>
      </c>
      <c r="AF295" s="618">
        <v>15682</v>
      </c>
      <c r="AG295" s="618">
        <v>9845</v>
      </c>
      <c r="AH295" s="618">
        <v>22794</v>
      </c>
      <c r="AI295" s="637"/>
      <c r="AJ295" s="628">
        <v>0</v>
      </c>
      <c r="AK295" s="547">
        <f>AJ295/VPI!R295</f>
        <v>0</v>
      </c>
      <c r="AL295" s="548">
        <f t="shared" si="20"/>
        <v>-9633</v>
      </c>
      <c r="AM295" s="547">
        <f>AL295/VPI!R295</f>
        <v>-1.8904843457017564</v>
      </c>
      <c r="AN295" s="628">
        <v>-9633</v>
      </c>
      <c r="AO295" s="637"/>
      <c r="AP295" s="629">
        <v>9.2819917240754659</v>
      </c>
      <c r="AR295" s="630">
        <v>0</v>
      </c>
    </row>
    <row r="296" spans="1:1476" x14ac:dyDescent="0.25">
      <c r="A296" s="608">
        <v>5929</v>
      </c>
      <c r="B296" s="609" t="s">
        <v>330</v>
      </c>
      <c r="C296" s="610">
        <v>1158429.44</v>
      </c>
      <c r="D296" s="610">
        <v>142569.04</v>
      </c>
      <c r="E296" s="610"/>
      <c r="F296" s="611"/>
      <c r="G296" s="610">
        <v>33353.050000000003</v>
      </c>
      <c r="H296" s="610">
        <v>128.44999999999999</v>
      </c>
      <c r="I296" s="610">
        <v>41100.15</v>
      </c>
      <c r="J296" s="610">
        <v>26464.74</v>
      </c>
      <c r="K296" s="610"/>
      <c r="L296" s="610">
        <v>94372.6</v>
      </c>
      <c r="M296" s="434">
        <f t="shared" si="16"/>
        <v>1496417.47</v>
      </c>
      <c r="N296" s="612">
        <v>19827.2</v>
      </c>
      <c r="O296" s="612"/>
      <c r="P296" s="612">
        <v>36654.550000000003</v>
      </c>
      <c r="Q296" s="612">
        <v>158.96</v>
      </c>
      <c r="R296" s="612">
        <v>52663.95</v>
      </c>
      <c r="S296" s="610">
        <v>3498.99</v>
      </c>
      <c r="T296" s="543">
        <f t="shared" si="17"/>
        <v>1609221.1199999999</v>
      </c>
      <c r="U296" s="575">
        <v>-11366.04</v>
      </c>
      <c r="V296" s="612"/>
      <c r="W296" s="612">
        <v>-87.5</v>
      </c>
      <c r="X296" s="624">
        <v>70</v>
      </c>
      <c r="Y296" s="631">
        <v>0.8</v>
      </c>
      <c r="Z296" s="628">
        <f>VLOOKUP(A296,'[2]2022 toutes communes'!$B$9:$D$317,3,FALSE)</f>
        <v>671</v>
      </c>
      <c r="AA296" s="617"/>
      <c r="AB296" s="618">
        <v>4000</v>
      </c>
      <c r="AC296" s="547">
        <f>AB296/VPI!R296</f>
        <v>0.18515885270628479</v>
      </c>
      <c r="AD296" s="548">
        <f t="shared" si="18"/>
        <v>31351</v>
      </c>
      <c r="AE296" s="547">
        <f>AD296/VPI!R296</f>
        <v>1.4512287977986835</v>
      </c>
      <c r="AF296" s="618">
        <v>35351</v>
      </c>
      <c r="AG296" s="618">
        <v>31350</v>
      </c>
      <c r="AH296" s="618">
        <v>95890</v>
      </c>
      <c r="AI296" s="637"/>
      <c r="AJ296" s="628">
        <v>0</v>
      </c>
      <c r="AK296" s="547">
        <f>AJ296/VPI!R296</f>
        <v>0</v>
      </c>
      <c r="AL296" s="548">
        <f t="shared" si="20"/>
        <v>37695</v>
      </c>
      <c r="AM296" s="547">
        <f>AL296/VPI!R296</f>
        <v>1.7448907381908512</v>
      </c>
      <c r="AN296" s="628">
        <v>37695</v>
      </c>
      <c r="AO296" s="637"/>
      <c r="AP296" s="629">
        <v>15.731623991753112</v>
      </c>
      <c r="AR296" s="630">
        <v>1</v>
      </c>
    </row>
    <row r="297" spans="1:1476" x14ac:dyDescent="0.25">
      <c r="A297" s="608">
        <v>5930</v>
      </c>
      <c r="B297" s="609" t="s">
        <v>331</v>
      </c>
      <c r="C297" s="610">
        <v>324024.74</v>
      </c>
      <c r="D297" s="610">
        <v>50569.21</v>
      </c>
      <c r="E297" s="610"/>
      <c r="F297" s="611">
        <v>1150</v>
      </c>
      <c r="G297" s="610">
        <v>587.29999999999995</v>
      </c>
      <c r="H297" s="610">
        <v>42.1</v>
      </c>
      <c r="I297" s="610"/>
      <c r="J297" s="610">
        <v>6739.75</v>
      </c>
      <c r="K297" s="610">
        <v>228.6</v>
      </c>
      <c r="L297" s="610">
        <v>30971.5</v>
      </c>
      <c r="M297" s="434">
        <f t="shared" si="16"/>
        <v>414313.19999999995</v>
      </c>
      <c r="N297" s="612">
        <v>0</v>
      </c>
      <c r="O297" s="612">
        <v>0</v>
      </c>
      <c r="P297" s="612">
        <v>27302</v>
      </c>
      <c r="Q297" s="612">
        <v>0</v>
      </c>
      <c r="R297" s="612">
        <v>21235.95</v>
      </c>
      <c r="S297" s="610">
        <v>65.78</v>
      </c>
      <c r="T297" s="543">
        <f t="shared" si="17"/>
        <v>462916.93</v>
      </c>
      <c r="U297" s="575">
        <v>-42.39</v>
      </c>
      <c r="V297" s="612"/>
      <c r="W297" s="612">
        <v>-396.7</v>
      </c>
      <c r="X297" s="624">
        <v>72</v>
      </c>
      <c r="Y297" s="631">
        <v>1</v>
      </c>
      <c r="Z297" s="628">
        <f>VLOOKUP(A297,'[2]2022 toutes communes'!$B$9:$D$317,3,FALSE)</f>
        <v>220</v>
      </c>
      <c r="AA297" s="617"/>
      <c r="AB297" s="618">
        <v>56981</v>
      </c>
      <c r="AC297" s="547">
        <f>AB297/VPI!R297</f>
        <v>9.9111781664724319</v>
      </c>
      <c r="AD297" s="548">
        <f t="shared" si="18"/>
        <v>16448</v>
      </c>
      <c r="AE297" s="547">
        <f>AD297/VPI!R297</f>
        <v>2.8609371278520657</v>
      </c>
      <c r="AF297" s="618">
        <v>73429</v>
      </c>
      <c r="AG297" s="618">
        <v>15412</v>
      </c>
      <c r="AH297" s="618">
        <v>7011</v>
      </c>
      <c r="AI297" s="637"/>
      <c r="AJ297" s="628">
        <v>767</v>
      </c>
      <c r="AK297" s="547">
        <f>AJ297/VPI!R297</f>
        <v>0.13341067467549456</v>
      </c>
      <c r="AL297" s="548">
        <f t="shared" si="20"/>
        <v>4303</v>
      </c>
      <c r="AM297" s="547">
        <f>AL297/VPI!R297</f>
        <v>0.74845649690828298</v>
      </c>
      <c r="AN297" s="628">
        <v>5070</v>
      </c>
      <c r="AO297" s="637"/>
      <c r="AP297" s="629">
        <v>15.195735512050128</v>
      </c>
      <c r="AR297" s="630">
        <v>1</v>
      </c>
    </row>
    <row r="298" spans="1:1476" x14ac:dyDescent="0.25">
      <c r="A298" s="608">
        <v>5931</v>
      </c>
      <c r="B298" s="609" t="s">
        <v>332</v>
      </c>
      <c r="C298" s="610">
        <v>1036909.97</v>
      </c>
      <c r="D298" s="610">
        <v>93771.85</v>
      </c>
      <c r="E298" s="610"/>
      <c r="F298" s="611"/>
      <c r="G298" s="610">
        <v>11925.35</v>
      </c>
      <c r="H298" s="610">
        <v>1184.5999999999999</v>
      </c>
      <c r="I298" s="610"/>
      <c r="J298" s="610">
        <v>16964.7</v>
      </c>
      <c r="K298" s="610">
        <v>1295.9000000000001</v>
      </c>
      <c r="L298" s="610">
        <v>85534.8</v>
      </c>
      <c r="M298" s="434">
        <f t="shared" si="16"/>
        <v>1247587.1700000002</v>
      </c>
      <c r="N298" s="612">
        <v>14546.55</v>
      </c>
      <c r="O298" s="612"/>
      <c r="P298" s="612">
        <v>99291.5</v>
      </c>
      <c r="Q298" s="612">
        <v>2635.73</v>
      </c>
      <c r="R298" s="612">
        <v>98829.1</v>
      </c>
      <c r="S298" s="610">
        <v>1370.06</v>
      </c>
      <c r="T298" s="543">
        <f t="shared" si="17"/>
        <v>1464260.1100000003</v>
      </c>
      <c r="U298" s="575">
        <v>-28547.599999999999</v>
      </c>
      <c r="V298" s="612"/>
      <c r="W298" s="612">
        <v>-39.6</v>
      </c>
      <c r="X298" s="624">
        <v>75</v>
      </c>
      <c r="Y298" s="631">
        <v>1</v>
      </c>
      <c r="Z298" s="628">
        <f>VLOOKUP(A298,'[2]2022 toutes communes'!$B$9:$D$317,3,FALSE)</f>
        <v>520</v>
      </c>
      <c r="AA298" s="617"/>
      <c r="AB298" s="618">
        <v>118129</v>
      </c>
      <c r="AC298" s="547">
        <f>AB298/VPI!R298</f>
        <v>7.244180926833903</v>
      </c>
      <c r="AD298" s="548">
        <f t="shared" si="18"/>
        <v>31728</v>
      </c>
      <c r="AE298" s="547">
        <f>AD298/VPI!R298</f>
        <v>1.9456981134741349</v>
      </c>
      <c r="AF298" s="618">
        <v>149857</v>
      </c>
      <c r="AG298" s="618">
        <v>35125</v>
      </c>
      <c r="AH298" s="618">
        <v>14827</v>
      </c>
      <c r="AI298" s="637"/>
      <c r="AJ298" s="628">
        <v>0</v>
      </c>
      <c r="AK298" s="547">
        <f>AJ298/VPI!R298</f>
        <v>0</v>
      </c>
      <c r="AL298" s="548">
        <f t="shared" si="20"/>
        <v>1851</v>
      </c>
      <c r="AM298" s="547">
        <f>AL298/VPI!R298</f>
        <v>0.11351132148388249</v>
      </c>
      <c r="AN298" s="628">
        <v>1851</v>
      </c>
      <c r="AO298" s="637"/>
      <c r="AP298" s="629">
        <v>14.432757288151009</v>
      </c>
      <c r="AR298" s="630">
        <v>1</v>
      </c>
    </row>
    <row r="299" spans="1:1476" x14ac:dyDescent="0.25">
      <c r="A299" s="608">
        <v>5932</v>
      </c>
      <c r="B299" s="609" t="s">
        <v>237</v>
      </c>
      <c r="C299" s="610">
        <v>438578.77</v>
      </c>
      <c r="D299" s="610">
        <v>78417.789999999994</v>
      </c>
      <c r="E299" s="610"/>
      <c r="F299" s="611">
        <v>1350</v>
      </c>
      <c r="G299" s="610">
        <v>174.7</v>
      </c>
      <c r="H299" s="610">
        <v>424.55</v>
      </c>
      <c r="I299" s="610">
        <v>40597.800000000003</v>
      </c>
      <c r="J299" s="610">
        <v>5920.82</v>
      </c>
      <c r="K299" s="610">
        <v>819.5</v>
      </c>
      <c r="L299" s="610">
        <v>33679.300000000003</v>
      </c>
      <c r="M299" s="434">
        <f t="shared" si="16"/>
        <v>599963.23</v>
      </c>
      <c r="N299" s="612">
        <v>0</v>
      </c>
      <c r="O299" s="612">
        <v>1060.9000000000001</v>
      </c>
      <c r="P299" s="612"/>
      <c r="Q299" s="612">
        <v>56.86</v>
      </c>
      <c r="R299" s="612">
        <v>18408.75</v>
      </c>
      <c r="S299" s="610">
        <v>62.62</v>
      </c>
      <c r="T299" s="543">
        <f t="shared" si="17"/>
        <v>619552.36</v>
      </c>
      <c r="U299" s="575">
        <v>-4106.46</v>
      </c>
      <c r="V299" s="612"/>
      <c r="W299" s="612">
        <v>-53.7</v>
      </c>
      <c r="X299" s="624">
        <v>75</v>
      </c>
      <c r="Y299" s="631">
        <v>1</v>
      </c>
      <c r="Z299" s="628">
        <f>VLOOKUP(A299,'[2]2022 toutes communes'!$B$9:$D$317,3,FALSE)</f>
        <v>230</v>
      </c>
      <c r="AA299" s="617"/>
      <c r="AB299" s="618">
        <v>7347</v>
      </c>
      <c r="AC299" s="547">
        <f>AB299/VPI!R299</f>
        <v>0.92465874969826189</v>
      </c>
      <c r="AD299" s="548">
        <f t="shared" si="18"/>
        <v>9989</v>
      </c>
      <c r="AE299" s="547">
        <f>AD299/VPI!R299</f>
        <v>1.2571684021690401</v>
      </c>
      <c r="AF299" s="618">
        <v>17336</v>
      </c>
      <c r="AG299" s="618">
        <v>10896</v>
      </c>
      <c r="AH299" s="618">
        <v>6817</v>
      </c>
      <c r="AI299" s="637"/>
      <c r="AJ299" s="628">
        <v>0</v>
      </c>
      <c r="AK299" s="547">
        <f>AJ299/VPI!R299</f>
        <v>0</v>
      </c>
      <c r="AL299" s="548">
        <f t="shared" si="20"/>
        <v>18908</v>
      </c>
      <c r="AM299" s="547">
        <f>AL299/VPI!R299</f>
        <v>2.3796716536402251</v>
      </c>
      <c r="AN299" s="628">
        <v>18908</v>
      </c>
      <c r="AO299" s="637"/>
      <c r="AP299" s="629">
        <v>17.449227239360354</v>
      </c>
      <c r="AR299" s="630">
        <v>0</v>
      </c>
    </row>
    <row r="300" spans="1:1476" x14ac:dyDescent="0.25">
      <c r="A300" s="608">
        <v>5933</v>
      </c>
      <c r="B300" s="609" t="s">
        <v>325</v>
      </c>
      <c r="C300" s="610">
        <v>1343729.72</v>
      </c>
      <c r="D300" s="610">
        <v>162464.26999999999</v>
      </c>
      <c r="E300" s="610"/>
      <c r="F300" s="611"/>
      <c r="G300" s="610">
        <v>24941.200000000001</v>
      </c>
      <c r="H300" s="610">
        <v>168.65</v>
      </c>
      <c r="I300" s="610"/>
      <c r="J300" s="610">
        <v>15895.67</v>
      </c>
      <c r="K300" s="610">
        <v>3437.05</v>
      </c>
      <c r="L300" s="610">
        <v>123173.55</v>
      </c>
      <c r="M300" s="434">
        <f t="shared" si="16"/>
        <v>1673810.1099999999</v>
      </c>
      <c r="N300" s="612">
        <v>27780.9</v>
      </c>
      <c r="O300" s="612">
        <v>27451.599999999999</v>
      </c>
      <c r="P300" s="612">
        <v>51051.05</v>
      </c>
      <c r="Q300" s="612">
        <v>153.87</v>
      </c>
      <c r="R300" s="612">
        <v>14564.25</v>
      </c>
      <c r="S300" s="610">
        <v>2624.11</v>
      </c>
      <c r="T300" s="543">
        <f t="shared" si="17"/>
        <v>1797435.8900000001</v>
      </c>
      <c r="U300" s="575">
        <v>-21366.7</v>
      </c>
      <c r="V300" s="612"/>
      <c r="W300" s="612">
        <v>-0.21</v>
      </c>
      <c r="X300" s="624">
        <v>70.5</v>
      </c>
      <c r="Y300" s="631">
        <v>1</v>
      </c>
      <c r="Z300" s="628">
        <f>VLOOKUP(A300,'[2]2022 toutes communes'!$B$9:$D$317,3,FALSE)</f>
        <v>703</v>
      </c>
      <c r="AA300" s="617"/>
      <c r="AB300" s="618">
        <v>36393</v>
      </c>
      <c r="AC300" s="547">
        <f>AB300/VPI!R300</f>
        <v>1.5500686742058243</v>
      </c>
      <c r="AD300" s="548">
        <f t="shared" si="18"/>
        <v>422518</v>
      </c>
      <c r="AE300" s="547">
        <f>AD300/VPI!R300</f>
        <v>17.996095845027792</v>
      </c>
      <c r="AF300" s="618">
        <v>458911</v>
      </c>
      <c r="AG300" s="618">
        <v>83272</v>
      </c>
      <c r="AH300" s="618">
        <v>98288</v>
      </c>
      <c r="AI300" s="637"/>
      <c r="AJ300" s="628">
        <v>0</v>
      </c>
      <c r="AK300" s="547">
        <f>AJ300/VPI!R300</f>
        <v>0</v>
      </c>
      <c r="AL300" s="548">
        <f t="shared" si="20"/>
        <v>-25017</v>
      </c>
      <c r="AM300" s="547">
        <f>AL300/VPI!R300</f>
        <v>-1.0655364499383702</v>
      </c>
      <c r="AN300" s="628">
        <v>-25017</v>
      </c>
      <c r="AO300" s="637"/>
      <c r="AP300" s="629">
        <v>12.120948554390793</v>
      </c>
      <c r="AR300" s="630">
        <v>0</v>
      </c>
    </row>
    <row r="301" spans="1:1476" x14ac:dyDescent="0.25">
      <c r="A301" s="608">
        <v>5934</v>
      </c>
      <c r="B301" s="609" t="s">
        <v>326</v>
      </c>
      <c r="C301" s="610">
        <v>1135253.8899999999</v>
      </c>
      <c r="D301" s="610">
        <v>111660.06</v>
      </c>
      <c r="E301" s="610"/>
      <c r="F301" s="611">
        <v>1520</v>
      </c>
      <c r="G301" s="610">
        <v>-55.05</v>
      </c>
      <c r="H301" s="610">
        <v>-18.05</v>
      </c>
      <c r="I301" s="610"/>
      <c r="J301" s="610">
        <v>16298.23</v>
      </c>
      <c r="K301" s="610">
        <v>34.700000000000003</v>
      </c>
      <c r="L301" s="610">
        <v>29927.4</v>
      </c>
      <c r="M301" s="434">
        <f t="shared" si="16"/>
        <v>1294621.1799999997</v>
      </c>
      <c r="N301" s="612">
        <v>7121.8</v>
      </c>
      <c r="O301" s="612">
        <v>36038.199999999997</v>
      </c>
      <c r="P301" s="612">
        <v>20020</v>
      </c>
      <c r="Q301" s="612"/>
      <c r="R301" s="612"/>
      <c r="S301" s="610">
        <v>-7.64</v>
      </c>
      <c r="T301" s="543">
        <f t="shared" si="17"/>
        <v>1357793.5399999998</v>
      </c>
      <c r="U301" s="575">
        <v>-1969.43</v>
      </c>
      <c r="V301" s="612"/>
      <c r="W301" s="612">
        <v>0</v>
      </c>
      <c r="X301" s="624">
        <v>77</v>
      </c>
      <c r="Y301" s="631">
        <v>1</v>
      </c>
      <c r="Z301" s="628">
        <f>VLOOKUP(A301,'[2]2022 toutes communes'!$B$9:$D$317,3,FALSE)</f>
        <v>241</v>
      </c>
      <c r="AA301" s="617"/>
      <c r="AB301" s="618">
        <v>3553</v>
      </c>
      <c r="AC301" s="547">
        <f>AB301/VPI!R301</f>
        <v>0.21164448736009794</v>
      </c>
      <c r="AD301" s="548">
        <f t="shared" si="18"/>
        <v>12253</v>
      </c>
      <c r="AE301" s="547">
        <f>AD301/VPI!R301</f>
        <v>0.72988457743407831</v>
      </c>
      <c r="AF301" s="618">
        <v>15806</v>
      </c>
      <c r="AG301" s="618">
        <v>11804</v>
      </c>
      <c r="AH301" s="618">
        <v>6824</v>
      </c>
      <c r="AI301" s="637"/>
      <c r="AJ301" s="628">
        <v>0</v>
      </c>
      <c r="AK301" s="547">
        <f>AJ301/VPI!R301</f>
        <v>0</v>
      </c>
      <c r="AL301" s="548">
        <f t="shared" si="20"/>
        <v>12495</v>
      </c>
      <c r="AM301" s="547">
        <f>AL301/VPI!R301</f>
        <v>0.74429999143383729</v>
      </c>
      <c r="AN301" s="628">
        <v>12495</v>
      </c>
      <c r="AO301" s="637"/>
      <c r="AP301" s="629">
        <v>9.8140131664116517</v>
      </c>
      <c r="AR301" s="630">
        <v>0</v>
      </c>
    </row>
    <row r="302" spans="1:1476" x14ac:dyDescent="0.25">
      <c r="A302" s="608">
        <v>5935</v>
      </c>
      <c r="B302" s="609" t="s">
        <v>254</v>
      </c>
      <c r="C302" s="610">
        <v>236148.89</v>
      </c>
      <c r="D302" s="610">
        <v>196068.77</v>
      </c>
      <c r="E302" s="610"/>
      <c r="F302" s="611"/>
      <c r="G302" s="610">
        <v>1900.45</v>
      </c>
      <c r="H302" s="610">
        <v>421.5</v>
      </c>
      <c r="I302" s="610"/>
      <c r="J302" s="610">
        <v>1751.41</v>
      </c>
      <c r="K302" s="610"/>
      <c r="L302" s="610">
        <v>20862.05</v>
      </c>
      <c r="M302" s="434">
        <f t="shared" si="16"/>
        <v>457153.07</v>
      </c>
      <c r="N302" s="612">
        <v>0</v>
      </c>
      <c r="O302" s="612"/>
      <c r="P302" s="612">
        <v>32010</v>
      </c>
      <c r="Q302" s="612"/>
      <c r="R302" s="612">
        <v>25852.7</v>
      </c>
      <c r="S302" s="610">
        <v>242.66</v>
      </c>
      <c r="T302" s="543">
        <f t="shared" si="17"/>
        <v>515258.43</v>
      </c>
      <c r="U302" s="575">
        <v>-14.49</v>
      </c>
      <c r="V302" s="612"/>
      <c r="W302" s="612">
        <v>-121.1</v>
      </c>
      <c r="X302" s="624">
        <v>68</v>
      </c>
      <c r="Y302" s="631">
        <v>1</v>
      </c>
      <c r="Z302" s="628">
        <f>VLOOKUP(A302,'[2]2022 toutes communes'!$B$9:$D$317,3,FALSE)</f>
        <v>92</v>
      </c>
      <c r="AA302" s="617"/>
      <c r="AB302" s="618">
        <v>0</v>
      </c>
      <c r="AC302" s="547">
        <f>AB302/VPI!R302</f>
        <v>0</v>
      </c>
      <c r="AD302" s="548">
        <f t="shared" si="18"/>
        <v>10297</v>
      </c>
      <c r="AE302" s="547">
        <f>AD302/VPI!R302</f>
        <v>1.5312858890346313</v>
      </c>
      <c r="AF302" s="618">
        <v>10297</v>
      </c>
      <c r="AG302" s="618">
        <v>4540</v>
      </c>
      <c r="AH302" s="618">
        <v>8380</v>
      </c>
      <c r="AI302" s="637"/>
      <c r="AJ302" s="628">
        <v>0</v>
      </c>
      <c r="AK302" s="547">
        <f>AJ302/VPI!R302</f>
        <v>0</v>
      </c>
      <c r="AL302" s="548">
        <f t="shared" si="20"/>
        <v>11116</v>
      </c>
      <c r="AM302" s="547">
        <f>AL302/VPI!R302</f>
        <v>1.6530808917654618</v>
      </c>
      <c r="AN302" s="628">
        <v>11116</v>
      </c>
      <c r="AO302" s="637"/>
      <c r="AP302" s="629">
        <v>22.624285300478334</v>
      </c>
      <c r="AR302" s="630">
        <v>0</v>
      </c>
    </row>
    <row r="303" spans="1:1476" x14ac:dyDescent="0.25">
      <c r="A303" s="608">
        <v>5937</v>
      </c>
      <c r="B303" s="609" t="s">
        <v>238</v>
      </c>
      <c r="C303" s="610">
        <v>195941.17</v>
      </c>
      <c r="D303" s="610">
        <v>19337.2</v>
      </c>
      <c r="E303" s="610"/>
      <c r="F303" s="611"/>
      <c r="G303" s="610">
        <v>1177.8499999999999</v>
      </c>
      <c r="H303" s="610">
        <v>106.5</v>
      </c>
      <c r="I303" s="610"/>
      <c r="J303" s="610">
        <v>2117.29</v>
      </c>
      <c r="K303" s="610"/>
      <c r="L303" s="610">
        <v>12533.57</v>
      </c>
      <c r="M303" s="434">
        <f t="shared" si="16"/>
        <v>231213.58000000005</v>
      </c>
      <c r="N303" s="612">
        <v>2274.35</v>
      </c>
      <c r="O303" s="612"/>
      <c r="P303" s="612">
        <v>13090</v>
      </c>
      <c r="Q303" s="612">
        <v>52.83</v>
      </c>
      <c r="R303" s="612">
        <v>3499.4</v>
      </c>
      <c r="S303" s="610">
        <v>134.22</v>
      </c>
      <c r="T303" s="543">
        <f t="shared" si="17"/>
        <v>250264.38000000003</v>
      </c>
      <c r="U303" s="575">
        <v>-2699.57</v>
      </c>
      <c r="V303" s="612"/>
      <c r="W303" s="612">
        <v>0</v>
      </c>
      <c r="X303" s="624">
        <v>70</v>
      </c>
      <c r="Y303" s="631">
        <v>0.7</v>
      </c>
      <c r="Z303" s="628">
        <f>VLOOKUP(A303,'[2]2022 toutes communes'!$B$9:$D$317,3,FALSE)</f>
        <v>137</v>
      </c>
      <c r="AA303" s="617"/>
      <c r="AB303" s="618">
        <v>15560</v>
      </c>
      <c r="AC303" s="547">
        <f>AB303/VPI!R303</f>
        <v>4.6532573506363981</v>
      </c>
      <c r="AD303" s="548">
        <f t="shared" si="18"/>
        <v>8599</v>
      </c>
      <c r="AE303" s="547">
        <f>AD303/VPI!R303</f>
        <v>2.5715526965374282</v>
      </c>
      <c r="AF303" s="618">
        <v>24159</v>
      </c>
      <c r="AG303" s="618">
        <v>6690</v>
      </c>
      <c r="AH303" s="618">
        <v>18641</v>
      </c>
      <c r="AI303" s="637"/>
      <c r="AJ303" s="628">
        <v>0</v>
      </c>
      <c r="AK303" s="547">
        <f>AJ303/VPI!R303</f>
        <v>0</v>
      </c>
      <c r="AL303" s="548">
        <f t="shared" si="20"/>
        <v>11587</v>
      </c>
      <c r="AM303" s="547">
        <f>AL303/VPI!R303</f>
        <v>3.4651216530735183</v>
      </c>
      <c r="AN303" s="628">
        <v>11587</v>
      </c>
      <c r="AO303" s="637"/>
      <c r="AP303" s="629">
        <v>7.3029066388922566</v>
      </c>
      <c r="AR303" s="630">
        <v>0</v>
      </c>
    </row>
    <row r="304" spans="1:1476" x14ac:dyDescent="0.25">
      <c r="A304" s="608">
        <v>5938</v>
      </c>
      <c r="B304" s="609" t="s">
        <v>133</v>
      </c>
      <c r="C304" s="610">
        <v>42326469.560000002</v>
      </c>
      <c r="D304" s="610">
        <v>5051938.8</v>
      </c>
      <c r="E304" s="610"/>
      <c r="F304" s="611"/>
      <c r="G304" s="610">
        <v>3785833.65</v>
      </c>
      <c r="H304" s="610">
        <v>379814.40000000002</v>
      </c>
      <c r="I304" s="610"/>
      <c r="J304" s="610">
        <v>2035405.47</v>
      </c>
      <c r="K304" s="610">
        <v>733178.2</v>
      </c>
      <c r="L304" s="610">
        <v>4698262.95</v>
      </c>
      <c r="M304" s="434">
        <f t="shared" si="16"/>
        <v>59010903.030000001</v>
      </c>
      <c r="N304" s="612">
        <v>5431399.5</v>
      </c>
      <c r="O304" s="612">
        <v>882538.35</v>
      </c>
      <c r="P304" s="612">
        <v>2802146.2</v>
      </c>
      <c r="Q304" s="612">
        <v>309378.27</v>
      </c>
      <c r="R304" s="612">
        <v>1585332.9</v>
      </c>
      <c r="S304" s="610">
        <v>435331.61</v>
      </c>
      <c r="T304" s="543">
        <f t="shared" si="17"/>
        <v>70457029.859999999</v>
      </c>
      <c r="U304" s="575">
        <v>-1193782.54</v>
      </c>
      <c r="V304" s="612"/>
      <c r="W304" s="612">
        <v>-17227.91</v>
      </c>
      <c r="X304" s="624">
        <v>75</v>
      </c>
      <c r="Y304" s="631">
        <v>1</v>
      </c>
      <c r="Z304" s="628">
        <f>VLOOKUP(A304,'[2]2022 toutes communes'!$B$9:$D$317,3,FALSE)</f>
        <v>29877</v>
      </c>
      <c r="AA304" s="617"/>
      <c r="AB304" s="618">
        <v>3982512</v>
      </c>
      <c r="AC304" s="547">
        <f>AB304/VPI!R304</f>
        <v>5.1018947511698576</v>
      </c>
      <c r="AD304" s="548">
        <f t="shared" si="18"/>
        <v>7268394</v>
      </c>
      <c r="AE304" s="547">
        <f>AD304/VPI!R304</f>
        <v>9.3113545415643415</v>
      </c>
      <c r="AF304" s="618">
        <v>11250906</v>
      </c>
      <c r="AG304" s="618">
        <v>7918498</v>
      </c>
      <c r="AH304" s="618">
        <v>593950</v>
      </c>
      <c r="AI304" s="637"/>
      <c r="AJ304" s="628">
        <v>0</v>
      </c>
      <c r="AK304" s="547">
        <f>AJ304/VPI!R304</f>
        <v>0</v>
      </c>
      <c r="AL304" s="548">
        <f t="shared" si="20"/>
        <v>210577</v>
      </c>
      <c r="AM304" s="547">
        <f>AL304/VPI!R304</f>
        <v>0.26976483461119394</v>
      </c>
      <c r="AN304" s="628">
        <v>210577</v>
      </c>
      <c r="AO304" s="637"/>
      <c r="AP304" s="629">
        <v>-22.023420610335986</v>
      </c>
      <c r="AR304" s="630">
        <v>1</v>
      </c>
    </row>
    <row r="305" spans="1:44" x14ac:dyDescent="0.25">
      <c r="A305" s="608">
        <v>5939</v>
      </c>
      <c r="B305" s="609" t="s">
        <v>132</v>
      </c>
      <c r="C305" s="610">
        <v>5276349.25</v>
      </c>
      <c r="D305" s="610">
        <v>646041.44999999995</v>
      </c>
      <c r="E305" s="610"/>
      <c r="F305" s="611"/>
      <c r="G305" s="610">
        <v>365310.25</v>
      </c>
      <c r="H305" s="610">
        <v>10483.65</v>
      </c>
      <c r="I305" s="610"/>
      <c r="J305" s="610">
        <v>64905.83</v>
      </c>
      <c r="K305" s="610">
        <v>53322.6</v>
      </c>
      <c r="L305" s="610">
        <v>597639.35</v>
      </c>
      <c r="M305" s="434">
        <f t="shared" si="16"/>
        <v>7014052.3799999999</v>
      </c>
      <c r="N305" s="612">
        <v>174288.8</v>
      </c>
      <c r="O305" s="612">
        <v>777441.9</v>
      </c>
      <c r="P305" s="612">
        <v>341945.05</v>
      </c>
      <c r="Q305" s="612">
        <v>34210.68</v>
      </c>
      <c r="R305" s="612">
        <v>263684.5</v>
      </c>
      <c r="S305" s="610">
        <v>39272.39</v>
      </c>
      <c r="T305" s="543">
        <f t="shared" si="17"/>
        <v>8644895.6999999993</v>
      </c>
      <c r="U305" s="575">
        <v>-123423.25</v>
      </c>
      <c r="V305" s="612"/>
      <c r="W305" s="640">
        <v>-416.3</v>
      </c>
      <c r="X305" s="641">
        <v>71.5</v>
      </c>
      <c r="Y305" s="642">
        <v>1</v>
      </c>
      <c r="Z305" s="628">
        <f>VLOOKUP(A305,'[2]2022 toutes communes'!$B$9:$D$317,3,FALSE)</f>
        <v>3531</v>
      </c>
      <c r="AA305" s="617"/>
      <c r="AB305" s="618">
        <v>144351</v>
      </c>
      <c r="AC305" s="547">
        <f>AB305/VPI!R305</f>
        <v>1.4821291234156277</v>
      </c>
      <c r="AD305" s="548">
        <f t="shared" si="18"/>
        <v>600093</v>
      </c>
      <c r="AE305" s="547">
        <f>AD305/VPI!R305</f>
        <v>6.1614766233545613</v>
      </c>
      <c r="AF305" s="643">
        <v>744444</v>
      </c>
      <c r="AG305" s="618">
        <v>419586</v>
      </c>
      <c r="AH305" s="643">
        <v>337965</v>
      </c>
      <c r="AI305" s="637"/>
      <c r="AJ305" s="628">
        <v>0</v>
      </c>
      <c r="AK305" s="547">
        <f>AJ305/VPI!R305</f>
        <v>0</v>
      </c>
      <c r="AL305" s="548">
        <f t="shared" si="20"/>
        <v>112832</v>
      </c>
      <c r="AM305" s="547">
        <f>AL305/VPI!R305</f>
        <v>1.1585066487466806</v>
      </c>
      <c r="AN305" s="644">
        <v>112832</v>
      </c>
      <c r="AO305" s="637"/>
      <c r="AP305" s="629">
        <v>8.0867344347771031</v>
      </c>
      <c r="AR305" s="630">
        <v>0</v>
      </c>
    </row>
    <row r="306" spans="1:44" x14ac:dyDescent="0.25">
      <c r="A306" s="645"/>
      <c r="B306" s="646">
        <f>COUNTA(B6:B305)</f>
        <v>300</v>
      </c>
      <c r="C306" s="400">
        <f t="shared" ref="C306:S306" si="21">SUM(C6:C305)</f>
        <v>1711502392.7199996</v>
      </c>
      <c r="D306" s="400">
        <f t="shared" si="21"/>
        <v>336910192.03000033</v>
      </c>
      <c r="E306" s="400">
        <f t="shared" si="21"/>
        <v>0</v>
      </c>
      <c r="F306" s="400">
        <f t="shared" si="21"/>
        <v>120898.59999999999</v>
      </c>
      <c r="G306" s="400">
        <f t="shared" si="21"/>
        <v>293261559.3499999</v>
      </c>
      <c r="H306" s="400">
        <f t="shared" si="21"/>
        <v>35670555.449999981</v>
      </c>
      <c r="I306" s="400">
        <f t="shared" si="21"/>
        <v>40975270.140000008</v>
      </c>
      <c r="J306" s="400">
        <f t="shared" si="21"/>
        <v>80353589.530000046</v>
      </c>
      <c r="K306" s="400">
        <f t="shared" si="21"/>
        <v>21427695.000000004</v>
      </c>
      <c r="L306" s="400">
        <f t="shared" si="21"/>
        <v>232116977.22000006</v>
      </c>
      <c r="M306" s="435">
        <f t="shared" si="21"/>
        <v>2752339130.0400023</v>
      </c>
      <c r="N306" s="400">
        <f t="shared" si="21"/>
        <v>86039533.399999931</v>
      </c>
      <c r="O306" s="400">
        <f t="shared" si="21"/>
        <v>90536177.850000024</v>
      </c>
      <c r="P306" s="400">
        <f t="shared" si="21"/>
        <v>113873479.40000005</v>
      </c>
      <c r="Q306" s="400">
        <f t="shared" si="21"/>
        <v>9674237.9099999946</v>
      </c>
      <c r="R306" s="400">
        <f t="shared" si="21"/>
        <v>91217415.00000006</v>
      </c>
      <c r="S306" s="400">
        <f t="shared" si="21"/>
        <v>34374977.730000004</v>
      </c>
      <c r="T306" s="544">
        <f t="shared" ref="T306" si="22">SUM(M306:S306)</f>
        <v>3178054951.3300023</v>
      </c>
      <c r="U306" s="400">
        <f>SUM(U6:U305)</f>
        <v>-31681422.970000003</v>
      </c>
      <c r="V306" s="400">
        <f>SUM(V6:V305)</f>
        <v>-35431.199999999997</v>
      </c>
      <c r="W306" s="400">
        <f>SUM(W6:W305)</f>
        <v>-5868235.3999999985</v>
      </c>
      <c r="X306" s="401"/>
      <c r="Y306" s="401"/>
      <c r="Z306" s="400">
        <f>SUM(Z6:Z305)</f>
        <v>830791</v>
      </c>
      <c r="AA306" s="647"/>
      <c r="AB306" s="540">
        <f>SUM(AB6:AB305)</f>
        <v>54848969.359999999</v>
      </c>
      <c r="AC306" s="541">
        <f>AB306/VPI!R306</f>
        <v>1.3620618705141723</v>
      </c>
      <c r="AD306" s="542">
        <f>SUM(AD6:AD305)</f>
        <v>192598785.30000001</v>
      </c>
      <c r="AE306" s="541">
        <f>AD306/VPI!R306</f>
        <v>4.7827965561698838</v>
      </c>
      <c r="AF306" s="540">
        <f>SUM(AF6:AF305)</f>
        <v>247447754.66</v>
      </c>
      <c r="AG306" s="540">
        <f>SUM(AG6:AG305)</f>
        <v>210221660.65000001</v>
      </c>
      <c r="AH306" s="540">
        <f>SUM(AH6:AH305)</f>
        <v>40123998</v>
      </c>
      <c r="AJ306" s="540">
        <f>SUM(AJ6:AJ305)</f>
        <v>602221</v>
      </c>
      <c r="AK306" s="541">
        <f>AJ306/VPI!R306</f>
        <v>1.4954925704057301E-2</v>
      </c>
      <c r="AL306" s="542">
        <f>SUM(AL6:AL305)</f>
        <v>19716726.509999998</v>
      </c>
      <c r="AM306" s="541">
        <f>AL306/VPI!R306</f>
        <v>0.48962453996832889</v>
      </c>
      <c r="AN306" s="540">
        <f>SUM(AN6:AN305)</f>
        <v>20318947.509999998</v>
      </c>
      <c r="AP306" s="648"/>
      <c r="AR306" s="649">
        <f>SUM(AR6:AR305)</f>
        <v>51</v>
      </c>
    </row>
    <row r="307" spans="1:44" s="576" customFormat="1" x14ac:dyDescent="0.25">
      <c r="A307" s="577"/>
      <c r="C307" s="650"/>
      <c r="T307" s="578"/>
      <c r="AB307" s="651"/>
      <c r="AC307" s="581"/>
      <c r="AD307" s="651"/>
      <c r="AE307" s="651"/>
      <c r="AF307" s="651"/>
      <c r="AG307" s="651"/>
      <c r="AH307" s="651"/>
      <c r="AI307" s="651"/>
      <c r="AJ307" s="651"/>
      <c r="AK307" s="651"/>
      <c r="AL307" s="651"/>
      <c r="AM307" s="651"/>
      <c r="AN307" s="651">
        <f>COUNTA(AN6:AN305)</f>
        <v>261</v>
      </c>
    </row>
    <row r="308" spans="1:44" x14ac:dyDescent="0.25">
      <c r="C308" s="575"/>
      <c r="M308" s="576"/>
      <c r="N308" s="575"/>
      <c r="O308" s="575"/>
      <c r="P308" s="575"/>
      <c r="Q308" s="575"/>
      <c r="R308" s="575"/>
      <c r="S308" s="575"/>
      <c r="Z308" s="575"/>
      <c r="AL308" s="651"/>
    </row>
    <row r="311" spans="1:44" x14ac:dyDescent="0.25">
      <c r="D311" s="647"/>
      <c r="E311" s="647"/>
      <c r="F311" s="647"/>
      <c r="G311" s="647"/>
      <c r="H311" s="647"/>
      <c r="I311" s="647"/>
      <c r="J311" s="647"/>
      <c r="K311" s="647"/>
      <c r="L311" s="647"/>
      <c r="M311" s="647"/>
      <c r="N311" s="647"/>
      <c r="O311" s="647"/>
      <c r="P311" s="647"/>
      <c r="Q311" s="647"/>
      <c r="R311" s="647"/>
      <c r="S311" s="647"/>
      <c r="T311" s="653"/>
      <c r="U311" s="647"/>
      <c r="V311" s="647"/>
      <c r="W311" s="647"/>
      <c r="X311" s="647"/>
      <c r="Y311" s="647"/>
      <c r="Z311" s="647"/>
      <c r="AA311" s="647"/>
      <c r="AB311" s="654"/>
      <c r="AC311" s="654"/>
      <c r="AD311" s="654"/>
      <c r="AE311" s="654"/>
      <c r="AF311" s="654"/>
      <c r="AG311" s="654"/>
      <c r="AH311" s="654"/>
      <c r="AI311" s="654"/>
      <c r="AJ311" s="654"/>
      <c r="AK311" s="654"/>
      <c r="AL311" s="654"/>
      <c r="AM311" s="654"/>
      <c r="AN311" s="654"/>
      <c r="AO311" s="647"/>
      <c r="AP311" s="647"/>
      <c r="AQ311" s="647"/>
      <c r="AR311" s="647"/>
    </row>
    <row r="320" spans="1:44" x14ac:dyDescent="0.25">
      <c r="D320" s="647"/>
      <c r="E320" s="647"/>
      <c r="F320" s="647"/>
      <c r="G320" s="647"/>
      <c r="H320" s="647"/>
      <c r="I320" s="647"/>
      <c r="J320" s="647"/>
      <c r="K320" s="647"/>
      <c r="L320" s="647"/>
      <c r="M320" s="647"/>
      <c r="N320" s="647"/>
      <c r="O320" s="647"/>
      <c r="P320" s="647"/>
      <c r="Q320" s="647"/>
      <c r="R320" s="647"/>
      <c r="S320" s="647"/>
      <c r="T320" s="653"/>
      <c r="U320" s="647"/>
      <c r="V320" s="647"/>
      <c r="W320" s="647"/>
      <c r="X320" s="647"/>
      <c r="Y320" s="647"/>
      <c r="Z320" s="647"/>
      <c r="AA320" s="647"/>
      <c r="AB320" s="654"/>
      <c r="AC320" s="654"/>
      <c r="AD320" s="654"/>
      <c r="AE320" s="654"/>
      <c r="AF320" s="654"/>
      <c r="AG320" s="654"/>
      <c r="AH320" s="654"/>
      <c r="AI320" s="654"/>
      <c r="AJ320" s="654"/>
      <c r="AK320" s="654"/>
      <c r="AL320" s="654"/>
      <c r="AM320" s="654"/>
      <c r="AN320" s="654"/>
      <c r="AO320" s="647"/>
      <c r="AP320" s="647"/>
      <c r="AQ320" s="647"/>
      <c r="AR320" s="647"/>
    </row>
    <row r="324" spans="1:44" x14ac:dyDescent="0.25">
      <c r="D324" s="647"/>
      <c r="E324" s="647"/>
      <c r="F324" s="647"/>
      <c r="G324" s="647"/>
      <c r="H324" s="647"/>
      <c r="I324" s="647"/>
      <c r="J324" s="647"/>
      <c r="K324" s="647"/>
      <c r="L324" s="647"/>
      <c r="M324" s="647"/>
      <c r="N324" s="647"/>
      <c r="O324" s="647"/>
      <c r="P324" s="647"/>
      <c r="Q324" s="647"/>
      <c r="R324" s="647"/>
      <c r="S324" s="647"/>
      <c r="T324" s="653"/>
      <c r="U324" s="647"/>
      <c r="V324" s="647"/>
      <c r="W324" s="647"/>
      <c r="X324" s="647"/>
      <c r="Y324" s="647"/>
      <c r="Z324" s="647"/>
      <c r="AA324" s="647"/>
      <c r="AB324" s="654"/>
      <c r="AC324" s="654"/>
      <c r="AD324" s="654"/>
      <c r="AE324" s="654"/>
      <c r="AF324" s="654"/>
      <c r="AG324" s="654"/>
      <c r="AH324" s="654"/>
      <c r="AI324" s="654"/>
      <c r="AJ324" s="654"/>
      <c r="AK324" s="654"/>
      <c r="AL324" s="654"/>
      <c r="AM324" s="654"/>
      <c r="AN324" s="654"/>
      <c r="AO324" s="647"/>
      <c r="AP324" s="647"/>
      <c r="AQ324" s="647"/>
      <c r="AR324" s="647"/>
    </row>
    <row r="328" spans="1:44" x14ac:dyDescent="0.25">
      <c r="D328" s="647"/>
      <c r="E328" s="647"/>
      <c r="F328" s="647"/>
      <c r="G328" s="647"/>
      <c r="H328" s="647"/>
      <c r="I328" s="647"/>
      <c r="J328" s="647"/>
      <c r="K328" s="647"/>
      <c r="L328" s="647"/>
      <c r="M328" s="647"/>
      <c r="N328" s="647"/>
      <c r="O328" s="647"/>
      <c r="P328" s="647"/>
      <c r="Q328" s="647"/>
      <c r="R328" s="647"/>
      <c r="S328" s="647"/>
      <c r="T328" s="653"/>
      <c r="U328" s="647"/>
      <c r="V328" s="647"/>
      <c r="W328" s="647"/>
      <c r="X328" s="647"/>
      <c r="Y328" s="647"/>
      <c r="Z328" s="647"/>
      <c r="AA328" s="647"/>
      <c r="AB328" s="654"/>
      <c r="AC328" s="654"/>
      <c r="AD328" s="654"/>
      <c r="AE328" s="654"/>
      <c r="AF328" s="654"/>
      <c r="AG328" s="654"/>
      <c r="AH328" s="654"/>
      <c r="AI328" s="654"/>
      <c r="AJ328" s="654"/>
      <c r="AK328" s="654"/>
      <c r="AL328" s="654"/>
      <c r="AM328" s="654"/>
      <c r="AN328" s="654"/>
      <c r="AO328" s="647"/>
      <c r="AP328" s="647"/>
      <c r="AQ328" s="647"/>
      <c r="AR328" s="647"/>
    </row>
    <row r="331" spans="1:44" s="576" customFormat="1" x14ac:dyDescent="0.25">
      <c r="A331" s="577"/>
      <c r="C331" s="650"/>
      <c r="T331" s="578"/>
      <c r="AB331" s="651"/>
      <c r="AC331" s="651"/>
      <c r="AD331" s="651"/>
      <c r="AE331" s="651"/>
      <c r="AF331" s="651"/>
      <c r="AG331" s="651"/>
      <c r="AH331" s="651"/>
      <c r="AI331" s="651"/>
      <c r="AJ331" s="651"/>
      <c r="AK331" s="651"/>
      <c r="AL331" s="651"/>
      <c r="AM331" s="651"/>
      <c r="AN331" s="651"/>
    </row>
    <row r="332" spans="1:44" s="576" customFormat="1" x14ac:dyDescent="0.25">
      <c r="A332" s="577"/>
      <c r="C332" s="650"/>
      <c r="D332" s="650"/>
      <c r="E332" s="650"/>
      <c r="F332" s="650"/>
      <c r="G332" s="650"/>
      <c r="H332" s="650"/>
      <c r="I332" s="650"/>
      <c r="J332" s="650"/>
      <c r="K332" s="650"/>
      <c r="L332" s="650"/>
      <c r="M332" s="650"/>
      <c r="N332" s="650"/>
      <c r="O332" s="650"/>
      <c r="P332" s="650"/>
      <c r="Q332" s="650"/>
      <c r="R332" s="650"/>
      <c r="S332" s="650"/>
      <c r="T332" s="653"/>
      <c r="U332" s="650"/>
      <c r="V332" s="650"/>
      <c r="W332" s="650"/>
      <c r="X332" s="650"/>
      <c r="Y332" s="650"/>
      <c r="Z332" s="650"/>
      <c r="AA332" s="650"/>
      <c r="AB332" s="655"/>
      <c r="AC332" s="655"/>
      <c r="AD332" s="655"/>
      <c r="AE332" s="655"/>
      <c r="AF332" s="655"/>
      <c r="AG332" s="655"/>
      <c r="AH332" s="655"/>
      <c r="AI332" s="655"/>
      <c r="AJ332" s="655"/>
      <c r="AK332" s="655"/>
      <c r="AL332" s="655"/>
      <c r="AM332" s="655"/>
      <c r="AN332" s="655"/>
      <c r="AO332" s="650"/>
      <c r="AP332" s="650"/>
      <c r="AQ332" s="650"/>
      <c r="AR332" s="650"/>
    </row>
    <row r="333" spans="1:44" s="576" customFormat="1" x14ac:dyDescent="0.25">
      <c r="A333" s="577"/>
      <c r="C333" s="650"/>
      <c r="D333" s="650"/>
      <c r="E333" s="650"/>
      <c r="F333" s="650"/>
      <c r="G333" s="650"/>
      <c r="H333" s="650"/>
      <c r="I333" s="650"/>
      <c r="J333" s="650"/>
      <c r="K333" s="650"/>
      <c r="L333" s="650"/>
      <c r="M333" s="650"/>
      <c r="N333" s="650"/>
      <c r="O333" s="650"/>
      <c r="P333" s="650"/>
      <c r="Q333" s="650"/>
      <c r="R333" s="650"/>
      <c r="S333" s="650"/>
      <c r="T333" s="653"/>
      <c r="U333" s="650"/>
      <c r="V333" s="650"/>
      <c r="W333" s="650"/>
      <c r="X333" s="650"/>
      <c r="Y333" s="650"/>
      <c r="Z333" s="650"/>
      <c r="AA333" s="650"/>
      <c r="AB333" s="655"/>
      <c r="AC333" s="655"/>
      <c r="AD333" s="655"/>
      <c r="AE333" s="655"/>
      <c r="AF333" s="655"/>
      <c r="AG333" s="655"/>
      <c r="AH333" s="655"/>
      <c r="AI333" s="655"/>
      <c r="AJ333" s="655"/>
      <c r="AK333" s="655"/>
      <c r="AL333" s="655"/>
      <c r="AM333" s="655"/>
      <c r="AN333" s="655"/>
      <c r="AO333" s="650"/>
      <c r="AP333" s="650"/>
      <c r="AQ333" s="650"/>
      <c r="AR333" s="650"/>
    </row>
    <row r="335" spans="1:44" x14ac:dyDescent="0.25">
      <c r="C335" s="656"/>
      <c r="D335" s="656"/>
    </row>
    <row r="336" spans="1:44" x14ac:dyDescent="0.25">
      <c r="C336" s="656"/>
      <c r="D336" s="656"/>
    </row>
    <row r="337" spans="3:4" x14ac:dyDescent="0.25">
      <c r="C337" s="656"/>
      <c r="D337" s="656"/>
    </row>
    <row r="338" spans="3:4" x14ac:dyDescent="0.25">
      <c r="C338" s="656"/>
      <c r="D338" s="656"/>
    </row>
  </sheetData>
  <sheetProtection sheet="1" objects="1" scenarios="1"/>
  <protectedRanges>
    <protectedRange sqref="AF276:AH305 AF236:AH274 AF156:AH234 AF6:AH67 AF69:AH154" name="Plage5"/>
    <protectedRange sqref="U306:Z306" name="Plage3"/>
    <protectedRange sqref="AB276:AB305 AB236:AB274 AB156:AB234 AB6:AB67 AB69:AB154" name="Plage4"/>
    <protectedRange sqref="AJ276:AJ305 AN262 AJ156:AJ234 AJ6:AJ67 AJ236:AJ261 AJ263:AJ274 AJ69:AJ154" name="Plage6"/>
    <protectedRange sqref="AP6:AP305" name="Plage8"/>
    <protectedRange sqref="A7:B305" name="Plage1_1"/>
    <protectedRange sqref="G264:G265 H265 I295:L305 I294:K294 E156:E162 I276:L293 C276:H305 C275:L275 G267:H274 E267:E274 E236:E262 G236:H263 I236:L274 C236:D274 F236:F274 C235:L235 F156:L234 C156:D234 E164:E234 C6:L155 AF155:AJ155 AF275:AJ275 AF235:AJ235 AF68:AJ68 AN155:AO155 AN275:AO275 AN235:AO235 AN68:AO68 AQ155:AR155 AQ275:AR275 AQ235:AR235 AQ68:AR68 U155:Y155 U275:Y275 U235:Y235 U68:Y68 V1 N275:R275 N235:R235 N155:R155 N68:R68 AA155:AB155 AA275:AB275 AA235:AB235 AA68:AB68" name="Plage1_1_1"/>
    <protectedRange sqref="E163" name="Plage1_3"/>
    <protectedRange sqref="L294" name="Plage1_1_1_1"/>
    <protectedRange sqref="N276:R305 N236:R274 N156:R234 N6:R67 N69:R154" name="Plage1_2"/>
    <protectedRange sqref="S6:S305" name="Plage1_1_2"/>
    <protectedRange sqref="U276:W305 U236:W274 U156:W234 U6:W67 U69:W154" name="Plage1_4"/>
    <protectedRange sqref="X276:X305 X236:X274 X156:X234 X6:X67 X69:X154" name="Plage1_5"/>
    <protectedRange sqref="Z6:Z305" name="Plage1_6"/>
    <protectedRange sqref="AR276:AR305 AR236:AR274 AR156:AR234 AR6:AR67 AR69:AR154" name="Plage1_7"/>
  </protectedRanges>
  <mergeCells count="19">
    <mergeCell ref="AR4:AR5"/>
    <mergeCell ref="AN4:AN5"/>
    <mergeCell ref="A4:A5"/>
    <mergeCell ref="B4:B5"/>
    <mergeCell ref="Q4:Q5"/>
    <mergeCell ref="Y4:Y5"/>
    <mergeCell ref="U4:U5"/>
    <mergeCell ref="W4:W5"/>
    <mergeCell ref="V4:V5"/>
    <mergeCell ref="S4:S5"/>
    <mergeCell ref="AB3:AF3"/>
    <mergeCell ref="AB4:AC4"/>
    <mergeCell ref="AJ4:AK4"/>
    <mergeCell ref="AL4:AM4"/>
    <mergeCell ref="AJ3:AN3"/>
    <mergeCell ref="AD4:AE4"/>
    <mergeCell ref="AF4:AF5"/>
    <mergeCell ref="AG4:AG5"/>
    <mergeCell ref="AH4:AH5"/>
  </mergeCells>
  <phoneticPr fontId="20" type="noConversion"/>
  <hyperlinks>
    <hyperlink ref="C1" location="Recherche!A1" display="← Précédent" xr:uid="{9DFAD010-0C97-42DF-A3FC-76FBADDC6AFF}"/>
    <hyperlink ref="D1" location="'Table des matières'!A1" display="Table des matières" xr:uid="{DD040F16-3F41-415E-ABBC-CF6EBDE17DB0}"/>
    <hyperlink ref="E1" location="VPI!A1" display="Suivant →" xr:uid="{0BFBE454-28CA-492D-AAD2-6B120C6EA93F}"/>
  </hyperlinks>
  <pageMargins left="0.19685039370078741" right="0.39370078740157483"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theme="3" tint="0.59999389629810485"/>
  </sheetPr>
  <dimension ref="A1:R315"/>
  <sheetViews>
    <sheetView zoomScaleNormal="100" workbookViewId="0">
      <pane ySplit="5" topLeftCell="A6" activePane="bottomLeft" state="frozen"/>
      <selection activeCell="D32" sqref="D32"/>
      <selection pane="bottomLeft" activeCell="A6" sqref="A6"/>
    </sheetView>
  </sheetViews>
  <sheetFormatPr baseColWidth="10" defaultColWidth="8.625" defaultRowHeight="15" x14ac:dyDescent="0.25"/>
  <cols>
    <col min="1" max="1" width="7.625" style="3" customWidth="1"/>
    <col min="2" max="2" width="21.625" style="11" customWidth="1"/>
    <col min="3" max="3" width="12" style="11" customWidth="1"/>
    <col min="4" max="4" width="20.625" style="5" customWidth="1"/>
    <col min="5" max="5" width="12" style="11" bestFit="1" customWidth="1"/>
    <col min="6" max="6" width="9.875" style="5" bestFit="1" customWidth="1"/>
    <col min="7" max="7" width="10.25" style="11" bestFit="1" customWidth="1"/>
    <col min="8" max="8" width="9.875" style="11" bestFit="1" customWidth="1"/>
    <col min="9" max="9" width="12.875" style="11" customWidth="1"/>
    <col min="10" max="10" width="10.25" style="11" customWidth="1"/>
    <col min="11" max="11" width="15.75" style="11" customWidth="1"/>
    <col min="12" max="12" width="13" style="202" customWidth="1"/>
    <col min="13" max="13" width="10" style="11" bestFit="1" customWidth="1"/>
    <col min="14" max="14" width="13.375" style="11" customWidth="1"/>
    <col min="15" max="15" width="12.875" style="13" customWidth="1"/>
    <col min="16" max="16" width="14.25" style="11" bestFit="1" customWidth="1"/>
    <col min="17" max="17" width="11.25" style="11" customWidth="1"/>
    <col min="18" max="18" width="14.25" style="11" customWidth="1"/>
    <col min="19" max="19" width="9.875" style="11" bestFit="1" customWidth="1"/>
    <col min="20" max="16384" width="8.625" style="11"/>
  </cols>
  <sheetData>
    <row r="1" spans="1:18" ht="26.25" customHeight="1" x14ac:dyDescent="0.4">
      <c r="A1" s="253" t="s">
        <v>411</v>
      </c>
      <c r="B1" s="21"/>
      <c r="C1" s="21"/>
      <c r="E1" s="277" t="s">
        <v>405</v>
      </c>
      <c r="F1" s="278" t="s">
        <v>397</v>
      </c>
      <c r="G1" s="439" t="s">
        <v>406</v>
      </c>
      <c r="H1" s="3"/>
      <c r="I1" s="340"/>
      <c r="J1" s="340"/>
      <c r="K1" s="340"/>
      <c r="L1" s="340"/>
      <c r="M1" s="340"/>
      <c r="N1" s="340"/>
      <c r="O1" s="340"/>
      <c r="P1" s="340"/>
      <c r="Q1" s="340"/>
      <c r="R1" s="340"/>
    </row>
    <row r="2" spans="1:18" ht="15.75" customHeight="1" x14ac:dyDescent="0.35">
      <c r="A2" s="329" t="str">
        <f>Paramètres!B4</f>
        <v>Décompte 2022</v>
      </c>
      <c r="C2" s="20"/>
      <c r="E2" s="23"/>
      <c r="G2" s="24"/>
      <c r="H2" s="3"/>
      <c r="I2" s="340"/>
      <c r="J2" s="340"/>
      <c r="K2" s="340"/>
      <c r="L2" s="340"/>
      <c r="M2" s="340"/>
      <c r="N2" s="340"/>
      <c r="O2" s="340"/>
      <c r="P2" s="340"/>
      <c r="Q2" s="340"/>
      <c r="R2" s="340"/>
    </row>
    <row r="3" spans="1:18" x14ac:dyDescent="0.25">
      <c r="A3" s="2"/>
      <c r="B3" s="330"/>
      <c r="C3" s="3"/>
      <c r="E3" s="23"/>
      <c r="G3" s="3"/>
      <c r="H3" s="3"/>
      <c r="I3" s="3"/>
      <c r="J3" s="3"/>
      <c r="K3" s="3"/>
    </row>
    <row r="4" spans="1:18" s="14" customFormat="1" ht="45" x14ac:dyDescent="0.2">
      <c r="A4" s="728" t="s">
        <v>44</v>
      </c>
      <c r="B4" s="724" t="s">
        <v>84</v>
      </c>
      <c r="C4" s="402" t="s">
        <v>515</v>
      </c>
      <c r="D4" s="402" t="s">
        <v>516</v>
      </c>
      <c r="E4" s="403" t="s">
        <v>419</v>
      </c>
      <c r="F4" s="402" t="s">
        <v>530</v>
      </c>
      <c r="G4" s="402" t="s">
        <v>312</v>
      </c>
      <c r="H4" s="730" t="s">
        <v>218</v>
      </c>
      <c r="I4" s="732" t="s">
        <v>529</v>
      </c>
      <c r="J4" s="730" t="s">
        <v>219</v>
      </c>
      <c r="K4" s="730" t="s">
        <v>337</v>
      </c>
      <c r="L4" s="726" t="s">
        <v>288</v>
      </c>
      <c r="M4" s="402" t="s">
        <v>223</v>
      </c>
      <c r="N4" s="402" t="s">
        <v>450</v>
      </c>
      <c r="O4" s="724" t="s">
        <v>420</v>
      </c>
      <c r="P4" s="726" t="s">
        <v>364</v>
      </c>
      <c r="Q4" s="404" t="s">
        <v>71</v>
      </c>
      <c r="R4" s="409" t="s">
        <v>413</v>
      </c>
    </row>
    <row r="5" spans="1:18" ht="14.25" customHeight="1" x14ac:dyDescent="0.25">
      <c r="A5" s="729"/>
      <c r="B5" s="725"/>
      <c r="C5" s="405" t="s">
        <v>531</v>
      </c>
      <c r="D5" s="406" t="s">
        <v>532</v>
      </c>
      <c r="E5" s="407" t="s">
        <v>72</v>
      </c>
      <c r="F5" s="405" t="s">
        <v>74</v>
      </c>
      <c r="G5" s="406" t="s">
        <v>75</v>
      </c>
      <c r="H5" s="731"/>
      <c r="I5" s="733"/>
      <c r="J5" s="731"/>
      <c r="K5" s="731"/>
      <c r="L5" s="727"/>
      <c r="M5" s="406" t="s">
        <v>73</v>
      </c>
      <c r="N5" s="406" t="s">
        <v>76</v>
      </c>
      <c r="O5" s="725"/>
      <c r="P5" s="727"/>
      <c r="Q5" s="408">
        <f>Paramètres!B5</f>
        <v>2022</v>
      </c>
      <c r="R5" s="410">
        <f>Paramètres!B5</f>
        <v>2022</v>
      </c>
    </row>
    <row r="6" spans="1:18" x14ac:dyDescent="0.25">
      <c r="A6" s="7">
        <f>Données!A6</f>
        <v>5401</v>
      </c>
      <c r="B6" s="27" t="str">
        <f>Données!B6</f>
        <v>Aigle</v>
      </c>
      <c r="C6" s="8">
        <f>Données!C6+Données!D6</f>
        <v>15269577.16</v>
      </c>
      <c r="D6" s="8">
        <f>+Données!G6+Données!H6+Données!S6</f>
        <v>1402436.6700000002</v>
      </c>
      <c r="E6" s="8">
        <f>+Données!E6</f>
        <v>0</v>
      </c>
      <c r="F6" s="8">
        <f>+Données!I6</f>
        <v>46694.29</v>
      </c>
      <c r="G6" s="8">
        <f>+Données!J6</f>
        <v>732596.5</v>
      </c>
      <c r="H6" s="8">
        <f>Données!U6</f>
        <v>-379686.17</v>
      </c>
      <c r="I6" s="26">
        <f>Données!V6</f>
        <v>0</v>
      </c>
      <c r="J6" s="26">
        <f>Données!W6</f>
        <v>-10950.15</v>
      </c>
      <c r="K6" s="8">
        <f>+Données!Q6</f>
        <v>67721.289999999994</v>
      </c>
      <c r="L6" s="411">
        <f>SUM(C6:K6)</f>
        <v>17128389.589999996</v>
      </c>
      <c r="M6" s="8">
        <f>+Données!F6</f>
        <v>0</v>
      </c>
      <c r="N6" s="8">
        <f>+Données!K6</f>
        <v>228798.45</v>
      </c>
      <c r="O6" s="8">
        <f>(Données!L6/Données!Y6)*1</f>
        <v>2088690</v>
      </c>
      <c r="P6" s="411">
        <f>SUM(L6:O6)</f>
        <v>19445878.039999995</v>
      </c>
      <c r="Q6" s="28">
        <f>+Données!X6</f>
        <v>66</v>
      </c>
      <c r="R6" s="411">
        <f t="shared" ref="R6" si="0">P6/Q6</f>
        <v>294634.51575757569</v>
      </c>
    </row>
    <row r="7" spans="1:18" x14ac:dyDescent="0.25">
      <c r="A7" s="7">
        <f>Données!A7</f>
        <v>5402</v>
      </c>
      <c r="B7" s="27" t="str">
        <f>Données!B7</f>
        <v>Bex</v>
      </c>
      <c r="C7" s="8">
        <f>Données!C7+Données!D7</f>
        <v>11038183.720000001</v>
      </c>
      <c r="D7" s="8">
        <f>+Données!G7+Données!H7+Données!S7</f>
        <v>800561.16999999993</v>
      </c>
      <c r="E7" s="8">
        <f>+Données!E7</f>
        <v>0</v>
      </c>
      <c r="F7" s="8">
        <f>+Données!I7</f>
        <v>27379.55</v>
      </c>
      <c r="G7" s="8">
        <f>+Données!J7</f>
        <v>377996.02</v>
      </c>
      <c r="H7" s="8">
        <f>Données!U7</f>
        <v>-258933.35</v>
      </c>
      <c r="I7" s="198">
        <f>Données!V7</f>
        <v>0</v>
      </c>
      <c r="J7" s="198">
        <f>Données!W7</f>
        <v>-1175.92</v>
      </c>
      <c r="K7" s="8">
        <f>+Données!Q7</f>
        <v>106337.92</v>
      </c>
      <c r="L7" s="411">
        <f t="shared" ref="L7:L70" si="1">SUM(C7:K7)</f>
        <v>12090349.110000001</v>
      </c>
      <c r="M7" s="8">
        <f>+Données!F7</f>
        <v>0</v>
      </c>
      <c r="N7" s="8">
        <f>+Données!K7</f>
        <v>133607.20000000001</v>
      </c>
      <c r="O7" s="8">
        <f>(Données!L7/Données!Y7)*1</f>
        <v>1405288</v>
      </c>
      <c r="P7" s="411">
        <f t="shared" ref="P7:P70" si="2">SUM(L7:O7)</f>
        <v>13629244.310000001</v>
      </c>
      <c r="Q7" s="223">
        <f>+Données!X7</f>
        <v>71</v>
      </c>
      <c r="R7" s="411">
        <f t="shared" ref="R7:R70" si="3">P7/Q7</f>
        <v>191961.18746478873</v>
      </c>
    </row>
    <row r="8" spans="1:18" x14ac:dyDescent="0.25">
      <c r="A8" s="7">
        <f>Données!A8</f>
        <v>5403</v>
      </c>
      <c r="B8" s="27" t="str">
        <f>Données!B8</f>
        <v>Chessel</v>
      </c>
      <c r="C8" s="8">
        <f>Données!C8+Données!D8</f>
        <v>697507.13</v>
      </c>
      <c r="D8" s="8">
        <f>+Données!G8+Données!H8+Données!S8</f>
        <v>69410.2</v>
      </c>
      <c r="E8" s="8">
        <f>+Données!E8</f>
        <v>0</v>
      </c>
      <c r="F8" s="8">
        <f>+Données!I8</f>
        <v>0</v>
      </c>
      <c r="G8" s="8">
        <f>+Données!J8</f>
        <v>41708.410000000003</v>
      </c>
      <c r="H8" s="8">
        <f>Données!U8</f>
        <v>-27602.83</v>
      </c>
      <c r="I8" s="198">
        <f>Données!V8</f>
        <v>0</v>
      </c>
      <c r="J8" s="198">
        <f>Données!W8</f>
        <v>0.59</v>
      </c>
      <c r="K8" s="8">
        <f>+Données!Q8</f>
        <v>1744.89</v>
      </c>
      <c r="L8" s="411">
        <f t="shared" si="1"/>
        <v>782768.39</v>
      </c>
      <c r="M8" s="8">
        <f>+Données!F8</f>
        <v>0</v>
      </c>
      <c r="N8" s="8">
        <f>+Données!K8</f>
        <v>6861.1</v>
      </c>
      <c r="O8" s="8">
        <f>(Données!L8/Données!Y8)*1</f>
        <v>89263.5</v>
      </c>
      <c r="P8" s="411">
        <f t="shared" si="2"/>
        <v>878892.99</v>
      </c>
      <c r="Q8" s="223">
        <f>+Données!X8</f>
        <v>65</v>
      </c>
      <c r="R8" s="411">
        <f t="shared" si="3"/>
        <v>13521.430615384616</v>
      </c>
    </row>
    <row r="9" spans="1:18" x14ac:dyDescent="0.25">
      <c r="A9" s="7">
        <f>Données!A9</f>
        <v>5404</v>
      </c>
      <c r="B9" s="27" t="str">
        <f>Données!B9</f>
        <v>Corbeyrier</v>
      </c>
      <c r="C9" s="8">
        <f>Données!C9+Données!D9</f>
        <v>769815.99</v>
      </c>
      <c r="D9" s="8">
        <f>+Données!G9+Données!H9+Données!S9</f>
        <v>6638.13</v>
      </c>
      <c r="E9" s="8">
        <f>+Données!E9</f>
        <v>0</v>
      </c>
      <c r="F9" s="8">
        <f>+Données!I9</f>
        <v>0</v>
      </c>
      <c r="G9" s="8">
        <f>+Données!J9</f>
        <v>8970.39</v>
      </c>
      <c r="H9" s="8">
        <f>Données!U9</f>
        <v>-12569.58</v>
      </c>
      <c r="I9" s="198">
        <f>Données!V9</f>
        <v>0</v>
      </c>
      <c r="J9" s="198">
        <f>Données!W9</f>
        <v>-1764.13</v>
      </c>
      <c r="K9" s="8">
        <f>+Données!Q9</f>
        <v>553.05999999999995</v>
      </c>
      <c r="L9" s="411">
        <f t="shared" si="1"/>
        <v>771643.8600000001</v>
      </c>
      <c r="M9" s="8">
        <f>+Données!F9</f>
        <v>0</v>
      </c>
      <c r="N9" s="8">
        <f>+Données!K9</f>
        <v>1763.05</v>
      </c>
      <c r="O9" s="8">
        <f>(Données!L9/Données!Y9)*1</f>
        <v>89673.433333333334</v>
      </c>
      <c r="P9" s="411">
        <f t="shared" si="2"/>
        <v>863080.3433333335</v>
      </c>
      <c r="Q9" s="223">
        <f>+Données!X9</f>
        <v>74</v>
      </c>
      <c r="R9" s="411">
        <f t="shared" si="3"/>
        <v>11663.247882882884</v>
      </c>
    </row>
    <row r="10" spans="1:18" x14ac:dyDescent="0.25">
      <c r="A10" s="7">
        <f>Données!A10</f>
        <v>5405</v>
      </c>
      <c r="B10" s="27" t="str">
        <f>Données!B10</f>
        <v>Gryon</v>
      </c>
      <c r="C10" s="8">
        <f>Données!C10+Données!D10</f>
        <v>4342407.32</v>
      </c>
      <c r="D10" s="8">
        <f>+Données!G10+Données!H10+Données!S10</f>
        <v>139833.88</v>
      </c>
      <c r="E10" s="8">
        <f>+Données!E10</f>
        <v>0</v>
      </c>
      <c r="F10" s="8">
        <f>+Données!I10</f>
        <v>84568.01</v>
      </c>
      <c r="G10" s="8">
        <f>+Données!J10</f>
        <v>155104.95000000001</v>
      </c>
      <c r="H10" s="8">
        <f>Données!U10</f>
        <v>-276779.18</v>
      </c>
      <c r="I10" s="198">
        <f>Données!V10</f>
        <v>0</v>
      </c>
      <c r="J10" s="198">
        <f>Données!W10</f>
        <v>-6866.63</v>
      </c>
      <c r="K10" s="8">
        <f>+Données!Q10</f>
        <v>101969.08</v>
      </c>
      <c r="L10" s="411">
        <f t="shared" si="1"/>
        <v>4540237.4300000006</v>
      </c>
      <c r="M10" s="8">
        <f>+Données!F10</f>
        <v>0</v>
      </c>
      <c r="N10" s="8">
        <f>+Données!K10</f>
        <v>21060.9</v>
      </c>
      <c r="O10" s="8">
        <f>(Données!L10/Données!Y10)*1</f>
        <v>825238.43333333323</v>
      </c>
      <c r="P10" s="411">
        <f t="shared" si="2"/>
        <v>5386536.7633333346</v>
      </c>
      <c r="Q10" s="223">
        <f>+Données!X10</f>
        <v>73.5</v>
      </c>
      <c r="R10" s="411">
        <f t="shared" si="3"/>
        <v>73286.214467120197</v>
      </c>
    </row>
    <row r="11" spans="1:18" x14ac:dyDescent="0.25">
      <c r="A11" s="7">
        <f>Données!A11</f>
        <v>5406</v>
      </c>
      <c r="B11" s="27" t="str">
        <f>Données!B11</f>
        <v>Lavey-Morcles</v>
      </c>
      <c r="C11" s="8">
        <f>Données!C11+Données!D11</f>
        <v>1324702.21</v>
      </c>
      <c r="D11" s="8">
        <f>+Données!G11+Données!H11+Données!S11</f>
        <v>48254.95</v>
      </c>
      <c r="E11" s="8">
        <f>+Données!E11</f>
        <v>0</v>
      </c>
      <c r="F11" s="8">
        <f>+Données!I11</f>
        <v>0</v>
      </c>
      <c r="G11" s="8">
        <f>+Données!J11</f>
        <v>43829.760000000002</v>
      </c>
      <c r="H11" s="8">
        <f>Données!U11</f>
        <v>-19647.5</v>
      </c>
      <c r="I11" s="198">
        <f>Données!V11</f>
        <v>0</v>
      </c>
      <c r="J11" s="198">
        <f>Données!W11</f>
        <v>0</v>
      </c>
      <c r="K11" s="8">
        <f>+Données!Q11</f>
        <v>16420.2</v>
      </c>
      <c r="L11" s="411">
        <f t="shared" si="1"/>
        <v>1413559.6199999999</v>
      </c>
      <c r="M11" s="8">
        <f>+Données!F11</f>
        <v>0</v>
      </c>
      <c r="N11" s="8">
        <f>+Données!K11</f>
        <v>6049.5</v>
      </c>
      <c r="O11" s="8">
        <f>(Données!L11/Données!Y11)*1</f>
        <v>161365.23076923075</v>
      </c>
      <c r="P11" s="411">
        <f t="shared" si="2"/>
        <v>1580974.3507692306</v>
      </c>
      <c r="Q11" s="223">
        <f>+Données!X11</f>
        <v>71.5</v>
      </c>
      <c r="R11" s="411">
        <f t="shared" si="3"/>
        <v>22111.529381387842</v>
      </c>
    </row>
    <row r="12" spans="1:18" x14ac:dyDescent="0.25">
      <c r="A12" s="7">
        <f>Données!A12</f>
        <v>5407</v>
      </c>
      <c r="B12" s="27" t="str">
        <f>Données!B12</f>
        <v>Leysin</v>
      </c>
      <c r="C12" s="8">
        <f>Données!C12+Données!D12</f>
        <v>5457733.4499999993</v>
      </c>
      <c r="D12" s="8">
        <f>+Données!G12+Données!H12+Données!S12</f>
        <v>97110.69</v>
      </c>
      <c r="E12" s="8">
        <f>+Données!E12</f>
        <v>0</v>
      </c>
      <c r="F12" s="8">
        <f>+Données!I12</f>
        <v>79181.899999999994</v>
      </c>
      <c r="G12" s="8">
        <f>+Données!J12</f>
        <v>524661.31999999995</v>
      </c>
      <c r="H12" s="8">
        <f>Données!U12</f>
        <v>-79299.17</v>
      </c>
      <c r="I12" s="198">
        <f>Données!V12</f>
        <v>0</v>
      </c>
      <c r="J12" s="198">
        <f>Données!W12</f>
        <v>-4314.79</v>
      </c>
      <c r="K12" s="8">
        <f>+Données!Q12</f>
        <v>7665.81</v>
      </c>
      <c r="L12" s="411">
        <f t="shared" si="1"/>
        <v>6082739.21</v>
      </c>
      <c r="M12" s="8">
        <f>+Données!F12</f>
        <v>0</v>
      </c>
      <c r="N12" s="8">
        <f>+Données!K12</f>
        <v>66066.5</v>
      </c>
      <c r="O12" s="8">
        <f>(Données!L12/Données!Y12)*1</f>
        <v>858824.46666666667</v>
      </c>
      <c r="P12" s="411">
        <f t="shared" si="2"/>
        <v>7007630.1766666668</v>
      </c>
      <c r="Q12" s="223">
        <f>+Données!X12</f>
        <v>78</v>
      </c>
      <c r="R12" s="411">
        <f t="shared" si="3"/>
        <v>89841.412521367529</v>
      </c>
    </row>
    <row r="13" spans="1:18" x14ac:dyDescent="0.25">
      <c r="A13" s="7">
        <f>Données!A13</f>
        <v>5408</v>
      </c>
      <c r="B13" s="27" t="str">
        <f>Données!B13</f>
        <v>Noville</v>
      </c>
      <c r="C13" s="8">
        <f>Données!C13+Données!D13</f>
        <v>2495077.4800000004</v>
      </c>
      <c r="D13" s="8">
        <f>+Données!G13+Données!H13+Données!S13</f>
        <v>241106.34999999998</v>
      </c>
      <c r="E13" s="8">
        <f>+Données!E13</f>
        <v>0</v>
      </c>
      <c r="F13" s="8">
        <f>+Données!I13</f>
        <v>0</v>
      </c>
      <c r="G13" s="8">
        <f>+Données!J13</f>
        <v>45375.89</v>
      </c>
      <c r="H13" s="8">
        <f>Données!U13</f>
        <v>-12136.44</v>
      </c>
      <c r="I13" s="198">
        <f>Données!V13</f>
        <v>0</v>
      </c>
      <c r="J13" s="198">
        <f>Données!W13</f>
        <v>-315.11</v>
      </c>
      <c r="K13" s="8">
        <f>+Données!Q13</f>
        <v>10805.47</v>
      </c>
      <c r="L13" s="411">
        <f t="shared" si="1"/>
        <v>2779913.6400000011</v>
      </c>
      <c r="M13" s="8">
        <f>+Données!F13</f>
        <v>0</v>
      </c>
      <c r="N13" s="8">
        <f>+Données!K13</f>
        <v>13990.5</v>
      </c>
      <c r="O13" s="8">
        <f>(Données!L13/Données!Y13)*1</f>
        <v>354099.3666666667</v>
      </c>
      <c r="P13" s="411">
        <f t="shared" si="2"/>
        <v>3148003.5066666678</v>
      </c>
      <c r="Q13" s="223">
        <f>+Données!X13</f>
        <v>75</v>
      </c>
      <c r="R13" s="411">
        <f t="shared" si="3"/>
        <v>41973.380088888902</v>
      </c>
    </row>
    <row r="14" spans="1:18" x14ac:dyDescent="0.25">
      <c r="A14" s="7">
        <f>Données!A14</f>
        <v>5409</v>
      </c>
      <c r="B14" s="27" t="str">
        <f>Données!B14</f>
        <v>Ollon</v>
      </c>
      <c r="C14" s="8">
        <f>Données!C14+Données!D14</f>
        <v>20677183.739999998</v>
      </c>
      <c r="D14" s="8">
        <f>+Données!G14+Données!H14+Données!S14</f>
        <v>732664.81</v>
      </c>
      <c r="E14" s="8">
        <f>+Données!E14</f>
        <v>0</v>
      </c>
      <c r="F14" s="8">
        <f>+Données!I14</f>
        <v>2125016.7000000002</v>
      </c>
      <c r="G14" s="8">
        <f>+Données!J14</f>
        <v>750992.26</v>
      </c>
      <c r="H14" s="8">
        <f>Données!U14</f>
        <v>-188383.66</v>
      </c>
      <c r="I14" s="198">
        <f>Données!V14</f>
        <v>0</v>
      </c>
      <c r="J14" s="198">
        <f>Données!W14</f>
        <v>-34093.519999999997</v>
      </c>
      <c r="K14" s="8">
        <f>+Données!Q14</f>
        <v>154857.75</v>
      </c>
      <c r="L14" s="411">
        <f t="shared" si="1"/>
        <v>24218238.079999998</v>
      </c>
      <c r="M14" s="8">
        <f>+Données!F14</f>
        <v>0</v>
      </c>
      <c r="N14" s="8">
        <f>+Données!K14</f>
        <v>32427.4</v>
      </c>
      <c r="O14" s="8">
        <f>(Données!L14/Données!Y14)*1</f>
        <v>3353138.7307692305</v>
      </c>
      <c r="P14" s="411">
        <f t="shared" si="2"/>
        <v>27603804.210769229</v>
      </c>
      <c r="Q14" s="223">
        <f>+Données!X14</f>
        <v>68</v>
      </c>
      <c r="R14" s="411">
        <f t="shared" si="3"/>
        <v>405938.29721719451</v>
      </c>
    </row>
    <row r="15" spans="1:18" x14ac:dyDescent="0.25">
      <c r="A15" s="7">
        <f>Données!A15</f>
        <v>5410</v>
      </c>
      <c r="B15" s="27" t="str">
        <f>Données!B15</f>
        <v>Ormont-Dessous</v>
      </c>
      <c r="C15" s="8">
        <f>Données!C15+Données!D15</f>
        <v>2516741.98</v>
      </c>
      <c r="D15" s="8">
        <f>+Données!G15+Données!H15+Données!S15</f>
        <v>41228.749999999993</v>
      </c>
      <c r="E15" s="8">
        <f>+Données!E15</f>
        <v>0</v>
      </c>
      <c r="F15" s="8">
        <f>+Données!I15</f>
        <v>0</v>
      </c>
      <c r="G15" s="8">
        <f>+Données!J15</f>
        <v>69775.56</v>
      </c>
      <c r="H15" s="8">
        <f>Données!U15</f>
        <v>-98476.02</v>
      </c>
      <c r="I15" s="198">
        <f>Données!V15</f>
        <v>0</v>
      </c>
      <c r="J15" s="198">
        <f>Données!W15</f>
        <v>-234.34</v>
      </c>
      <c r="K15" s="8">
        <f>+Données!Q15</f>
        <v>19210.84</v>
      </c>
      <c r="L15" s="411">
        <f t="shared" si="1"/>
        <v>2548246.77</v>
      </c>
      <c r="M15" s="8">
        <f>+Données!F15</f>
        <v>0</v>
      </c>
      <c r="N15" s="8">
        <f>+Données!K15</f>
        <v>11208</v>
      </c>
      <c r="O15" s="8">
        <f>(Données!L15/Données!Y15)*1</f>
        <v>398373.66666666669</v>
      </c>
      <c r="P15" s="411">
        <f t="shared" si="2"/>
        <v>2957828.4366666665</v>
      </c>
      <c r="Q15" s="223">
        <f>+Données!X15</f>
        <v>77</v>
      </c>
      <c r="R15" s="411">
        <f t="shared" si="3"/>
        <v>38413.35632034632</v>
      </c>
    </row>
    <row r="16" spans="1:18" x14ac:dyDescent="0.25">
      <c r="A16" s="7">
        <f>Données!A16</f>
        <v>5411</v>
      </c>
      <c r="B16" s="27" t="str">
        <f>Données!B16</f>
        <v>Ormont-Dessus</v>
      </c>
      <c r="C16" s="8">
        <f>Données!C16+Données!D16</f>
        <v>4514308.95</v>
      </c>
      <c r="D16" s="8">
        <f>+Données!G16+Données!H16+Données!S16</f>
        <v>144418.35</v>
      </c>
      <c r="E16" s="8">
        <f>+Données!E16</f>
        <v>0</v>
      </c>
      <c r="F16" s="8">
        <f>+Données!I16</f>
        <v>97632</v>
      </c>
      <c r="G16" s="8">
        <f>+Données!J16</f>
        <v>192715.39</v>
      </c>
      <c r="H16" s="8">
        <f>Données!U16</f>
        <v>-28821.02</v>
      </c>
      <c r="I16" s="198">
        <f>Données!V16</f>
        <v>0</v>
      </c>
      <c r="J16" s="198">
        <f>Données!W16</f>
        <v>-1094.0899999999999</v>
      </c>
      <c r="K16" s="8">
        <f>+Données!Q16</f>
        <v>-9292.84</v>
      </c>
      <c r="L16" s="411">
        <f t="shared" si="1"/>
        <v>4909866.74</v>
      </c>
      <c r="M16" s="8">
        <f>+Données!F16</f>
        <v>0</v>
      </c>
      <c r="N16" s="8">
        <f>+Données!K16</f>
        <v>6193.95</v>
      </c>
      <c r="O16" s="8">
        <f>(Données!L16/Données!Y16)*1</f>
        <v>872210.70000000007</v>
      </c>
      <c r="P16" s="411">
        <f t="shared" si="2"/>
        <v>5788271.3900000006</v>
      </c>
      <c r="Q16" s="223">
        <f>+Données!X16</f>
        <v>76</v>
      </c>
      <c r="R16" s="411">
        <f t="shared" si="3"/>
        <v>76161.465657894747</v>
      </c>
    </row>
    <row r="17" spans="1:18" x14ac:dyDescent="0.25">
      <c r="A17" s="7">
        <f>Données!A17</f>
        <v>5412</v>
      </c>
      <c r="B17" s="27" t="str">
        <f>Données!B17</f>
        <v>Rennaz</v>
      </c>
      <c r="C17" s="8">
        <f>Données!C17+Données!D17</f>
        <v>1486104.04</v>
      </c>
      <c r="D17" s="8">
        <f>+Données!G17+Données!H17+Données!S17</f>
        <v>339474.9</v>
      </c>
      <c r="E17" s="8">
        <f>+Données!E17</f>
        <v>0</v>
      </c>
      <c r="F17" s="8">
        <f>+Données!I17</f>
        <v>37.049999999999301</v>
      </c>
      <c r="G17" s="8">
        <f>+Données!J17</f>
        <v>109928.61</v>
      </c>
      <c r="H17" s="8">
        <f>Données!U17</f>
        <v>-68314.45</v>
      </c>
      <c r="I17" s="198">
        <f>Données!V17</f>
        <v>0</v>
      </c>
      <c r="J17" s="198">
        <f>Données!W17</f>
        <v>-288.02999999999997</v>
      </c>
      <c r="K17" s="8">
        <f>+Données!Q17</f>
        <v>19765.23</v>
      </c>
      <c r="L17" s="411">
        <f t="shared" si="1"/>
        <v>1886707.35</v>
      </c>
      <c r="M17" s="8">
        <f>+Données!F17</f>
        <v>0</v>
      </c>
      <c r="N17" s="8">
        <f>+Données!K17</f>
        <v>49964.95</v>
      </c>
      <c r="O17" s="8">
        <f>(Données!L17/Données!Y17)*1</f>
        <v>287918.09999999998</v>
      </c>
      <c r="P17" s="411">
        <f t="shared" si="2"/>
        <v>2224590.4</v>
      </c>
      <c r="Q17" s="223">
        <f>+Données!X17</f>
        <v>69</v>
      </c>
      <c r="R17" s="411">
        <f t="shared" si="3"/>
        <v>32240.440579710143</v>
      </c>
    </row>
    <row r="18" spans="1:18" x14ac:dyDescent="0.25">
      <c r="A18" s="7">
        <f>Données!A18</f>
        <v>5413</v>
      </c>
      <c r="B18" s="27" t="str">
        <f>Données!B18</f>
        <v>Roche</v>
      </c>
      <c r="C18" s="8">
        <f>Données!C18+Données!D18</f>
        <v>2115413.0499999998</v>
      </c>
      <c r="D18" s="8">
        <f>+Données!G18+Données!H18+Données!S18</f>
        <v>430220.99</v>
      </c>
      <c r="E18" s="8">
        <f>+Données!E18</f>
        <v>0</v>
      </c>
      <c r="F18" s="8">
        <f>+Données!I18</f>
        <v>0</v>
      </c>
      <c r="G18" s="8">
        <f>+Données!J18</f>
        <v>68420.490000000005</v>
      </c>
      <c r="H18" s="8">
        <f>Données!U18</f>
        <v>-92620.88</v>
      </c>
      <c r="I18" s="198">
        <f>Données!V18</f>
        <v>0</v>
      </c>
      <c r="J18" s="198">
        <f>Données!W18</f>
        <v>-751.62</v>
      </c>
      <c r="K18" s="8">
        <f>+Données!Q18</f>
        <v>42942.97</v>
      </c>
      <c r="L18" s="411">
        <f t="shared" si="1"/>
        <v>2563625.0000000005</v>
      </c>
      <c r="M18" s="8">
        <f>+Données!F18</f>
        <v>0</v>
      </c>
      <c r="N18" s="8">
        <f>+Données!K18</f>
        <v>35152.550000000003</v>
      </c>
      <c r="O18" s="8">
        <f>(Données!L18/Données!Y18)*1</f>
        <v>297794.20833333331</v>
      </c>
      <c r="P18" s="411">
        <f t="shared" si="2"/>
        <v>2896571.7583333338</v>
      </c>
      <c r="Q18" s="223">
        <f>+Données!X18</f>
        <v>68</v>
      </c>
      <c r="R18" s="411">
        <f t="shared" si="3"/>
        <v>42596.643504901964</v>
      </c>
    </row>
    <row r="19" spans="1:18" x14ac:dyDescent="0.25">
      <c r="A19" s="7">
        <f>Données!A19</f>
        <v>5414</v>
      </c>
      <c r="B19" s="27" t="str">
        <f>Données!B19</f>
        <v>Villeneuve</v>
      </c>
      <c r="C19" s="8">
        <f>Données!C19+Données!D19</f>
        <v>8438474.3900000006</v>
      </c>
      <c r="D19" s="8">
        <f>+Données!G19+Données!H19+Données!S19</f>
        <v>998620.80999999994</v>
      </c>
      <c r="E19" s="8">
        <f>+Données!E19</f>
        <v>0</v>
      </c>
      <c r="F19" s="8">
        <f>+Données!I19</f>
        <v>72086.37</v>
      </c>
      <c r="G19" s="8">
        <f>+Données!J19</f>
        <v>361921.52</v>
      </c>
      <c r="H19" s="8">
        <f>Données!U19</f>
        <v>-300306.08</v>
      </c>
      <c r="I19" s="198">
        <f>Données!V19</f>
        <v>0</v>
      </c>
      <c r="J19" s="198">
        <f>Données!W19</f>
        <v>-2070.16</v>
      </c>
      <c r="K19" s="8">
        <f>+Données!Q19</f>
        <v>134096.78</v>
      </c>
      <c r="L19" s="411">
        <f t="shared" si="1"/>
        <v>9702823.629999999</v>
      </c>
      <c r="M19" s="8">
        <f>+Données!F19</f>
        <v>0</v>
      </c>
      <c r="N19" s="8">
        <f>+Données!K19</f>
        <v>194451.05</v>
      </c>
      <c r="O19" s="8">
        <f>(Données!L19/Données!Y19)*1</f>
        <v>1299724.3500000001</v>
      </c>
      <c r="P19" s="411">
        <f t="shared" si="2"/>
        <v>11196999.029999999</v>
      </c>
      <c r="Q19" s="223">
        <f>+Données!X19</f>
        <v>67.5</v>
      </c>
      <c r="R19" s="411">
        <f t="shared" si="3"/>
        <v>165881.46711111109</v>
      </c>
    </row>
    <row r="20" spans="1:18" x14ac:dyDescent="0.25">
      <c r="A20" s="7">
        <f>Données!A20</f>
        <v>5415</v>
      </c>
      <c r="B20" s="27" t="str">
        <f>Données!B20</f>
        <v>Yvorne</v>
      </c>
      <c r="C20" s="8">
        <f>Données!C20+Données!D20</f>
        <v>1991651.78</v>
      </c>
      <c r="D20" s="8">
        <f>+Données!G20+Données!H20+Données!S20</f>
        <v>171514.23999999999</v>
      </c>
      <c r="E20" s="8">
        <f>+Données!E20</f>
        <v>0</v>
      </c>
      <c r="F20" s="8">
        <f>+Données!I20</f>
        <v>461.9</v>
      </c>
      <c r="G20" s="8">
        <f>+Données!J20</f>
        <v>39610.120000000003</v>
      </c>
      <c r="H20" s="8">
        <f>Données!U20</f>
        <v>-38678.86</v>
      </c>
      <c r="I20" s="198">
        <f>Données!V20</f>
        <v>0</v>
      </c>
      <c r="J20" s="198">
        <f>Données!W20</f>
        <v>-2359.54</v>
      </c>
      <c r="K20" s="8">
        <f>+Données!Q20</f>
        <v>5102.67</v>
      </c>
      <c r="L20" s="411">
        <f t="shared" si="1"/>
        <v>2167302.31</v>
      </c>
      <c r="M20" s="8">
        <f>+Données!F20</f>
        <v>0</v>
      </c>
      <c r="N20" s="8">
        <f>+Données!K20</f>
        <v>3493.65</v>
      </c>
      <c r="O20" s="8">
        <f>(Données!L20/Données!Y20)*1</f>
        <v>237003.43333333335</v>
      </c>
      <c r="P20" s="411">
        <f t="shared" si="2"/>
        <v>2407799.3933333335</v>
      </c>
      <c r="Q20" s="223">
        <f>+Données!X20</f>
        <v>71.5</v>
      </c>
      <c r="R20" s="411">
        <f t="shared" si="3"/>
        <v>33675.515990675995</v>
      </c>
    </row>
    <row r="21" spans="1:18" x14ac:dyDescent="0.25">
      <c r="A21" s="7">
        <f>Données!A21</f>
        <v>5422</v>
      </c>
      <c r="B21" s="27" t="str">
        <f>Données!B21</f>
        <v>Aubonne</v>
      </c>
      <c r="C21" s="8">
        <f>Données!C21+Données!D21</f>
        <v>12504628.6</v>
      </c>
      <c r="D21" s="8">
        <f>+Données!G21+Données!H21+Données!S21</f>
        <v>6993775.6500000004</v>
      </c>
      <c r="E21" s="8">
        <f>+Données!E21</f>
        <v>0</v>
      </c>
      <c r="F21" s="8">
        <f>+Données!I21</f>
        <v>193473.85</v>
      </c>
      <c r="G21" s="8">
        <f>+Données!J21</f>
        <v>318744.96999999997</v>
      </c>
      <c r="H21" s="8">
        <f>Données!U21</f>
        <v>-166116.07</v>
      </c>
      <c r="I21" s="198">
        <f>Données!V21</f>
        <v>-1249.2</v>
      </c>
      <c r="J21" s="198">
        <f>Données!W21</f>
        <v>-4446.88</v>
      </c>
      <c r="K21" s="8">
        <f>+Données!Q21</f>
        <v>11207.14</v>
      </c>
      <c r="L21" s="411">
        <f t="shared" si="1"/>
        <v>19850018.060000002</v>
      </c>
      <c r="M21" s="8">
        <f>+Données!F21</f>
        <v>0</v>
      </c>
      <c r="N21" s="8">
        <f>+Données!K21</f>
        <v>-164194.9</v>
      </c>
      <c r="O21" s="8">
        <f>(Données!L21/Données!Y21)*1</f>
        <v>1146763.26</v>
      </c>
      <c r="P21" s="411">
        <f t="shared" si="2"/>
        <v>20832586.420000006</v>
      </c>
      <c r="Q21" s="223">
        <f>+Données!X21</f>
        <v>70</v>
      </c>
      <c r="R21" s="411">
        <f t="shared" si="3"/>
        <v>297608.37742857152</v>
      </c>
    </row>
    <row r="22" spans="1:18" x14ac:dyDescent="0.25">
      <c r="A22" s="7">
        <f>Données!A22</f>
        <v>5423</v>
      </c>
      <c r="B22" s="27" t="str">
        <f>Données!B22</f>
        <v>Ballens</v>
      </c>
      <c r="C22" s="8">
        <f>Données!C22+Données!D22</f>
        <v>1143242.23</v>
      </c>
      <c r="D22" s="8">
        <f>+Données!G22+Données!H22+Données!S22</f>
        <v>29967.1</v>
      </c>
      <c r="E22" s="8">
        <f>+Données!E22</f>
        <v>0</v>
      </c>
      <c r="F22" s="8">
        <f>+Données!I22</f>
        <v>0</v>
      </c>
      <c r="G22" s="8">
        <f>+Données!J22</f>
        <v>32880.81</v>
      </c>
      <c r="H22" s="8">
        <f>Données!U22</f>
        <v>-25849.9</v>
      </c>
      <c r="I22" s="198">
        <f>Données!V22</f>
        <v>0</v>
      </c>
      <c r="J22" s="198">
        <f>Données!W22</f>
        <v>-0.02</v>
      </c>
      <c r="K22" s="8">
        <f>+Données!Q22</f>
        <v>16.34</v>
      </c>
      <c r="L22" s="411">
        <f t="shared" si="1"/>
        <v>1180256.5600000003</v>
      </c>
      <c r="M22" s="8">
        <f>+Données!F22</f>
        <v>0</v>
      </c>
      <c r="N22" s="8">
        <f>+Données!K22</f>
        <v>2460.35</v>
      </c>
      <c r="O22" s="8">
        <f>(Données!L22/Données!Y22)*1</f>
        <v>83533.100000000006</v>
      </c>
      <c r="P22" s="411">
        <f t="shared" si="2"/>
        <v>1266250.0100000005</v>
      </c>
      <c r="Q22" s="223">
        <f>+Données!X22</f>
        <v>73</v>
      </c>
      <c r="R22" s="411">
        <f t="shared" si="3"/>
        <v>17345.890547945211</v>
      </c>
    </row>
    <row r="23" spans="1:18" x14ac:dyDescent="0.25">
      <c r="A23" s="7">
        <f>Données!A23</f>
        <v>5424</v>
      </c>
      <c r="B23" s="27" t="str">
        <f>Données!B23</f>
        <v>Berolle</v>
      </c>
      <c r="C23" s="8">
        <f>Données!C23+Données!D23</f>
        <v>675214.17</v>
      </c>
      <c r="D23" s="8">
        <f>+Données!G23+Données!H23+Données!S23</f>
        <v>1944.26</v>
      </c>
      <c r="E23" s="8">
        <f>+Données!E23</f>
        <v>0</v>
      </c>
      <c r="F23" s="8">
        <f>+Données!I23</f>
        <v>38264.25</v>
      </c>
      <c r="G23" s="8">
        <f>+Données!J23</f>
        <v>-1499</v>
      </c>
      <c r="H23" s="8">
        <f>Données!U23</f>
        <v>-111.48</v>
      </c>
      <c r="I23" s="198">
        <f>Données!V23</f>
        <v>0</v>
      </c>
      <c r="J23" s="198">
        <f>Données!W23</f>
        <v>0</v>
      </c>
      <c r="K23" s="8">
        <f>+Données!Q23</f>
        <v>6810</v>
      </c>
      <c r="L23" s="411">
        <f t="shared" si="1"/>
        <v>720622.20000000007</v>
      </c>
      <c r="M23" s="8">
        <f>+Données!F23</f>
        <v>0</v>
      </c>
      <c r="N23" s="8">
        <f>+Données!K23</f>
        <v>766</v>
      </c>
      <c r="O23" s="8">
        <f>(Données!L23/Données!Y23)*1</f>
        <v>53487.5</v>
      </c>
      <c r="P23" s="411">
        <f t="shared" si="2"/>
        <v>774875.70000000007</v>
      </c>
      <c r="Q23" s="223">
        <f>+Données!X23</f>
        <v>75.5</v>
      </c>
      <c r="R23" s="411">
        <f t="shared" si="3"/>
        <v>10263.254304635762</v>
      </c>
    </row>
    <row r="24" spans="1:18" x14ac:dyDescent="0.25">
      <c r="A24" s="7">
        <f>Données!A24</f>
        <v>5425</v>
      </c>
      <c r="B24" s="27" t="str">
        <f>Données!B24</f>
        <v>Bière</v>
      </c>
      <c r="C24" s="8">
        <f>Données!C24+Données!D24</f>
        <v>2432600.54</v>
      </c>
      <c r="D24" s="8">
        <f>+Données!G24+Données!H24+Données!S24</f>
        <v>118884.84999999999</v>
      </c>
      <c r="E24" s="8">
        <f>+Données!E24</f>
        <v>0</v>
      </c>
      <c r="F24" s="8">
        <f>+Données!I24</f>
        <v>0</v>
      </c>
      <c r="G24" s="8">
        <f>+Données!J24</f>
        <v>173871.27</v>
      </c>
      <c r="H24" s="8">
        <f>Données!U24</f>
        <v>-56647.21</v>
      </c>
      <c r="I24" s="198">
        <f>Données!V24</f>
        <v>0</v>
      </c>
      <c r="J24" s="198">
        <f>Données!W24</f>
        <v>-61.34</v>
      </c>
      <c r="K24" s="8">
        <f>+Données!Q24</f>
        <v>6954.73</v>
      </c>
      <c r="L24" s="411">
        <f t="shared" si="1"/>
        <v>2675602.8400000003</v>
      </c>
      <c r="M24" s="8">
        <f>+Données!F24</f>
        <v>0</v>
      </c>
      <c r="N24" s="8">
        <f>+Données!K24</f>
        <v>19403.400000000001</v>
      </c>
      <c r="O24" s="8">
        <f>(Données!L24/Données!Y24)*1</f>
        <v>220102.67241379313</v>
      </c>
      <c r="P24" s="411">
        <f t="shared" si="2"/>
        <v>2915108.9124137932</v>
      </c>
      <c r="Q24" s="223">
        <f>+Données!X24</f>
        <v>69</v>
      </c>
      <c r="R24" s="411">
        <f t="shared" si="3"/>
        <v>42247.955252373817</v>
      </c>
    </row>
    <row r="25" spans="1:18" x14ac:dyDescent="0.25">
      <c r="A25" s="7">
        <f>Données!A25</f>
        <v>5426</v>
      </c>
      <c r="B25" s="27" t="str">
        <f>Données!B25</f>
        <v>Bougy-Villars</v>
      </c>
      <c r="C25" s="8">
        <f>Données!C25+Données!D25</f>
        <v>2602211.0499999998</v>
      </c>
      <c r="D25" s="8">
        <f>+Données!G25+Données!H25+Données!S25</f>
        <v>27576.35</v>
      </c>
      <c r="E25" s="8">
        <f>+Données!E25</f>
        <v>0</v>
      </c>
      <c r="F25" s="8">
        <f>+Données!I25</f>
        <v>1066523.6599999999</v>
      </c>
      <c r="G25" s="8">
        <f>+Données!J25</f>
        <v>35545.279999999999</v>
      </c>
      <c r="H25" s="8">
        <f>Données!U25</f>
        <v>-10082.870000000001</v>
      </c>
      <c r="I25" s="198">
        <f>Données!V25</f>
        <v>0</v>
      </c>
      <c r="J25" s="198">
        <f>Données!W25</f>
        <v>-3803.7</v>
      </c>
      <c r="K25" s="8">
        <f>+Données!Q25</f>
        <v>0</v>
      </c>
      <c r="L25" s="411">
        <f t="shared" si="1"/>
        <v>3717969.7699999991</v>
      </c>
      <c r="M25" s="8">
        <f>+Données!F25</f>
        <v>0</v>
      </c>
      <c r="N25" s="8">
        <f>+Données!K25</f>
        <v>2681.7</v>
      </c>
      <c r="O25" s="8">
        <f>(Données!L25/Données!Y25)*1</f>
        <v>274806.33333333331</v>
      </c>
      <c r="P25" s="411">
        <f t="shared" si="2"/>
        <v>3995457.8033333328</v>
      </c>
      <c r="Q25" s="223">
        <f>+Données!X25</f>
        <v>64.5</v>
      </c>
      <c r="R25" s="411">
        <f t="shared" si="3"/>
        <v>61945.082222222212</v>
      </c>
    </row>
    <row r="26" spans="1:18" x14ac:dyDescent="0.25">
      <c r="A26" s="7">
        <f>Données!A26</f>
        <v>5427</v>
      </c>
      <c r="B26" s="27" t="str">
        <f>Données!B26</f>
        <v>Féchy</v>
      </c>
      <c r="C26" s="8">
        <f>Données!C26+Données!D26</f>
        <v>4392516.05</v>
      </c>
      <c r="D26" s="8">
        <f>+Données!G26+Données!H26+Données!S26</f>
        <v>57518.380000000005</v>
      </c>
      <c r="E26" s="8">
        <f>+Données!E26</f>
        <v>0</v>
      </c>
      <c r="F26" s="8">
        <f>+Données!I26</f>
        <v>744144.35</v>
      </c>
      <c r="G26" s="8">
        <f>+Données!J26</f>
        <v>13997.29</v>
      </c>
      <c r="H26" s="8">
        <f>Données!U26</f>
        <v>-19.190000000000001</v>
      </c>
      <c r="I26" s="198">
        <f>Données!V26</f>
        <v>0</v>
      </c>
      <c r="J26" s="198">
        <f>Données!W26</f>
        <v>-20051.25</v>
      </c>
      <c r="K26" s="8">
        <f>+Données!Q26</f>
        <v>0</v>
      </c>
      <c r="L26" s="411">
        <f t="shared" si="1"/>
        <v>5188105.629999999</v>
      </c>
      <c r="M26" s="8">
        <f>+Données!F26</f>
        <v>0</v>
      </c>
      <c r="N26" s="8">
        <f>+Données!K26</f>
        <v>5658.95</v>
      </c>
      <c r="O26" s="8">
        <f>(Données!L26/Données!Y26)*1</f>
        <v>369250.23076923075</v>
      </c>
      <c r="P26" s="411">
        <f t="shared" si="2"/>
        <v>5563014.8107692301</v>
      </c>
      <c r="Q26" s="223">
        <f>+Données!X26</f>
        <v>64</v>
      </c>
      <c r="R26" s="411">
        <f t="shared" si="3"/>
        <v>86922.106418269221</v>
      </c>
    </row>
    <row r="27" spans="1:18" x14ac:dyDescent="0.25">
      <c r="A27" s="7">
        <f>Données!A27</f>
        <v>5428</v>
      </c>
      <c r="B27" s="27" t="str">
        <f>Données!B27</f>
        <v>Gimel</v>
      </c>
      <c r="C27" s="8">
        <f>Données!C27+Données!D27</f>
        <v>4742176.1099999994</v>
      </c>
      <c r="D27" s="8">
        <f>+Données!G27+Données!H27+Données!S27</f>
        <v>48231.97</v>
      </c>
      <c r="E27" s="8">
        <f>+Données!E27</f>
        <v>0</v>
      </c>
      <c r="F27" s="8">
        <f>+Données!I27</f>
        <v>0</v>
      </c>
      <c r="G27" s="8">
        <f>+Données!J27</f>
        <v>161676.75</v>
      </c>
      <c r="H27" s="8">
        <f>Données!U27</f>
        <v>-113343</v>
      </c>
      <c r="I27" s="198">
        <f>Données!V27</f>
        <v>0</v>
      </c>
      <c r="J27" s="198">
        <f>Données!W27</f>
        <v>-85.84</v>
      </c>
      <c r="K27" s="8">
        <f>+Données!Q27</f>
        <v>26663.84</v>
      </c>
      <c r="L27" s="411">
        <f t="shared" si="1"/>
        <v>4865319.8299999991</v>
      </c>
      <c r="M27" s="8">
        <f>+Données!F27</f>
        <v>0</v>
      </c>
      <c r="N27" s="8">
        <f>+Données!K27</f>
        <v>23087.1</v>
      </c>
      <c r="O27" s="8">
        <f>(Données!L27/Données!Y27)*1</f>
        <v>427733.375</v>
      </c>
      <c r="P27" s="411">
        <f t="shared" si="2"/>
        <v>5316140.3049999988</v>
      </c>
      <c r="Q27" s="223">
        <f>+Données!X27</f>
        <v>74.5</v>
      </c>
      <c r="R27" s="411">
        <f t="shared" si="3"/>
        <v>71357.587986577171</v>
      </c>
    </row>
    <row r="28" spans="1:18" x14ac:dyDescent="0.25">
      <c r="A28" s="7">
        <f>Données!A28</f>
        <v>5429</v>
      </c>
      <c r="B28" s="27" t="str">
        <f>Données!B28</f>
        <v>Longirod</v>
      </c>
      <c r="C28" s="8">
        <f>Données!C28+Données!D28</f>
        <v>1208320.01</v>
      </c>
      <c r="D28" s="8">
        <f>+Données!G28+Données!H28+Données!S28</f>
        <v>41417.340000000004</v>
      </c>
      <c r="E28" s="8">
        <f>+Données!E28</f>
        <v>0</v>
      </c>
      <c r="F28" s="8">
        <f>+Données!I28</f>
        <v>0</v>
      </c>
      <c r="G28" s="8">
        <f>+Données!J28</f>
        <v>-731.21</v>
      </c>
      <c r="H28" s="8">
        <f>Données!U28</f>
        <v>-32963.19</v>
      </c>
      <c r="I28" s="198">
        <f>Données!V28</f>
        <v>0</v>
      </c>
      <c r="J28" s="198">
        <f>Données!W28</f>
        <v>0</v>
      </c>
      <c r="K28" s="8">
        <f>+Données!Q28</f>
        <v>0</v>
      </c>
      <c r="L28" s="411">
        <f t="shared" si="1"/>
        <v>1216042.9500000002</v>
      </c>
      <c r="M28" s="8">
        <f>+Données!F28</f>
        <v>0</v>
      </c>
      <c r="N28" s="8">
        <f>+Données!K28</f>
        <v>752.55</v>
      </c>
      <c r="O28" s="8">
        <f>(Données!L28/Données!Y28)*1</f>
        <v>111739.05</v>
      </c>
      <c r="P28" s="411">
        <f t="shared" si="2"/>
        <v>1328534.5500000003</v>
      </c>
      <c r="Q28" s="223">
        <f>+Données!X28</f>
        <v>77.5</v>
      </c>
      <c r="R28" s="411">
        <f t="shared" si="3"/>
        <v>17142.381290322584</v>
      </c>
    </row>
    <row r="29" spans="1:18" x14ac:dyDescent="0.25">
      <c r="A29" s="7">
        <f>Données!A29</f>
        <v>5430</v>
      </c>
      <c r="B29" s="27" t="str">
        <f>Données!B29</f>
        <v>Marchissy</v>
      </c>
      <c r="C29" s="8">
        <f>Données!C29+Données!D29</f>
        <v>1227453.3</v>
      </c>
      <c r="D29" s="8">
        <f>+Données!G29+Données!H29+Données!S29</f>
        <v>1300.06</v>
      </c>
      <c r="E29" s="8">
        <f>+Données!E29</f>
        <v>0</v>
      </c>
      <c r="F29" s="8">
        <f>+Données!I29</f>
        <v>0</v>
      </c>
      <c r="G29" s="8">
        <f>+Données!J29</f>
        <v>7017.17</v>
      </c>
      <c r="H29" s="8">
        <f>Données!U29</f>
        <v>-2398.1999999999998</v>
      </c>
      <c r="I29" s="198">
        <f>Données!V29</f>
        <v>0</v>
      </c>
      <c r="J29" s="198">
        <f>Données!W29</f>
        <v>-91.38</v>
      </c>
      <c r="K29" s="8">
        <f>+Données!Q29</f>
        <v>0</v>
      </c>
      <c r="L29" s="411">
        <f t="shared" si="1"/>
        <v>1233280.9500000002</v>
      </c>
      <c r="M29" s="8">
        <f>+Données!F29</f>
        <v>0</v>
      </c>
      <c r="N29" s="8">
        <f>+Données!K29</f>
        <v>-1384.5</v>
      </c>
      <c r="O29" s="8">
        <f>(Données!L29/Données!Y29)*1</f>
        <v>95036.5</v>
      </c>
      <c r="P29" s="411">
        <f t="shared" si="2"/>
        <v>1326932.9500000002</v>
      </c>
      <c r="Q29" s="223">
        <f>+Données!X29</f>
        <v>77.5</v>
      </c>
      <c r="R29" s="411">
        <f t="shared" si="3"/>
        <v>17121.715483870968</v>
      </c>
    </row>
    <row r="30" spans="1:18" x14ac:dyDescent="0.25">
      <c r="A30" s="7">
        <f>Données!A30</f>
        <v>5431</v>
      </c>
      <c r="B30" s="27" t="str">
        <f>Données!B30</f>
        <v>Mollens</v>
      </c>
      <c r="C30" s="8">
        <f>Données!C30+Données!D30</f>
        <v>611024.87</v>
      </c>
      <c r="D30" s="8">
        <f>+Données!G30+Données!H30+Données!S30</f>
        <v>-133.48000000000002</v>
      </c>
      <c r="E30" s="8">
        <f>+Données!E30</f>
        <v>0</v>
      </c>
      <c r="F30" s="8">
        <f>+Données!I30</f>
        <v>0</v>
      </c>
      <c r="G30" s="8">
        <f>+Données!J30</f>
        <v>38582.04</v>
      </c>
      <c r="H30" s="8">
        <f>Données!U30</f>
        <v>-762.06</v>
      </c>
      <c r="I30" s="198">
        <f>Données!V30</f>
        <v>0</v>
      </c>
      <c r="J30" s="198">
        <f>Données!W30</f>
        <v>-2835.6</v>
      </c>
      <c r="K30" s="8">
        <f>+Données!Q30</f>
        <v>0</v>
      </c>
      <c r="L30" s="411">
        <f t="shared" si="1"/>
        <v>645875.77</v>
      </c>
      <c r="M30" s="8">
        <f>+Données!F30</f>
        <v>0</v>
      </c>
      <c r="N30" s="8">
        <f>+Données!K30</f>
        <v>799.5</v>
      </c>
      <c r="O30" s="8">
        <f>(Données!L30/Données!Y30)*1</f>
        <v>54478.400000000001</v>
      </c>
      <c r="P30" s="411">
        <f t="shared" si="2"/>
        <v>701153.67</v>
      </c>
      <c r="Q30" s="223">
        <f>+Données!X30</f>
        <v>74</v>
      </c>
      <c r="R30" s="411">
        <f t="shared" si="3"/>
        <v>9475.049594594595</v>
      </c>
    </row>
    <row r="31" spans="1:18" x14ac:dyDescent="0.25">
      <c r="A31" s="7">
        <f>Données!A31</f>
        <v>5434</v>
      </c>
      <c r="B31" s="27" t="str">
        <f>Données!B31</f>
        <v>Saint-George</v>
      </c>
      <c r="C31" s="8">
        <f>Données!C31+Données!D31</f>
        <v>2578778.56</v>
      </c>
      <c r="D31" s="8">
        <f>+Données!G31+Données!H31+Données!S31</f>
        <v>2463.1600000000003</v>
      </c>
      <c r="E31" s="8">
        <f>+Données!E31</f>
        <v>0</v>
      </c>
      <c r="F31" s="8">
        <f>+Données!I31</f>
        <v>0</v>
      </c>
      <c r="G31" s="8">
        <f>+Données!J31</f>
        <v>36211.4</v>
      </c>
      <c r="H31" s="8">
        <f>Données!U31</f>
        <v>-22698.36</v>
      </c>
      <c r="I31" s="198">
        <f>Données!V31</f>
        <v>0</v>
      </c>
      <c r="J31" s="198">
        <f>Données!W31</f>
        <v>-3042.95</v>
      </c>
      <c r="K31" s="8">
        <f>+Données!Q31</f>
        <v>862.13</v>
      </c>
      <c r="L31" s="411">
        <f t="shared" si="1"/>
        <v>2592573.94</v>
      </c>
      <c r="M31" s="8">
        <f>+Données!F31</f>
        <v>0</v>
      </c>
      <c r="N31" s="8">
        <f>+Données!K31</f>
        <v>4647.2</v>
      </c>
      <c r="O31" s="8">
        <f>(Données!L31/Données!Y31)*1</f>
        <v>246055.04166666666</v>
      </c>
      <c r="P31" s="411">
        <f t="shared" si="2"/>
        <v>2843276.1816666666</v>
      </c>
      <c r="Q31" s="223">
        <f>+Données!X31</f>
        <v>69.5</v>
      </c>
      <c r="R31" s="411">
        <f t="shared" si="3"/>
        <v>40910.448657074339</v>
      </c>
    </row>
    <row r="32" spans="1:18" x14ac:dyDescent="0.25">
      <c r="A32" s="7">
        <f>Données!A32</f>
        <v>5435</v>
      </c>
      <c r="B32" s="27" t="str">
        <f>Données!B32</f>
        <v>Saint-Livres</v>
      </c>
      <c r="C32" s="8">
        <f>Données!C32+Données!D32</f>
        <v>1594572.26</v>
      </c>
      <c r="D32" s="8">
        <f>+Données!G32+Données!H32+Données!S32</f>
        <v>19810.96</v>
      </c>
      <c r="E32" s="8">
        <f>+Données!E32</f>
        <v>0</v>
      </c>
      <c r="F32" s="8">
        <f>+Données!I32</f>
        <v>0</v>
      </c>
      <c r="G32" s="8">
        <f>+Données!J32</f>
        <v>15499.66</v>
      </c>
      <c r="H32" s="8">
        <f>Données!U32</f>
        <v>-7116.05</v>
      </c>
      <c r="I32" s="198">
        <f>Données!V32</f>
        <v>0</v>
      </c>
      <c r="J32" s="198">
        <f>Données!W32</f>
        <v>-114.89</v>
      </c>
      <c r="K32" s="8">
        <f>+Données!Q32</f>
        <v>309.2</v>
      </c>
      <c r="L32" s="411">
        <f t="shared" si="1"/>
        <v>1622961.14</v>
      </c>
      <c r="M32" s="8">
        <f>+Données!F32</f>
        <v>0</v>
      </c>
      <c r="N32" s="8">
        <f>+Données!K32</f>
        <v>0</v>
      </c>
      <c r="O32" s="8">
        <f>(Données!L32/Données!Y32)*1</f>
        <v>133937</v>
      </c>
      <c r="P32" s="411">
        <f t="shared" si="2"/>
        <v>1756898.14</v>
      </c>
      <c r="Q32" s="223">
        <f>+Données!X32</f>
        <v>69</v>
      </c>
      <c r="R32" s="411">
        <f t="shared" si="3"/>
        <v>25462.29188405797</v>
      </c>
    </row>
    <row r="33" spans="1:18" x14ac:dyDescent="0.25">
      <c r="A33" s="7">
        <f>Données!A33</f>
        <v>5436</v>
      </c>
      <c r="B33" s="27" t="str">
        <f>Données!B33</f>
        <v>Saint-Oyens</v>
      </c>
      <c r="C33" s="8">
        <f>Données!C33+Données!D33</f>
        <v>1228151.8599999999</v>
      </c>
      <c r="D33" s="8">
        <f>+Données!G33+Données!H33+Données!S33</f>
        <v>6879.74</v>
      </c>
      <c r="E33" s="8">
        <f>+Données!E33</f>
        <v>0</v>
      </c>
      <c r="F33" s="8">
        <f>+Données!I33</f>
        <v>0</v>
      </c>
      <c r="G33" s="8">
        <f>+Données!J33</f>
        <v>-7518.66</v>
      </c>
      <c r="H33" s="8">
        <f>Données!U33</f>
        <v>-21037.62</v>
      </c>
      <c r="I33" s="198">
        <f>Données!V33</f>
        <v>0</v>
      </c>
      <c r="J33" s="198">
        <f>Données!W33</f>
        <v>-1090.45</v>
      </c>
      <c r="K33" s="8">
        <f>+Données!Q33</f>
        <v>0</v>
      </c>
      <c r="L33" s="411">
        <f t="shared" si="1"/>
        <v>1205384.8699999999</v>
      </c>
      <c r="M33" s="8">
        <f>+Données!F33</f>
        <v>0</v>
      </c>
      <c r="N33" s="8">
        <f>+Données!K33</f>
        <v>0</v>
      </c>
      <c r="O33" s="8">
        <f>(Données!L33/Données!Y33)*1</f>
        <v>92219.5</v>
      </c>
      <c r="P33" s="411">
        <f t="shared" si="2"/>
        <v>1297604.3699999999</v>
      </c>
      <c r="Q33" s="223">
        <f>+Données!X33</f>
        <v>79</v>
      </c>
      <c r="R33" s="411">
        <f t="shared" si="3"/>
        <v>16425.371772151899</v>
      </c>
    </row>
    <row r="34" spans="1:18" x14ac:dyDescent="0.25">
      <c r="A34" s="7">
        <f>Données!A34</f>
        <v>5437</v>
      </c>
      <c r="B34" s="27" t="str">
        <f>Données!B34</f>
        <v>Saubraz</v>
      </c>
      <c r="C34" s="8">
        <f>Données!C34+Données!D34</f>
        <v>932036.41999999993</v>
      </c>
      <c r="D34" s="8">
        <f>+Données!G34+Données!H34+Données!S34</f>
        <v>-2746.4599999999996</v>
      </c>
      <c r="E34" s="8">
        <f>+Données!E34</f>
        <v>0</v>
      </c>
      <c r="F34" s="8">
        <f>+Données!I34</f>
        <v>0</v>
      </c>
      <c r="G34" s="8">
        <f>+Données!J34</f>
        <v>14839.82</v>
      </c>
      <c r="H34" s="8">
        <f>Données!U34</f>
        <v>-57716.35</v>
      </c>
      <c r="I34" s="198">
        <f>Données!V34</f>
        <v>0</v>
      </c>
      <c r="J34" s="198">
        <f>Données!W34</f>
        <v>0</v>
      </c>
      <c r="K34" s="8">
        <f>+Données!Q34</f>
        <v>4123.3</v>
      </c>
      <c r="L34" s="411">
        <f t="shared" si="1"/>
        <v>890536.73</v>
      </c>
      <c r="M34" s="8">
        <f>+Données!F34</f>
        <v>0</v>
      </c>
      <c r="N34" s="8">
        <f>+Données!K34</f>
        <v>3141.85</v>
      </c>
      <c r="O34" s="8">
        <f>(Données!L34/Données!Y34)*1</f>
        <v>76554.8</v>
      </c>
      <c r="P34" s="411">
        <f t="shared" si="2"/>
        <v>970233.38</v>
      </c>
      <c r="Q34" s="223">
        <f>+Données!X34</f>
        <v>80</v>
      </c>
      <c r="R34" s="411">
        <f t="shared" si="3"/>
        <v>12127.91725</v>
      </c>
    </row>
    <row r="35" spans="1:18" x14ac:dyDescent="0.25">
      <c r="A35" s="7">
        <f>Données!A35</f>
        <v>5451</v>
      </c>
      <c r="B35" s="27" t="str">
        <f>Données!B35</f>
        <v>Avenches</v>
      </c>
      <c r="C35" s="8">
        <f>Données!C35+Données!D35</f>
        <v>5698265.7699999996</v>
      </c>
      <c r="D35" s="8">
        <f>+Données!G35+Données!H35+Données!S35</f>
        <v>2453624.8499999996</v>
      </c>
      <c r="E35" s="8">
        <f>+Données!E35</f>
        <v>0</v>
      </c>
      <c r="F35" s="8">
        <f>+Données!I35</f>
        <v>0</v>
      </c>
      <c r="G35" s="8">
        <f>+Données!J35</f>
        <v>429329.45</v>
      </c>
      <c r="H35" s="8">
        <f>Données!U35</f>
        <v>-361384.15</v>
      </c>
      <c r="I35" s="198">
        <f>Données!V35</f>
        <v>0</v>
      </c>
      <c r="J35" s="198">
        <f>Données!W35</f>
        <v>-562.54</v>
      </c>
      <c r="K35" s="8">
        <f>+Données!Q35</f>
        <v>136481.04999999999</v>
      </c>
      <c r="L35" s="411">
        <f t="shared" si="1"/>
        <v>8355754.4299999978</v>
      </c>
      <c r="M35" s="8">
        <f>+Données!F35</f>
        <v>0</v>
      </c>
      <c r="N35" s="8">
        <f>+Données!K35</f>
        <v>122620.35</v>
      </c>
      <c r="O35" s="8">
        <f>(Données!L35/Données!Y35)*1</f>
        <v>1006727.4666666667</v>
      </c>
      <c r="P35" s="411">
        <f t="shared" si="2"/>
        <v>9485102.2466666643</v>
      </c>
      <c r="Q35" s="223">
        <f>+Données!X35</f>
        <v>66.5</v>
      </c>
      <c r="R35" s="411">
        <f t="shared" si="3"/>
        <v>142633.11649122802</v>
      </c>
    </row>
    <row r="36" spans="1:18" x14ac:dyDescent="0.25">
      <c r="A36" s="7">
        <f>Données!A36</f>
        <v>5456</v>
      </c>
      <c r="B36" s="27" t="str">
        <f>Données!B36</f>
        <v>Cudrefin</v>
      </c>
      <c r="C36" s="8">
        <f>Données!C36+Données!D36</f>
        <v>3326344.2800000003</v>
      </c>
      <c r="D36" s="8">
        <f>+Données!G36+Données!H36+Données!S36</f>
        <v>70666.12999999999</v>
      </c>
      <c r="E36" s="8">
        <f>+Données!E36</f>
        <v>0</v>
      </c>
      <c r="F36" s="8">
        <f>+Données!I36</f>
        <v>0</v>
      </c>
      <c r="G36" s="8">
        <f>+Données!J36</f>
        <v>28027.279999999999</v>
      </c>
      <c r="H36" s="8">
        <f>Données!U36</f>
        <v>-13342.6</v>
      </c>
      <c r="I36" s="198">
        <f>Données!V36</f>
        <v>0</v>
      </c>
      <c r="J36" s="198">
        <f>Données!W36</f>
        <v>-138.75</v>
      </c>
      <c r="K36" s="8">
        <f>+Données!Q36</f>
        <v>-11425.02</v>
      </c>
      <c r="L36" s="411">
        <f t="shared" si="1"/>
        <v>3400131.32</v>
      </c>
      <c r="M36" s="8">
        <f>+Données!F36</f>
        <v>0</v>
      </c>
      <c r="N36" s="8">
        <f>+Données!K36</f>
        <v>11289.55</v>
      </c>
      <c r="O36" s="8">
        <f>(Données!L36/Données!Y36)*1</f>
        <v>368141.89999999997</v>
      </c>
      <c r="P36" s="411">
        <f t="shared" si="2"/>
        <v>3779562.7699999996</v>
      </c>
      <c r="Q36" s="223">
        <f>+Données!X36</f>
        <v>59</v>
      </c>
      <c r="R36" s="411">
        <f t="shared" si="3"/>
        <v>64060.385932203382</v>
      </c>
    </row>
    <row r="37" spans="1:18" x14ac:dyDescent="0.25">
      <c r="A37" s="7">
        <f>Données!A37</f>
        <v>5458</v>
      </c>
      <c r="B37" s="27" t="str">
        <f>Données!B37</f>
        <v>Faoug</v>
      </c>
      <c r="C37" s="8">
        <f>Données!C37+Données!D37</f>
        <v>1860561.93</v>
      </c>
      <c r="D37" s="8">
        <f>+Données!G37+Données!H37+Données!S37</f>
        <v>25362.75</v>
      </c>
      <c r="E37" s="8">
        <f>+Données!E37</f>
        <v>0</v>
      </c>
      <c r="F37" s="8">
        <f>+Données!I37</f>
        <v>0</v>
      </c>
      <c r="G37" s="8">
        <f>+Données!J37</f>
        <v>55674.5</v>
      </c>
      <c r="H37" s="8">
        <f>Données!U37</f>
        <v>-26814.48</v>
      </c>
      <c r="I37" s="198">
        <f>Données!V37</f>
        <v>0</v>
      </c>
      <c r="J37" s="198">
        <f>Données!W37</f>
        <v>-236.55</v>
      </c>
      <c r="K37" s="8">
        <f>+Données!Q37</f>
        <v>0</v>
      </c>
      <c r="L37" s="411">
        <f t="shared" si="1"/>
        <v>1914548.15</v>
      </c>
      <c r="M37" s="8">
        <f>+Données!F37</f>
        <v>0</v>
      </c>
      <c r="N37" s="8">
        <f>+Données!K37</f>
        <v>13000.75</v>
      </c>
      <c r="O37" s="8">
        <f>(Données!L37/Données!Y37)*1</f>
        <v>193460.93333333335</v>
      </c>
      <c r="P37" s="411">
        <f t="shared" si="2"/>
        <v>2121009.833333333</v>
      </c>
      <c r="Q37" s="223">
        <f>+Données!X37</f>
        <v>65</v>
      </c>
      <c r="R37" s="411">
        <f t="shared" si="3"/>
        <v>32630.920512820507</v>
      </c>
    </row>
    <row r="38" spans="1:18" x14ac:dyDescent="0.25">
      <c r="A38" s="7">
        <f>Données!A38</f>
        <v>5464</v>
      </c>
      <c r="B38" s="27" t="str">
        <f>Données!B38</f>
        <v>Vully-les-Lacs</v>
      </c>
      <c r="C38" s="8">
        <f>Données!C38+Données!D38</f>
        <v>6868343.5800000001</v>
      </c>
      <c r="D38" s="8">
        <f>+Données!G38+Données!H38+Données!S38</f>
        <v>97804.209999999992</v>
      </c>
      <c r="E38" s="8">
        <f>+Données!E38</f>
        <v>0</v>
      </c>
      <c r="F38" s="8">
        <f>+Données!I38</f>
        <v>66178.7</v>
      </c>
      <c r="G38" s="8">
        <f>+Données!J38</f>
        <v>156752.70000000001</v>
      </c>
      <c r="H38" s="8">
        <f>Données!U38</f>
        <v>-78050.41</v>
      </c>
      <c r="I38" s="198">
        <f>Données!V38</f>
        <v>0</v>
      </c>
      <c r="J38" s="198">
        <f>Données!W38</f>
        <v>-898.05</v>
      </c>
      <c r="K38" s="8">
        <f>+Données!Q38</f>
        <v>34715.74</v>
      </c>
      <c r="L38" s="411">
        <f t="shared" si="1"/>
        <v>7144846.4700000007</v>
      </c>
      <c r="M38" s="8">
        <f>+Données!F38</f>
        <v>0</v>
      </c>
      <c r="N38" s="8">
        <f>+Données!K38</f>
        <v>10687.4</v>
      </c>
      <c r="O38" s="8">
        <f>(Données!L38/Données!Y38)*1</f>
        <v>746007.1</v>
      </c>
      <c r="P38" s="411">
        <f t="shared" si="2"/>
        <v>7901540.9700000007</v>
      </c>
      <c r="Q38" s="223">
        <f>+Données!X38</f>
        <v>67</v>
      </c>
      <c r="R38" s="411">
        <f t="shared" si="3"/>
        <v>117933.44731343284</v>
      </c>
    </row>
    <row r="39" spans="1:18" x14ac:dyDescent="0.25">
      <c r="A39" s="7">
        <f>Données!A39</f>
        <v>5471</v>
      </c>
      <c r="B39" s="27" t="str">
        <f>Données!B39</f>
        <v>Bettens</v>
      </c>
      <c r="C39" s="8">
        <f>Données!C39+Données!D39</f>
        <v>1403380.04</v>
      </c>
      <c r="D39" s="8">
        <f>+Données!G39+Données!H39+Données!S39</f>
        <v>24449.05</v>
      </c>
      <c r="E39" s="8">
        <f>+Données!E39</f>
        <v>0</v>
      </c>
      <c r="F39" s="8">
        <f>+Données!I39</f>
        <v>0</v>
      </c>
      <c r="G39" s="8">
        <f>+Données!J39</f>
        <v>23462.41</v>
      </c>
      <c r="H39" s="8">
        <f>Données!U39</f>
        <v>-5274.52</v>
      </c>
      <c r="I39" s="198">
        <f>Données!V39</f>
        <v>0</v>
      </c>
      <c r="J39" s="198">
        <f>Données!W39</f>
        <v>-192.96</v>
      </c>
      <c r="K39" s="8">
        <f>+Données!Q39</f>
        <v>1223.46</v>
      </c>
      <c r="L39" s="411">
        <f t="shared" si="1"/>
        <v>1447047.48</v>
      </c>
      <c r="M39" s="8">
        <f>+Données!F39</f>
        <v>0</v>
      </c>
      <c r="N39" s="8">
        <f>+Données!K39</f>
        <v>4233.25</v>
      </c>
      <c r="O39" s="8">
        <f>(Données!L39/Données!Y39)*1</f>
        <v>137179.38888888888</v>
      </c>
      <c r="P39" s="411">
        <f t="shared" si="2"/>
        <v>1588460.118888889</v>
      </c>
      <c r="Q39" s="223">
        <f>+Données!X39</f>
        <v>70</v>
      </c>
      <c r="R39" s="411">
        <f t="shared" si="3"/>
        <v>22692.287412698413</v>
      </c>
    </row>
    <row r="40" spans="1:18" x14ac:dyDescent="0.25">
      <c r="A40" s="7">
        <f>Données!A40</f>
        <v>5472</v>
      </c>
      <c r="B40" s="27" t="str">
        <f>Données!B40</f>
        <v>Bournens</v>
      </c>
      <c r="C40" s="8">
        <f>Données!C40+Données!D40</f>
        <v>1250993.31</v>
      </c>
      <c r="D40" s="8">
        <f>+Données!G40+Données!H40+Données!S40</f>
        <v>1833.2</v>
      </c>
      <c r="E40" s="8">
        <f>+Données!E40</f>
        <v>0</v>
      </c>
      <c r="F40" s="8">
        <f>+Données!I40</f>
        <v>0</v>
      </c>
      <c r="G40" s="8">
        <f>+Données!J40</f>
        <v>-2898.71</v>
      </c>
      <c r="H40" s="8">
        <f>Données!U40</f>
        <v>-7354</v>
      </c>
      <c r="I40" s="198">
        <f>Données!V40</f>
        <v>0</v>
      </c>
      <c r="J40" s="198">
        <f>Données!W40</f>
        <v>-713.76</v>
      </c>
      <c r="K40" s="8">
        <f>+Données!Q40</f>
        <v>0</v>
      </c>
      <c r="L40" s="411">
        <f t="shared" si="1"/>
        <v>1241860.04</v>
      </c>
      <c r="M40" s="8">
        <f>+Données!F40</f>
        <v>0</v>
      </c>
      <c r="N40" s="8">
        <f>+Données!K40</f>
        <v>516.5</v>
      </c>
      <c r="O40" s="8">
        <f>(Données!L40/Données!Y40)*1</f>
        <v>115912.35</v>
      </c>
      <c r="P40" s="411">
        <f t="shared" si="2"/>
        <v>1358288.8900000001</v>
      </c>
      <c r="Q40" s="223">
        <f>+Données!X40</f>
        <v>68</v>
      </c>
      <c r="R40" s="411">
        <f t="shared" si="3"/>
        <v>19974.836617647059</v>
      </c>
    </row>
    <row r="41" spans="1:18" x14ac:dyDescent="0.25">
      <c r="A41" s="7">
        <f>Données!A41</f>
        <v>5473</v>
      </c>
      <c r="B41" s="27" t="str">
        <f>Données!B41</f>
        <v>Boussens</v>
      </c>
      <c r="C41" s="8">
        <f>Données!C41+Données!D41</f>
        <v>2385942.61</v>
      </c>
      <c r="D41" s="8">
        <f>+Données!G41+Données!H41+Données!S41</f>
        <v>41339.579999999994</v>
      </c>
      <c r="E41" s="8">
        <f>+Données!E41</f>
        <v>0</v>
      </c>
      <c r="F41" s="8">
        <f>+Données!I41</f>
        <v>0</v>
      </c>
      <c r="G41" s="8">
        <f>+Données!J41</f>
        <v>19304.5</v>
      </c>
      <c r="H41" s="8">
        <f>Données!U41</f>
        <v>-7258.88</v>
      </c>
      <c r="I41" s="198">
        <f>Données!V41</f>
        <v>0</v>
      </c>
      <c r="J41" s="198">
        <f>Données!W41</f>
        <v>-316.5</v>
      </c>
      <c r="K41" s="8">
        <f>+Données!Q41</f>
        <v>1344.55</v>
      </c>
      <c r="L41" s="411">
        <f t="shared" si="1"/>
        <v>2440355.86</v>
      </c>
      <c r="M41" s="8">
        <f>+Données!F41</f>
        <v>0</v>
      </c>
      <c r="N41" s="8">
        <f>+Données!K41</f>
        <v>6131.35</v>
      </c>
      <c r="O41" s="8">
        <f>(Données!L41/Données!Y41)*1</f>
        <v>196363</v>
      </c>
      <c r="P41" s="411">
        <f t="shared" si="2"/>
        <v>2642850.21</v>
      </c>
      <c r="Q41" s="223">
        <f>+Données!X41</f>
        <v>66</v>
      </c>
      <c r="R41" s="411">
        <f t="shared" si="3"/>
        <v>40043.184999999998</v>
      </c>
    </row>
    <row r="42" spans="1:18" x14ac:dyDescent="0.25">
      <c r="A42" s="7">
        <f>Données!A42</f>
        <v>5474</v>
      </c>
      <c r="B42" s="27" t="str">
        <f>Données!B42</f>
        <v>La Chaux (Cossonay)</v>
      </c>
      <c r="C42" s="8">
        <f>Données!C42+Données!D42</f>
        <v>998785.14</v>
      </c>
      <c r="D42" s="8">
        <f>+Données!G42+Données!H42+Données!S42</f>
        <v>13740.49</v>
      </c>
      <c r="E42" s="8">
        <f>+Données!E42</f>
        <v>0</v>
      </c>
      <c r="F42" s="8">
        <f>+Données!I42</f>
        <v>-37654</v>
      </c>
      <c r="G42" s="8">
        <f>+Données!J42</f>
        <v>5133.25</v>
      </c>
      <c r="H42" s="8">
        <f>Données!U42</f>
        <v>-750.54</v>
      </c>
      <c r="I42" s="198">
        <f>Données!V42</f>
        <v>0</v>
      </c>
      <c r="J42" s="198">
        <f>Données!W42</f>
        <v>-304.55</v>
      </c>
      <c r="K42" s="8">
        <f>+Données!Q42</f>
        <v>0</v>
      </c>
      <c r="L42" s="411">
        <f t="shared" si="1"/>
        <v>978949.78999999992</v>
      </c>
      <c r="M42" s="8">
        <f>+Données!F42</f>
        <v>0</v>
      </c>
      <c r="N42" s="8">
        <f>+Données!K42</f>
        <v>-725.5</v>
      </c>
      <c r="O42" s="8">
        <f>(Données!L42/Données!Y42)*1</f>
        <v>75326.958333333343</v>
      </c>
      <c r="P42" s="411">
        <f t="shared" si="2"/>
        <v>1053551.2483333333</v>
      </c>
      <c r="Q42" s="223">
        <f>+Données!X42</f>
        <v>76</v>
      </c>
      <c r="R42" s="411">
        <f t="shared" si="3"/>
        <v>13862.516425438596</v>
      </c>
    </row>
    <row r="43" spans="1:18" x14ac:dyDescent="0.25">
      <c r="A43" s="7">
        <f>Données!A43</f>
        <v>5475</v>
      </c>
      <c r="B43" s="27" t="str">
        <f>Données!B43</f>
        <v>Chavannes-le-Veyron</v>
      </c>
      <c r="C43" s="8">
        <f>Données!C43+Données!D43</f>
        <v>282390</v>
      </c>
      <c r="D43" s="8">
        <f>+Données!G43+Données!H43+Données!S43</f>
        <v>5251.7599999999993</v>
      </c>
      <c r="E43" s="8">
        <f>+Données!E43</f>
        <v>0</v>
      </c>
      <c r="F43" s="8">
        <f>+Données!I43</f>
        <v>0</v>
      </c>
      <c r="G43" s="8">
        <f>+Données!J43</f>
        <v>8839.4500000000007</v>
      </c>
      <c r="H43" s="8">
        <f>Données!U43</f>
        <v>208.89</v>
      </c>
      <c r="I43" s="198">
        <f>Données!V43</f>
        <v>0</v>
      </c>
      <c r="J43" s="198">
        <f>Données!W43</f>
        <v>0</v>
      </c>
      <c r="K43" s="8">
        <f>+Données!Q43</f>
        <v>-25.04</v>
      </c>
      <c r="L43" s="411">
        <f t="shared" si="1"/>
        <v>296665.06000000006</v>
      </c>
      <c r="M43" s="8">
        <f>+Données!F43</f>
        <v>0</v>
      </c>
      <c r="N43" s="8">
        <f>+Données!K43</f>
        <v>0</v>
      </c>
      <c r="O43" s="8">
        <f>(Données!L43/Données!Y43)*1</f>
        <v>25625.3</v>
      </c>
      <c r="P43" s="411">
        <f t="shared" si="2"/>
        <v>322290.36000000004</v>
      </c>
      <c r="Q43" s="223">
        <f>+Données!X43</f>
        <v>75</v>
      </c>
      <c r="R43" s="411">
        <f t="shared" si="3"/>
        <v>4297.2048000000004</v>
      </c>
    </row>
    <row r="44" spans="1:18" x14ac:dyDescent="0.25">
      <c r="A44" s="7">
        <f>Données!A44</f>
        <v>5476</v>
      </c>
      <c r="B44" s="27" t="str">
        <f>Données!B44</f>
        <v>Chevilly</v>
      </c>
      <c r="C44" s="8">
        <f>Données!C44+Données!D44</f>
        <v>922085.03</v>
      </c>
      <c r="D44" s="8">
        <f>+Données!G44+Données!H44+Données!S44</f>
        <v>437.27</v>
      </c>
      <c r="E44" s="8">
        <f>+Données!E44</f>
        <v>0</v>
      </c>
      <c r="F44" s="8">
        <f>+Données!I44</f>
        <v>0</v>
      </c>
      <c r="G44" s="8">
        <f>+Données!J44</f>
        <v>4675.37</v>
      </c>
      <c r="H44" s="8">
        <f>Données!U44</f>
        <v>-6447.63</v>
      </c>
      <c r="I44" s="198">
        <f>Données!V44</f>
        <v>0</v>
      </c>
      <c r="J44" s="198">
        <f>Données!W44</f>
        <v>0</v>
      </c>
      <c r="K44" s="8">
        <f>+Données!Q44</f>
        <v>0</v>
      </c>
      <c r="L44" s="411">
        <f t="shared" si="1"/>
        <v>920750.04</v>
      </c>
      <c r="M44" s="8">
        <f>+Données!F44</f>
        <v>0</v>
      </c>
      <c r="N44" s="8">
        <f>+Données!K44</f>
        <v>0</v>
      </c>
      <c r="O44" s="8">
        <f>(Données!L44/Données!Y44)*1</f>
        <v>62237.8</v>
      </c>
      <c r="P44" s="411">
        <f t="shared" si="2"/>
        <v>982987.84000000008</v>
      </c>
      <c r="Q44" s="223">
        <f>+Données!X44</f>
        <v>72.5</v>
      </c>
      <c r="R44" s="411">
        <f t="shared" si="3"/>
        <v>13558.452965517243</v>
      </c>
    </row>
    <row r="45" spans="1:18" x14ac:dyDescent="0.25">
      <c r="A45" s="7">
        <f>Données!A45</f>
        <v>5477</v>
      </c>
      <c r="B45" s="27" t="str">
        <f>Données!B45</f>
        <v>Cossonay</v>
      </c>
      <c r="C45" s="8">
        <f>Données!C45+Données!D45</f>
        <v>8902983.75</v>
      </c>
      <c r="D45" s="8">
        <f>+Données!G45+Données!H45+Données!S45</f>
        <v>489289.7</v>
      </c>
      <c r="E45" s="8">
        <f>+Données!E45</f>
        <v>0</v>
      </c>
      <c r="F45" s="8">
        <f>+Données!I45</f>
        <v>0</v>
      </c>
      <c r="G45" s="8">
        <f>+Données!J45</f>
        <v>177524.42</v>
      </c>
      <c r="H45" s="8">
        <f>Données!U45</f>
        <v>-78338.600000000006</v>
      </c>
      <c r="I45" s="198">
        <f>Données!V45</f>
        <v>0</v>
      </c>
      <c r="J45" s="198">
        <f>Données!W45</f>
        <v>-986.22</v>
      </c>
      <c r="K45" s="8">
        <f>+Données!Q45</f>
        <v>7693.11</v>
      </c>
      <c r="L45" s="411">
        <f t="shared" si="1"/>
        <v>9498166.1599999983</v>
      </c>
      <c r="M45" s="8">
        <f>+Données!F45</f>
        <v>0</v>
      </c>
      <c r="N45" s="8">
        <f>+Données!K45</f>
        <v>48032.55</v>
      </c>
      <c r="O45" s="8">
        <f>(Données!L45/Données!Y45)*1</f>
        <v>755157.25</v>
      </c>
      <c r="P45" s="411">
        <f t="shared" si="2"/>
        <v>10301355.959999999</v>
      </c>
      <c r="Q45" s="223">
        <f>+Données!X45</f>
        <v>68</v>
      </c>
      <c r="R45" s="411">
        <f t="shared" si="3"/>
        <v>151490.5288235294</v>
      </c>
    </row>
    <row r="46" spans="1:18" x14ac:dyDescent="0.25">
      <c r="A46" s="7">
        <f>Données!A46</f>
        <v>5479</v>
      </c>
      <c r="B46" s="27" t="str">
        <f>Données!B46</f>
        <v>Cuarnens</v>
      </c>
      <c r="C46" s="8">
        <f>Données!C46+Données!D46</f>
        <v>988864.46</v>
      </c>
      <c r="D46" s="8">
        <f>+Données!G46+Données!H46+Données!S46</f>
        <v>29602.06</v>
      </c>
      <c r="E46" s="8">
        <f>+Données!E46</f>
        <v>0</v>
      </c>
      <c r="F46" s="8">
        <f>+Données!I46</f>
        <v>0</v>
      </c>
      <c r="G46" s="8">
        <f>+Données!J46</f>
        <v>20361.759999999998</v>
      </c>
      <c r="H46" s="8">
        <f>Données!U46</f>
        <v>-34030.400000000001</v>
      </c>
      <c r="I46" s="198">
        <f>Données!V46</f>
        <v>0</v>
      </c>
      <c r="J46" s="198">
        <f>Données!W46</f>
        <v>-484.05</v>
      </c>
      <c r="K46" s="8">
        <f>+Données!Q46</f>
        <v>1193.68</v>
      </c>
      <c r="L46" s="411">
        <f t="shared" si="1"/>
        <v>1005507.51</v>
      </c>
      <c r="M46" s="8">
        <f>+Données!F46</f>
        <v>0</v>
      </c>
      <c r="N46" s="8">
        <f>+Données!K46</f>
        <v>1640.55</v>
      </c>
      <c r="O46" s="8">
        <f>(Données!L46/Données!Y46)*1</f>
        <v>96364.95</v>
      </c>
      <c r="P46" s="411">
        <f t="shared" si="2"/>
        <v>1103513.01</v>
      </c>
      <c r="Q46" s="223">
        <f>+Données!X46</f>
        <v>77</v>
      </c>
      <c r="R46" s="411">
        <f t="shared" si="3"/>
        <v>14331.337792207793</v>
      </c>
    </row>
    <row r="47" spans="1:18" x14ac:dyDescent="0.25">
      <c r="A47" s="7">
        <f>Données!A47</f>
        <v>5480</v>
      </c>
      <c r="B47" s="27" t="str">
        <f>Données!B47</f>
        <v>Daillens</v>
      </c>
      <c r="C47" s="8">
        <f>Données!C47+Données!D47</f>
        <v>2475084.34</v>
      </c>
      <c r="D47" s="8">
        <f>+Données!G47+Données!H47+Données!S47</f>
        <v>-14518.5</v>
      </c>
      <c r="E47" s="8">
        <f>+Données!E47</f>
        <v>0</v>
      </c>
      <c r="F47" s="8">
        <f>+Données!I47</f>
        <v>0</v>
      </c>
      <c r="G47" s="8">
        <f>+Données!J47</f>
        <v>42307.86</v>
      </c>
      <c r="H47" s="8">
        <f>Données!U47</f>
        <v>-37786.35</v>
      </c>
      <c r="I47" s="198">
        <f>Données!V47</f>
        <v>0</v>
      </c>
      <c r="J47" s="198">
        <f>Données!W47</f>
        <v>-803.63</v>
      </c>
      <c r="K47" s="8">
        <f>+Données!Q47</f>
        <v>10741.02</v>
      </c>
      <c r="L47" s="411">
        <f t="shared" si="1"/>
        <v>2475024.7399999998</v>
      </c>
      <c r="M47" s="8">
        <f>+Données!F47</f>
        <v>0</v>
      </c>
      <c r="N47" s="8">
        <f>+Données!K47</f>
        <v>13103.7</v>
      </c>
      <c r="O47" s="8">
        <f>(Données!L47/Données!Y47)*1</f>
        <v>331409.08333333337</v>
      </c>
      <c r="P47" s="411">
        <f t="shared" si="2"/>
        <v>2819537.5233333334</v>
      </c>
      <c r="Q47" s="223">
        <f>+Données!X47</f>
        <v>66</v>
      </c>
      <c r="R47" s="411">
        <f t="shared" si="3"/>
        <v>42720.265505050505</v>
      </c>
    </row>
    <row r="48" spans="1:18" x14ac:dyDescent="0.25">
      <c r="A48" s="7">
        <f>Données!A48</f>
        <v>5481</v>
      </c>
      <c r="B48" s="27" t="str">
        <f>Données!B48</f>
        <v>Dizy</v>
      </c>
      <c r="C48" s="8">
        <f>Données!C48+Données!D48</f>
        <v>527323.42000000004</v>
      </c>
      <c r="D48" s="8">
        <f>+Données!G48+Données!H48+Données!S48</f>
        <v>68203.69</v>
      </c>
      <c r="E48" s="8">
        <f>+Données!E48</f>
        <v>0</v>
      </c>
      <c r="F48" s="8">
        <f>+Données!I48</f>
        <v>0</v>
      </c>
      <c r="G48" s="8">
        <f>+Données!J48</f>
        <v>3040.76</v>
      </c>
      <c r="H48" s="8">
        <f>Données!U48</f>
        <v>-1595.93</v>
      </c>
      <c r="I48" s="198">
        <f>Données!V48</f>
        <v>0</v>
      </c>
      <c r="J48" s="198">
        <f>Données!W48</f>
        <v>0</v>
      </c>
      <c r="K48" s="8">
        <f>+Données!Q48</f>
        <v>5315.58</v>
      </c>
      <c r="L48" s="411">
        <f t="shared" si="1"/>
        <v>602287.52</v>
      </c>
      <c r="M48" s="8">
        <f>+Données!F48</f>
        <v>0</v>
      </c>
      <c r="N48" s="8">
        <f>+Données!K48</f>
        <v>0</v>
      </c>
      <c r="O48" s="8">
        <f>(Données!L48/Données!Y48)*1</f>
        <v>39166.15</v>
      </c>
      <c r="P48" s="411">
        <f t="shared" si="2"/>
        <v>641453.67000000004</v>
      </c>
      <c r="Q48" s="223">
        <f>+Données!X48</f>
        <v>75</v>
      </c>
      <c r="R48" s="411">
        <f t="shared" si="3"/>
        <v>8552.7156000000014</v>
      </c>
    </row>
    <row r="49" spans="1:18" x14ac:dyDescent="0.25">
      <c r="A49" s="7">
        <f>Données!A49</f>
        <v>5482</v>
      </c>
      <c r="B49" s="27" t="str">
        <f>Données!B49</f>
        <v>Eclépens</v>
      </c>
      <c r="C49" s="8">
        <f>Données!C49+Données!D49</f>
        <v>1529910.81</v>
      </c>
      <c r="D49" s="8">
        <f>+Données!G49+Données!H49+Données!S49</f>
        <v>171774.85</v>
      </c>
      <c r="E49" s="8">
        <f>+Données!E49</f>
        <v>0</v>
      </c>
      <c r="F49" s="8">
        <f>+Données!I49</f>
        <v>0</v>
      </c>
      <c r="G49" s="8">
        <f>+Données!J49</f>
        <v>77595.570000000007</v>
      </c>
      <c r="H49" s="8">
        <f>Données!U49</f>
        <v>-24600.62</v>
      </c>
      <c r="I49" s="198">
        <f>Données!V49</f>
        <v>0</v>
      </c>
      <c r="J49" s="198">
        <f>Données!W49</f>
        <v>-982.8</v>
      </c>
      <c r="K49" s="8">
        <f>+Données!Q49</f>
        <v>5995.82</v>
      </c>
      <c r="L49" s="411">
        <f t="shared" si="1"/>
        <v>1759693.6300000001</v>
      </c>
      <c r="M49" s="8">
        <f>+Données!F49</f>
        <v>0</v>
      </c>
      <c r="N49" s="8">
        <f>+Données!K49</f>
        <v>20132.7</v>
      </c>
      <c r="O49" s="8">
        <f>(Données!L49/Données!Y49)*1</f>
        <v>442642.7</v>
      </c>
      <c r="P49" s="411">
        <f t="shared" si="2"/>
        <v>2222469.0300000003</v>
      </c>
      <c r="Q49" s="223">
        <f>+Données!X49</f>
        <v>46</v>
      </c>
      <c r="R49" s="411">
        <f t="shared" si="3"/>
        <v>48314.544130434791</v>
      </c>
    </row>
    <row r="50" spans="1:18" x14ac:dyDescent="0.25">
      <c r="A50" s="7">
        <f>Données!A50</f>
        <v>5483</v>
      </c>
      <c r="B50" s="27" t="str">
        <f>Données!B50</f>
        <v>Ferreyres</v>
      </c>
      <c r="C50" s="8">
        <f>Données!C50+Données!D50</f>
        <v>714611.29</v>
      </c>
      <c r="D50" s="8">
        <f>+Données!G50+Données!H50+Données!S50</f>
        <v>8753.869999999999</v>
      </c>
      <c r="E50" s="8">
        <f>+Données!E50</f>
        <v>0</v>
      </c>
      <c r="F50" s="8">
        <f>+Données!I50</f>
        <v>0</v>
      </c>
      <c r="G50" s="8">
        <f>+Données!J50</f>
        <v>2104.39</v>
      </c>
      <c r="H50" s="8">
        <f>Données!U50</f>
        <v>-3086.18</v>
      </c>
      <c r="I50" s="198">
        <f>Données!V50</f>
        <v>0</v>
      </c>
      <c r="J50" s="198">
        <f>Données!W50</f>
        <v>-1013.74</v>
      </c>
      <c r="K50" s="8">
        <f>+Données!Q50</f>
        <v>0</v>
      </c>
      <c r="L50" s="411">
        <f t="shared" si="1"/>
        <v>721369.63</v>
      </c>
      <c r="M50" s="8">
        <f>+Données!F50</f>
        <v>0</v>
      </c>
      <c r="N50" s="8">
        <f>+Données!K50</f>
        <v>175.5</v>
      </c>
      <c r="O50" s="8">
        <f>(Données!L50/Données!Y50)*1</f>
        <v>60060.4</v>
      </c>
      <c r="P50" s="411">
        <f t="shared" si="2"/>
        <v>781605.53</v>
      </c>
      <c r="Q50" s="223">
        <f>+Données!X50</f>
        <v>76</v>
      </c>
      <c r="R50" s="411">
        <f t="shared" si="3"/>
        <v>10284.283289473684</v>
      </c>
    </row>
    <row r="51" spans="1:18" x14ac:dyDescent="0.25">
      <c r="A51" s="7">
        <f>Données!A51</f>
        <v>5484</v>
      </c>
      <c r="B51" s="27" t="str">
        <f>Données!B51</f>
        <v>Gollion</v>
      </c>
      <c r="C51" s="8">
        <f>Données!C51+Données!D51</f>
        <v>2156897.1799999997</v>
      </c>
      <c r="D51" s="8">
        <f>+Données!G51+Données!H51+Données!S51</f>
        <v>53545.64</v>
      </c>
      <c r="E51" s="8">
        <f>+Données!E51</f>
        <v>0</v>
      </c>
      <c r="F51" s="8">
        <f>+Données!I51</f>
        <v>0</v>
      </c>
      <c r="G51" s="8">
        <f>+Données!J51</f>
        <v>19714.080000000002</v>
      </c>
      <c r="H51" s="8">
        <f>Données!U51</f>
        <v>-21376.39</v>
      </c>
      <c r="I51" s="198">
        <f>Données!V51</f>
        <v>0</v>
      </c>
      <c r="J51" s="198">
        <f>Données!W51</f>
        <v>-112.8</v>
      </c>
      <c r="K51" s="8">
        <f>+Données!Q51</f>
        <v>766.99</v>
      </c>
      <c r="L51" s="411">
        <f t="shared" si="1"/>
        <v>2209434.7000000002</v>
      </c>
      <c r="M51" s="8">
        <f>+Données!F51</f>
        <v>0</v>
      </c>
      <c r="N51" s="8">
        <f>+Données!K51</f>
        <v>6304.65</v>
      </c>
      <c r="O51" s="8">
        <f>(Données!L51/Données!Y51)*1</f>
        <v>196784.3</v>
      </c>
      <c r="P51" s="411">
        <f t="shared" si="2"/>
        <v>2412523.65</v>
      </c>
      <c r="Q51" s="223">
        <f>+Données!X51</f>
        <v>74</v>
      </c>
      <c r="R51" s="411">
        <f t="shared" si="3"/>
        <v>32601.670945945945</v>
      </c>
    </row>
    <row r="52" spans="1:18" x14ac:dyDescent="0.25">
      <c r="A52" s="7">
        <f>Données!A52</f>
        <v>5485</v>
      </c>
      <c r="B52" s="27" t="str">
        <f>Données!B52</f>
        <v>Grancy</v>
      </c>
      <c r="C52" s="8">
        <f>Données!C52+Données!D52</f>
        <v>1202643.47</v>
      </c>
      <c r="D52" s="8">
        <f>+Données!G52+Données!H52+Données!S52</f>
        <v>29671.15</v>
      </c>
      <c r="E52" s="8">
        <f>+Données!E52</f>
        <v>0</v>
      </c>
      <c r="F52" s="8">
        <f>+Données!I52</f>
        <v>0</v>
      </c>
      <c r="G52" s="8">
        <f>+Données!J52</f>
        <v>7958.97</v>
      </c>
      <c r="H52" s="8">
        <f>Données!U52</f>
        <v>-4270.97</v>
      </c>
      <c r="I52" s="198">
        <f>Données!V52</f>
        <v>0</v>
      </c>
      <c r="J52" s="198">
        <f>Données!W52</f>
        <v>-200.13</v>
      </c>
      <c r="K52" s="8">
        <f>+Données!Q52</f>
        <v>150.24</v>
      </c>
      <c r="L52" s="411">
        <f t="shared" si="1"/>
        <v>1235952.73</v>
      </c>
      <c r="M52" s="8">
        <f>+Données!F52</f>
        <v>0</v>
      </c>
      <c r="N52" s="8">
        <f>+Données!K52</f>
        <v>74.8</v>
      </c>
      <c r="O52" s="8">
        <f>(Données!L52/Données!Y52)*1</f>
        <v>91269.1</v>
      </c>
      <c r="P52" s="411">
        <f t="shared" si="2"/>
        <v>1327296.6300000001</v>
      </c>
      <c r="Q52" s="223">
        <f>+Données!X52</f>
        <v>70</v>
      </c>
      <c r="R52" s="411">
        <f t="shared" si="3"/>
        <v>18961.380428571429</v>
      </c>
    </row>
    <row r="53" spans="1:18" x14ac:dyDescent="0.25">
      <c r="A53" s="7">
        <f>Données!A53</f>
        <v>5486</v>
      </c>
      <c r="B53" s="27" t="str">
        <f>Données!B53</f>
        <v>L'Isle</v>
      </c>
      <c r="C53" s="8">
        <f>Données!C53+Données!D53</f>
        <v>2304364.89</v>
      </c>
      <c r="D53" s="8">
        <f>+Données!G53+Données!H53+Données!S53</f>
        <v>70668.67</v>
      </c>
      <c r="E53" s="8">
        <f>+Données!E53</f>
        <v>0</v>
      </c>
      <c r="F53" s="8">
        <f>+Données!I53</f>
        <v>0</v>
      </c>
      <c r="G53" s="8">
        <f>+Données!J53</f>
        <v>33904.49</v>
      </c>
      <c r="H53" s="8">
        <f>Données!U53</f>
        <v>-18000.98</v>
      </c>
      <c r="I53" s="198">
        <f>Données!V53</f>
        <v>0</v>
      </c>
      <c r="J53" s="198">
        <f>Données!W53</f>
        <v>0</v>
      </c>
      <c r="K53" s="8">
        <f>+Données!Q53</f>
        <v>424.79</v>
      </c>
      <c r="L53" s="411">
        <f t="shared" si="1"/>
        <v>2391361.8600000003</v>
      </c>
      <c r="M53" s="8">
        <f>+Données!F53</f>
        <v>0</v>
      </c>
      <c r="N53" s="8">
        <f>+Données!K53</f>
        <v>11661.2</v>
      </c>
      <c r="O53" s="8">
        <f>(Données!L53/Données!Y53)*1</f>
        <v>203693.1</v>
      </c>
      <c r="P53" s="411">
        <f t="shared" si="2"/>
        <v>2606716.1600000006</v>
      </c>
      <c r="Q53" s="223">
        <f>+Données!X53</f>
        <v>75</v>
      </c>
      <c r="R53" s="411">
        <f t="shared" si="3"/>
        <v>34756.215466666676</v>
      </c>
    </row>
    <row r="54" spans="1:18" x14ac:dyDescent="0.25">
      <c r="A54" s="7">
        <f>Données!A54</f>
        <v>5487</v>
      </c>
      <c r="B54" s="27" t="str">
        <f>Données!B54</f>
        <v>Lussery-Villars</v>
      </c>
      <c r="C54" s="8">
        <f>Données!C54+Données!D54</f>
        <v>813957.71</v>
      </c>
      <c r="D54" s="8">
        <f>+Données!G54+Données!H54+Données!S54</f>
        <v>3916.13</v>
      </c>
      <c r="E54" s="8">
        <f>+Données!E54</f>
        <v>0</v>
      </c>
      <c r="F54" s="8">
        <f>+Données!I54</f>
        <v>0</v>
      </c>
      <c r="G54" s="8">
        <f>+Données!J54</f>
        <v>3474.05</v>
      </c>
      <c r="H54" s="8">
        <f>Données!U54</f>
        <v>-15614.44</v>
      </c>
      <c r="I54" s="198">
        <f>Données!V54</f>
        <v>0</v>
      </c>
      <c r="J54" s="198">
        <f>Données!W54</f>
        <v>0</v>
      </c>
      <c r="K54" s="8">
        <f>+Données!Q54</f>
        <v>13814.44</v>
      </c>
      <c r="L54" s="411">
        <f t="shared" si="1"/>
        <v>819547.89</v>
      </c>
      <c r="M54" s="8">
        <f>+Données!F54</f>
        <v>0</v>
      </c>
      <c r="N54" s="8">
        <f>+Données!K54</f>
        <v>993.25</v>
      </c>
      <c r="O54" s="8">
        <f>(Données!L54/Données!Y54)*1</f>
        <v>82655.350000000006</v>
      </c>
      <c r="P54" s="411">
        <f t="shared" si="2"/>
        <v>903196.49</v>
      </c>
      <c r="Q54" s="223">
        <f>+Données!X54</f>
        <v>75</v>
      </c>
      <c r="R54" s="411">
        <f t="shared" si="3"/>
        <v>12042.619866666666</v>
      </c>
    </row>
    <row r="55" spans="1:18" x14ac:dyDescent="0.25">
      <c r="A55" s="7">
        <f>Données!A55</f>
        <v>5488</v>
      </c>
      <c r="B55" s="27" t="str">
        <f>Données!B55</f>
        <v>Mauraz</v>
      </c>
      <c r="C55" s="8">
        <f>Données!C55+Données!D55</f>
        <v>157010.99000000002</v>
      </c>
      <c r="D55" s="8">
        <f>+Données!G55+Données!H55+Données!S55</f>
        <v>109.51</v>
      </c>
      <c r="E55" s="8">
        <f>+Données!E55</f>
        <v>0</v>
      </c>
      <c r="F55" s="8">
        <f>+Données!I55</f>
        <v>0</v>
      </c>
      <c r="G55" s="8">
        <f>+Données!J55</f>
        <v>458</v>
      </c>
      <c r="H55" s="8">
        <f>Données!U55</f>
        <v>-2431.8200000000002</v>
      </c>
      <c r="I55" s="198">
        <f>Données!V55</f>
        <v>0</v>
      </c>
      <c r="J55" s="198">
        <f>Données!W55</f>
        <v>0</v>
      </c>
      <c r="K55" s="8">
        <f>+Données!Q55</f>
        <v>0</v>
      </c>
      <c r="L55" s="411">
        <f t="shared" si="1"/>
        <v>155146.68000000002</v>
      </c>
      <c r="M55" s="8">
        <f>+Données!F55</f>
        <v>0</v>
      </c>
      <c r="N55" s="8">
        <f>+Données!K55</f>
        <v>0</v>
      </c>
      <c r="O55" s="8">
        <f>(Données!L55/Données!Y55)*1</f>
        <v>8987</v>
      </c>
      <c r="P55" s="411">
        <f t="shared" si="2"/>
        <v>164133.68000000002</v>
      </c>
      <c r="Q55" s="223">
        <f>+Données!X55</f>
        <v>77</v>
      </c>
      <c r="R55" s="411">
        <f t="shared" si="3"/>
        <v>2131.6062337662343</v>
      </c>
    </row>
    <row r="56" spans="1:18" x14ac:dyDescent="0.25">
      <c r="A56" s="7">
        <f>Données!A56</f>
        <v>5489</v>
      </c>
      <c r="B56" s="27" t="str">
        <f>Données!B56</f>
        <v>Mex</v>
      </c>
      <c r="C56" s="8">
        <f>Données!C56+Données!D56</f>
        <v>2716222.13</v>
      </c>
      <c r="D56" s="8">
        <f>+Données!G56+Données!H56+Données!S56</f>
        <v>548878.57999999996</v>
      </c>
      <c r="E56" s="8">
        <f>+Données!E56</f>
        <v>0</v>
      </c>
      <c r="F56" s="8">
        <f>+Données!I56</f>
        <v>0</v>
      </c>
      <c r="G56" s="8">
        <f>+Données!J56</f>
        <v>55715.49</v>
      </c>
      <c r="H56" s="8">
        <f>Données!U56</f>
        <v>-15246.03</v>
      </c>
      <c r="I56" s="198">
        <f>Données!V56</f>
        <v>0</v>
      </c>
      <c r="J56" s="198">
        <f>Données!W56</f>
        <v>-3666.91</v>
      </c>
      <c r="K56" s="8">
        <f>+Données!Q56</f>
        <v>1794.24</v>
      </c>
      <c r="L56" s="411">
        <f t="shared" si="1"/>
        <v>3303697.5000000005</v>
      </c>
      <c r="M56" s="8">
        <f>+Données!F56</f>
        <v>0</v>
      </c>
      <c r="N56" s="8">
        <f>+Données!K56</f>
        <v>6151.5</v>
      </c>
      <c r="O56" s="8">
        <f>(Données!L56/Données!Y56)*1</f>
        <v>304202.90000000002</v>
      </c>
      <c r="P56" s="411">
        <f t="shared" si="2"/>
        <v>3614051.9000000004</v>
      </c>
      <c r="Q56" s="223">
        <f>+Données!X56</f>
        <v>59.5</v>
      </c>
      <c r="R56" s="411">
        <f t="shared" si="3"/>
        <v>60740.368067226897</v>
      </c>
    </row>
    <row r="57" spans="1:18" x14ac:dyDescent="0.25">
      <c r="A57" s="7">
        <f>Données!A57</f>
        <v>5490</v>
      </c>
      <c r="B57" s="27" t="str">
        <f>Données!B57</f>
        <v>Moiry</v>
      </c>
      <c r="C57" s="8">
        <f>Données!C57+Données!D57</f>
        <v>610042.6100000001</v>
      </c>
      <c r="D57" s="8">
        <f>+Données!G57+Données!H57+Données!S57</f>
        <v>1159.0700000000002</v>
      </c>
      <c r="E57" s="8">
        <f>+Données!E57</f>
        <v>0</v>
      </c>
      <c r="F57" s="8">
        <f>+Données!I57</f>
        <v>0</v>
      </c>
      <c r="G57" s="8">
        <f>+Données!J57</f>
        <v>1091.75</v>
      </c>
      <c r="H57" s="8">
        <f>Données!U57</f>
        <v>-8440.4</v>
      </c>
      <c r="I57" s="198">
        <f>Données!V57</f>
        <v>0</v>
      </c>
      <c r="J57" s="198">
        <f>Données!W57</f>
        <v>-315.7</v>
      </c>
      <c r="K57" s="8">
        <f>+Données!Q57</f>
        <v>0</v>
      </c>
      <c r="L57" s="411">
        <f t="shared" si="1"/>
        <v>603537.33000000007</v>
      </c>
      <c r="M57" s="8">
        <f>+Données!F57</f>
        <v>0</v>
      </c>
      <c r="N57" s="8">
        <f>+Données!K57</f>
        <v>0</v>
      </c>
      <c r="O57" s="8">
        <f>(Données!L57/Données!Y57)*1</f>
        <v>47956</v>
      </c>
      <c r="P57" s="411">
        <f t="shared" si="2"/>
        <v>651493.33000000007</v>
      </c>
      <c r="Q57" s="223">
        <f>+Données!X57</f>
        <v>77</v>
      </c>
      <c r="R57" s="411">
        <f t="shared" si="3"/>
        <v>8460.9523376623383</v>
      </c>
    </row>
    <row r="58" spans="1:18" x14ac:dyDescent="0.25">
      <c r="A58" s="7">
        <f>Données!A58</f>
        <v>5491</v>
      </c>
      <c r="B58" s="27" t="str">
        <f>Données!B58</f>
        <v>Mont-la-Ville</v>
      </c>
      <c r="C58" s="8">
        <f>Données!C58+Données!D58</f>
        <v>937563.74</v>
      </c>
      <c r="D58" s="8">
        <f>+Données!G58+Données!H58+Données!S58</f>
        <v>33135.370000000003</v>
      </c>
      <c r="E58" s="8">
        <f>+Données!E58</f>
        <v>0</v>
      </c>
      <c r="F58" s="8">
        <f>+Données!I58</f>
        <v>0</v>
      </c>
      <c r="G58" s="8">
        <f>+Données!J58</f>
        <v>5828.18</v>
      </c>
      <c r="H58" s="8">
        <f>Données!U58</f>
        <v>-20652.240000000002</v>
      </c>
      <c r="I58" s="198">
        <f>Données!V58</f>
        <v>0</v>
      </c>
      <c r="J58" s="198">
        <f>Données!W58</f>
        <v>-24.5</v>
      </c>
      <c r="K58" s="8">
        <f>+Données!Q58</f>
        <v>13.91</v>
      </c>
      <c r="L58" s="411">
        <f t="shared" si="1"/>
        <v>955864.46000000008</v>
      </c>
      <c r="M58" s="8">
        <f>+Données!F58</f>
        <v>2780</v>
      </c>
      <c r="N58" s="8">
        <f>+Données!K58</f>
        <v>425</v>
      </c>
      <c r="O58" s="8">
        <f>(Données!L58/Données!Y58)*1</f>
        <v>92939.05</v>
      </c>
      <c r="P58" s="411">
        <f t="shared" si="2"/>
        <v>1052008.51</v>
      </c>
      <c r="Q58" s="223">
        <f>+Données!X58</f>
        <v>76</v>
      </c>
      <c r="R58" s="411">
        <f t="shared" si="3"/>
        <v>13842.217236842105</v>
      </c>
    </row>
    <row r="59" spans="1:18" x14ac:dyDescent="0.25">
      <c r="A59" s="7">
        <f>Données!A59</f>
        <v>5492</v>
      </c>
      <c r="B59" s="27" t="str">
        <f>Données!B59</f>
        <v>Montricher</v>
      </c>
      <c r="C59" s="8">
        <f>Données!C59+Données!D59</f>
        <v>9269140.2199999988</v>
      </c>
      <c r="D59" s="8">
        <f>+Données!G59+Données!H59+Données!S59</f>
        <v>84172.62</v>
      </c>
      <c r="E59" s="8">
        <f>+Données!E59</f>
        <v>0</v>
      </c>
      <c r="F59" s="8">
        <f>+Données!I59</f>
        <v>0</v>
      </c>
      <c r="G59" s="8">
        <f>+Données!J59</f>
        <v>-7366.98</v>
      </c>
      <c r="H59" s="8">
        <f>Données!U59</f>
        <v>-20814.23</v>
      </c>
      <c r="I59" s="198">
        <f>Données!V59</f>
        <v>0</v>
      </c>
      <c r="J59" s="198">
        <f>Données!W59</f>
        <v>-3540.85</v>
      </c>
      <c r="K59" s="8">
        <f>+Données!Q59</f>
        <v>18028.43</v>
      </c>
      <c r="L59" s="411">
        <f t="shared" si="1"/>
        <v>9339619.2099999972</v>
      </c>
      <c r="M59" s="8">
        <f>+Données!F59</f>
        <v>0</v>
      </c>
      <c r="N59" s="8">
        <f>+Données!K59</f>
        <v>4857.45</v>
      </c>
      <c r="O59" s="8">
        <f>(Données!L59/Données!Y59)*1</f>
        <v>249608.50000000003</v>
      </c>
      <c r="P59" s="411">
        <f t="shared" si="2"/>
        <v>9594085.1599999964</v>
      </c>
      <c r="Q59" s="223">
        <f>+Données!X59</f>
        <v>64</v>
      </c>
      <c r="R59" s="411">
        <f t="shared" si="3"/>
        <v>149907.58062499994</v>
      </c>
    </row>
    <row r="60" spans="1:18" x14ac:dyDescent="0.25">
      <c r="A60" s="7">
        <f>Données!A60</f>
        <v>5493</v>
      </c>
      <c r="B60" s="27" t="str">
        <f>Données!B60</f>
        <v>Orny</v>
      </c>
      <c r="C60" s="8">
        <f>Données!C60+Données!D60</f>
        <v>965668.79</v>
      </c>
      <c r="D60" s="8">
        <f>+Données!G60+Données!H60+Données!S60</f>
        <v>10650.41</v>
      </c>
      <c r="E60" s="8">
        <f>+Données!E60</f>
        <v>0</v>
      </c>
      <c r="F60" s="8">
        <f>+Données!I60</f>
        <v>0</v>
      </c>
      <c r="G60" s="8">
        <f>+Données!J60</f>
        <v>17420.61</v>
      </c>
      <c r="H60" s="8">
        <f>Données!U60</f>
        <v>-8679.82</v>
      </c>
      <c r="I60" s="198">
        <f>Données!V60</f>
        <v>0</v>
      </c>
      <c r="J60" s="198">
        <f>Données!W60</f>
        <v>-156.4</v>
      </c>
      <c r="K60" s="8">
        <f>+Données!Q60</f>
        <v>0</v>
      </c>
      <c r="L60" s="411">
        <f t="shared" si="1"/>
        <v>984903.59000000008</v>
      </c>
      <c r="M60" s="8">
        <f>+Données!F60</f>
        <v>0</v>
      </c>
      <c r="N60" s="8">
        <f>+Données!K60</f>
        <v>3534.35</v>
      </c>
      <c r="O60" s="8">
        <f>(Données!L60/Données!Y60)*1</f>
        <v>79977.692307692312</v>
      </c>
      <c r="P60" s="411">
        <f t="shared" si="2"/>
        <v>1068415.6323076924</v>
      </c>
      <c r="Q60" s="223">
        <f>+Données!X60</f>
        <v>73</v>
      </c>
      <c r="R60" s="411">
        <f t="shared" si="3"/>
        <v>14635.830579557431</v>
      </c>
    </row>
    <row r="61" spans="1:18" x14ac:dyDescent="0.25">
      <c r="A61" s="7">
        <f>Données!A61</f>
        <v>5495</v>
      </c>
      <c r="B61" s="27" t="str">
        <f>Données!B61</f>
        <v>Penthalaz</v>
      </c>
      <c r="C61" s="8">
        <f>Données!C61+Données!D61</f>
        <v>6620017.9699999997</v>
      </c>
      <c r="D61" s="8">
        <f>+Données!G61+Données!H61+Données!S61</f>
        <v>274586.49000000005</v>
      </c>
      <c r="E61" s="8">
        <f>+Données!E61</f>
        <v>0</v>
      </c>
      <c r="F61" s="8">
        <f>+Données!I61</f>
        <v>76799.7</v>
      </c>
      <c r="G61" s="8">
        <f>+Données!J61</f>
        <v>211972.27</v>
      </c>
      <c r="H61" s="8">
        <f>Données!U61</f>
        <v>-171049.56</v>
      </c>
      <c r="I61" s="198">
        <f>Données!V61</f>
        <v>0</v>
      </c>
      <c r="J61" s="198">
        <f>Données!W61</f>
        <v>-685.49</v>
      </c>
      <c r="K61" s="8">
        <f>+Données!Q61</f>
        <v>23393.9</v>
      </c>
      <c r="L61" s="411">
        <f t="shared" si="1"/>
        <v>7035035.2800000003</v>
      </c>
      <c r="M61" s="8">
        <f>+Données!F61</f>
        <v>0</v>
      </c>
      <c r="N61" s="8">
        <f>+Données!K61</f>
        <v>77785.600000000006</v>
      </c>
      <c r="O61" s="8">
        <f>(Données!L61/Données!Y61)*1</f>
        <v>513365.45</v>
      </c>
      <c r="P61" s="411">
        <f t="shared" si="2"/>
        <v>7626186.3300000001</v>
      </c>
      <c r="Q61" s="223">
        <f>+Données!X61</f>
        <v>74</v>
      </c>
      <c r="R61" s="411">
        <f t="shared" si="3"/>
        <v>103056.57202702702</v>
      </c>
    </row>
    <row r="62" spans="1:18" x14ac:dyDescent="0.25">
      <c r="A62" s="7">
        <f>Données!A62</f>
        <v>5496</v>
      </c>
      <c r="B62" s="27" t="str">
        <f>Données!B62</f>
        <v>Penthaz</v>
      </c>
      <c r="C62" s="8">
        <f>Données!C62+Données!D62</f>
        <v>3697867.35</v>
      </c>
      <c r="D62" s="8">
        <f>+Données!G62+Données!H62+Données!S62</f>
        <v>173085.34</v>
      </c>
      <c r="E62" s="8">
        <f>+Données!E62</f>
        <v>0</v>
      </c>
      <c r="F62" s="8">
        <f>+Données!I62</f>
        <v>0</v>
      </c>
      <c r="G62" s="8">
        <f>+Données!J62</f>
        <v>89283.92</v>
      </c>
      <c r="H62" s="8">
        <f>Données!U62</f>
        <v>-79946.880000000005</v>
      </c>
      <c r="I62" s="198">
        <f>Données!V62</f>
        <v>0</v>
      </c>
      <c r="J62" s="198">
        <f>Données!W62</f>
        <v>-156.5</v>
      </c>
      <c r="K62" s="8">
        <f>+Données!Q62</f>
        <v>10397.52</v>
      </c>
      <c r="L62" s="411">
        <f t="shared" si="1"/>
        <v>3890530.75</v>
      </c>
      <c r="M62" s="8">
        <f>+Données!F62</f>
        <v>0</v>
      </c>
      <c r="N62" s="8">
        <f>+Données!K62</f>
        <v>25492.5</v>
      </c>
      <c r="O62" s="8">
        <f>(Données!L62/Données!Y62)*1</f>
        <v>368757.3</v>
      </c>
      <c r="P62" s="411">
        <f t="shared" si="2"/>
        <v>4284780.55</v>
      </c>
      <c r="Q62" s="223">
        <f>+Données!X62</f>
        <v>69.5</v>
      </c>
      <c r="R62" s="411">
        <f t="shared" si="3"/>
        <v>61651.518705035967</v>
      </c>
    </row>
    <row r="63" spans="1:18" x14ac:dyDescent="0.25">
      <c r="A63" s="7">
        <f>Données!A63</f>
        <v>5497</v>
      </c>
      <c r="B63" s="27" t="str">
        <f>Données!B63</f>
        <v>Pompaples</v>
      </c>
      <c r="C63" s="8">
        <f>Données!C63+Données!D63</f>
        <v>1298948.26</v>
      </c>
      <c r="D63" s="8">
        <f>+Données!G63+Données!H63+Données!S63</f>
        <v>22776.22</v>
      </c>
      <c r="E63" s="8">
        <f>+Données!E63</f>
        <v>0</v>
      </c>
      <c r="F63" s="8">
        <f>+Données!I63</f>
        <v>0</v>
      </c>
      <c r="G63" s="8">
        <f>+Données!J63</f>
        <v>69090.25</v>
      </c>
      <c r="H63" s="8">
        <f>Données!U63</f>
        <v>-27509.43</v>
      </c>
      <c r="I63" s="198">
        <f>Données!V63</f>
        <v>0</v>
      </c>
      <c r="J63" s="198">
        <f>Données!W63</f>
        <v>-150.80000000000001</v>
      </c>
      <c r="K63" s="8">
        <f>+Données!Q63</f>
        <v>8434.52</v>
      </c>
      <c r="L63" s="411">
        <f t="shared" si="1"/>
        <v>1371589.02</v>
      </c>
      <c r="M63" s="8">
        <f>+Données!F63</f>
        <v>0</v>
      </c>
      <c r="N63" s="8">
        <f>+Données!K63</f>
        <v>4013.6</v>
      </c>
      <c r="O63" s="8">
        <f>(Données!L63/Données!Y63)*1</f>
        <v>139086.20000000001</v>
      </c>
      <c r="P63" s="411">
        <f t="shared" si="2"/>
        <v>1514688.82</v>
      </c>
      <c r="Q63" s="223">
        <f>+Données!X63</f>
        <v>66</v>
      </c>
      <c r="R63" s="411">
        <f t="shared" si="3"/>
        <v>22949.830606060608</v>
      </c>
    </row>
    <row r="64" spans="1:18" x14ac:dyDescent="0.25">
      <c r="A64" s="7">
        <f>Données!A64</f>
        <v>5498</v>
      </c>
      <c r="B64" s="27" t="str">
        <f>Données!B64</f>
        <v>La Sarraz</v>
      </c>
      <c r="C64" s="8">
        <f>Données!C64+Données!D64</f>
        <v>4289797.03</v>
      </c>
      <c r="D64" s="8">
        <f>+Données!G64+Données!H64+Données!S64</f>
        <v>117525.7</v>
      </c>
      <c r="E64" s="8">
        <f>+Données!E64</f>
        <v>0</v>
      </c>
      <c r="F64" s="8">
        <f>+Données!I64</f>
        <v>0</v>
      </c>
      <c r="G64" s="8">
        <f>+Données!J64</f>
        <v>109228.63</v>
      </c>
      <c r="H64" s="8">
        <f>Données!U64</f>
        <v>-110216.03</v>
      </c>
      <c r="I64" s="198">
        <f>Données!V64</f>
        <v>0</v>
      </c>
      <c r="J64" s="198">
        <f>Données!W64</f>
        <v>-112.81</v>
      </c>
      <c r="K64" s="8">
        <f>+Données!Q64</f>
        <v>17261.95</v>
      </c>
      <c r="L64" s="411">
        <f t="shared" si="1"/>
        <v>4423484.4700000007</v>
      </c>
      <c r="M64" s="8">
        <f>+Données!F64</f>
        <v>0</v>
      </c>
      <c r="N64" s="8">
        <f>+Données!K64</f>
        <v>25711.1</v>
      </c>
      <c r="O64" s="8">
        <f>(Données!L64/Données!Y64)*1</f>
        <v>417885.7</v>
      </c>
      <c r="P64" s="411">
        <f t="shared" si="2"/>
        <v>4867081.2700000005</v>
      </c>
      <c r="Q64" s="223">
        <f>+Données!X64</f>
        <v>66</v>
      </c>
      <c r="R64" s="411">
        <f t="shared" si="3"/>
        <v>73743.655606060609</v>
      </c>
    </row>
    <row r="65" spans="1:18" x14ac:dyDescent="0.25">
      <c r="A65" s="7">
        <f>Données!A65</f>
        <v>5499</v>
      </c>
      <c r="B65" s="27" t="str">
        <f>Données!B65</f>
        <v>Senarclens</v>
      </c>
      <c r="C65" s="8">
        <f>Données!C65+Données!D65</f>
        <v>1266074.73</v>
      </c>
      <c r="D65" s="8">
        <f>+Données!G65+Données!H65+Données!S65</f>
        <v>19256.939999999999</v>
      </c>
      <c r="E65" s="8">
        <f>+Données!E65</f>
        <v>0</v>
      </c>
      <c r="F65" s="8">
        <f>+Données!I65</f>
        <v>0</v>
      </c>
      <c r="G65" s="8">
        <f>+Données!J65</f>
        <v>29664.6</v>
      </c>
      <c r="H65" s="8">
        <f>Données!U65</f>
        <v>-14108.24</v>
      </c>
      <c r="I65" s="198">
        <f>Données!V65</f>
        <v>0</v>
      </c>
      <c r="J65" s="198">
        <f>Données!W65</f>
        <v>-683.05</v>
      </c>
      <c r="K65" s="8">
        <f>+Données!Q65</f>
        <v>49.13</v>
      </c>
      <c r="L65" s="411">
        <f t="shared" si="1"/>
        <v>1300254.1099999999</v>
      </c>
      <c r="M65" s="8">
        <f>+Données!F65</f>
        <v>0</v>
      </c>
      <c r="N65" s="8">
        <f>+Données!K65</f>
        <v>0</v>
      </c>
      <c r="O65" s="8">
        <f>(Données!L65/Données!Y65)*1</f>
        <v>103386.45</v>
      </c>
      <c r="P65" s="411">
        <f t="shared" si="2"/>
        <v>1403640.5599999998</v>
      </c>
      <c r="Q65" s="223">
        <f>+Données!X65</f>
        <v>68.5</v>
      </c>
      <c r="R65" s="411">
        <f t="shared" si="3"/>
        <v>20491.103065693427</v>
      </c>
    </row>
    <row r="66" spans="1:18" x14ac:dyDescent="0.25">
      <c r="A66" s="7">
        <f>Données!A66</f>
        <v>5501</v>
      </c>
      <c r="B66" s="27" t="str">
        <f>Données!B66</f>
        <v>Sullens</v>
      </c>
      <c r="C66" s="8">
        <f>Données!C66+Données!D66</f>
        <v>3059734.09</v>
      </c>
      <c r="D66" s="8">
        <f>+Données!G66+Données!H66+Données!S66</f>
        <v>133951.51</v>
      </c>
      <c r="E66" s="8">
        <f>+Données!E66</f>
        <v>0</v>
      </c>
      <c r="F66" s="8">
        <f>+Données!I66</f>
        <v>0</v>
      </c>
      <c r="G66" s="8">
        <f>+Données!J66</f>
        <v>30549.64</v>
      </c>
      <c r="H66" s="8">
        <f>Données!U66</f>
        <v>-30117.39</v>
      </c>
      <c r="I66" s="198">
        <f>Données!V66</f>
        <v>0</v>
      </c>
      <c r="J66" s="198">
        <f>Données!W66</f>
        <v>-1560.15</v>
      </c>
      <c r="K66" s="8">
        <f>+Données!Q66</f>
        <v>722.98</v>
      </c>
      <c r="L66" s="411">
        <f t="shared" si="1"/>
        <v>3193280.6799999997</v>
      </c>
      <c r="M66" s="8">
        <f>+Données!F66</f>
        <v>0</v>
      </c>
      <c r="N66" s="8">
        <f>+Données!K66</f>
        <v>0</v>
      </c>
      <c r="O66" s="8">
        <f>(Données!L66/Données!Y66)*1</f>
        <v>252522.4</v>
      </c>
      <c r="P66" s="411">
        <f t="shared" si="2"/>
        <v>3445803.0799999996</v>
      </c>
      <c r="Q66" s="223">
        <f>+Données!X66</f>
        <v>64</v>
      </c>
      <c r="R66" s="411">
        <f t="shared" si="3"/>
        <v>53840.673124999994</v>
      </c>
    </row>
    <row r="67" spans="1:18" x14ac:dyDescent="0.25">
      <c r="A67" s="7">
        <f>Données!A67</f>
        <v>5503</v>
      </c>
      <c r="B67" s="27" t="str">
        <f>Données!B67</f>
        <v>Vufflens-la-Ville</v>
      </c>
      <c r="C67" s="8">
        <f>Données!C67+Données!D67</f>
        <v>3923148.12</v>
      </c>
      <c r="D67" s="8">
        <f>+Données!G67+Données!H67+Données!S67</f>
        <v>535223.3600000001</v>
      </c>
      <c r="E67" s="8">
        <f>+Données!E67</f>
        <v>0</v>
      </c>
      <c r="F67" s="8">
        <f>+Données!I67</f>
        <v>0</v>
      </c>
      <c r="G67" s="8">
        <f>+Données!J67</f>
        <v>66955.03</v>
      </c>
      <c r="H67" s="8">
        <f>Données!U67</f>
        <v>-36616.33</v>
      </c>
      <c r="I67" s="198">
        <f>Données!V67</f>
        <v>0</v>
      </c>
      <c r="J67" s="198">
        <f>Données!W67</f>
        <v>-481.25</v>
      </c>
      <c r="K67" s="8">
        <f>+Données!Q67</f>
        <v>1904.54</v>
      </c>
      <c r="L67" s="411">
        <f t="shared" si="1"/>
        <v>4490133.4700000007</v>
      </c>
      <c r="M67" s="8">
        <f>+Données!F67</f>
        <v>0</v>
      </c>
      <c r="N67" s="8">
        <f>+Données!K67</f>
        <v>60646.85</v>
      </c>
      <c r="O67" s="8">
        <f>(Données!L67/Données!Y67)*1</f>
        <v>489138.16666666674</v>
      </c>
      <c r="P67" s="411">
        <f t="shared" si="2"/>
        <v>5039918.4866666673</v>
      </c>
      <c r="Q67" s="223">
        <f>+Données!X67</f>
        <v>67</v>
      </c>
      <c r="R67" s="411">
        <f t="shared" si="3"/>
        <v>75222.663980099518</v>
      </c>
    </row>
    <row r="68" spans="1:18" x14ac:dyDescent="0.25">
      <c r="A68" s="7">
        <f>Données!A68</f>
        <v>5511</v>
      </c>
      <c r="B68" s="27" t="str">
        <f>Données!B68</f>
        <v>Assens</v>
      </c>
      <c r="C68" s="8">
        <f>Données!C68+Données!D68</f>
        <v>4077358.44</v>
      </c>
      <c r="D68" s="8">
        <f>+Données!G68+Données!H68+Données!S68</f>
        <v>585377.7300000001</v>
      </c>
      <c r="E68" s="8">
        <f>+Données!E68</f>
        <v>0</v>
      </c>
      <c r="F68" s="8">
        <f>+Données!I68</f>
        <v>0</v>
      </c>
      <c r="G68" s="8">
        <f>+Données!J68</f>
        <v>41847</v>
      </c>
      <c r="H68" s="8">
        <f>Données!U68</f>
        <v>-31403.13</v>
      </c>
      <c r="I68" s="198">
        <f>Données!V68</f>
        <v>0</v>
      </c>
      <c r="J68" s="198">
        <f>Données!W68</f>
        <v>-966.06</v>
      </c>
      <c r="K68" s="8">
        <f>+Données!Q68</f>
        <v>13607.29</v>
      </c>
      <c r="L68" s="411">
        <f t="shared" si="1"/>
        <v>4685821.2700000005</v>
      </c>
      <c r="M68" s="8">
        <f>+Données!F68</f>
        <v>0</v>
      </c>
      <c r="N68" s="8">
        <f>+Données!K68</f>
        <v>22019.8</v>
      </c>
      <c r="O68" s="8">
        <f>(Données!L68/Données!Y68)*1</f>
        <v>390663.45</v>
      </c>
      <c r="P68" s="411">
        <f t="shared" si="2"/>
        <v>5098504.5200000005</v>
      </c>
      <c r="Q68" s="223">
        <f>+Données!X68</f>
        <v>70</v>
      </c>
      <c r="R68" s="411">
        <f t="shared" si="3"/>
        <v>72835.778857142868</v>
      </c>
    </row>
    <row r="69" spans="1:18" x14ac:dyDescent="0.25">
      <c r="A69" s="7">
        <f>Données!A69</f>
        <v>5512</v>
      </c>
      <c r="B69" s="27" t="str">
        <f>Données!B69</f>
        <v>Bercher</v>
      </c>
      <c r="C69" s="8">
        <f>Données!C69+Données!D69</f>
        <v>2841055.04</v>
      </c>
      <c r="D69" s="8">
        <f>+Données!G69+Données!H69+Données!S69</f>
        <v>75724.149999999994</v>
      </c>
      <c r="E69" s="8">
        <f>+Données!E69</f>
        <v>0</v>
      </c>
      <c r="F69" s="8">
        <f>+Données!I69</f>
        <v>0</v>
      </c>
      <c r="G69" s="8">
        <f>+Données!J69</f>
        <v>63273.13</v>
      </c>
      <c r="H69" s="8">
        <f>Données!U69</f>
        <v>-26263.360000000001</v>
      </c>
      <c r="I69" s="198">
        <f>Données!V69</f>
        <v>0</v>
      </c>
      <c r="J69" s="198">
        <f>Données!W69</f>
        <v>-340.15</v>
      </c>
      <c r="K69" s="8">
        <f>+Données!Q69</f>
        <v>20830.82</v>
      </c>
      <c r="L69" s="411">
        <f t="shared" si="1"/>
        <v>2974279.63</v>
      </c>
      <c r="M69" s="8">
        <f>+Données!F69</f>
        <v>0</v>
      </c>
      <c r="N69" s="8">
        <f>+Données!K69</f>
        <v>7327.9</v>
      </c>
      <c r="O69" s="8">
        <f>(Données!L69/Données!Y69)*1</f>
        <v>273092</v>
      </c>
      <c r="P69" s="411">
        <f t="shared" si="2"/>
        <v>3254699.53</v>
      </c>
      <c r="Q69" s="223">
        <f>+Données!X69</f>
        <v>79</v>
      </c>
      <c r="R69" s="411">
        <f t="shared" si="3"/>
        <v>41198.7282278481</v>
      </c>
    </row>
    <row r="70" spans="1:18" x14ac:dyDescent="0.25">
      <c r="A70" s="7">
        <f>Données!A70</f>
        <v>5514</v>
      </c>
      <c r="B70" s="27" t="str">
        <f>Données!B70</f>
        <v>Bottens</v>
      </c>
      <c r="C70" s="8">
        <f>Données!C70+Données!D70</f>
        <v>2972158.01</v>
      </c>
      <c r="D70" s="8">
        <f>+Données!G70+Données!H70+Données!S70</f>
        <v>55406.06</v>
      </c>
      <c r="E70" s="8">
        <f>+Données!E70</f>
        <v>0</v>
      </c>
      <c r="F70" s="8">
        <f>+Données!I70</f>
        <v>39675.800000000003</v>
      </c>
      <c r="G70" s="8">
        <f>+Données!J70</f>
        <v>50641.21</v>
      </c>
      <c r="H70" s="8">
        <f>Données!U70</f>
        <v>-99760.77</v>
      </c>
      <c r="I70" s="198">
        <f>Données!V70</f>
        <v>0</v>
      </c>
      <c r="J70" s="198">
        <f>Données!W70</f>
        <v>-2592.8000000000002</v>
      </c>
      <c r="K70" s="8">
        <f>+Données!Q70</f>
        <v>44751.07</v>
      </c>
      <c r="L70" s="411">
        <f t="shared" si="1"/>
        <v>3060278.5799999996</v>
      </c>
      <c r="M70" s="8">
        <f>+Données!F70</f>
        <v>0</v>
      </c>
      <c r="N70" s="8">
        <f>+Données!K70</f>
        <v>10408</v>
      </c>
      <c r="O70" s="8">
        <f>(Données!L70/Données!Y70)*1</f>
        <v>243450.5</v>
      </c>
      <c r="P70" s="411">
        <f t="shared" si="2"/>
        <v>3314137.0799999996</v>
      </c>
      <c r="Q70" s="223">
        <f>+Données!X70</f>
        <v>72.5</v>
      </c>
      <c r="R70" s="411">
        <f t="shared" si="3"/>
        <v>45712.235586206894</v>
      </c>
    </row>
    <row r="71" spans="1:18" x14ac:dyDescent="0.25">
      <c r="A71" s="7">
        <f>Données!A71</f>
        <v>5515</v>
      </c>
      <c r="B71" s="27" t="str">
        <f>Données!B71</f>
        <v>Bretigny-sur-Morrens</v>
      </c>
      <c r="C71" s="8">
        <f>Données!C71+Données!D71</f>
        <v>2023448.76</v>
      </c>
      <c r="D71" s="8">
        <f>+Données!G71+Données!H71+Données!S71</f>
        <v>47722.02</v>
      </c>
      <c r="E71" s="8">
        <f>+Données!E71</f>
        <v>0</v>
      </c>
      <c r="F71" s="8">
        <f>+Données!I71</f>
        <v>0</v>
      </c>
      <c r="G71" s="8">
        <f>+Données!J71</f>
        <v>48242.97</v>
      </c>
      <c r="H71" s="8">
        <f>Données!U71</f>
        <v>-45438.68</v>
      </c>
      <c r="I71" s="198">
        <f>Données!V71</f>
        <v>0</v>
      </c>
      <c r="J71" s="198">
        <f>Données!W71</f>
        <v>-375.25</v>
      </c>
      <c r="K71" s="8">
        <f>+Données!Q71</f>
        <v>714.06</v>
      </c>
      <c r="L71" s="411">
        <f t="shared" ref="L71:L134" si="4">SUM(C71:K71)</f>
        <v>2074313.8800000001</v>
      </c>
      <c r="M71" s="8">
        <f>+Données!F71</f>
        <v>0</v>
      </c>
      <c r="N71" s="8">
        <f>+Données!K71</f>
        <v>18378.05</v>
      </c>
      <c r="O71" s="8">
        <f>(Données!L71/Données!Y71)*1</f>
        <v>191561.15</v>
      </c>
      <c r="P71" s="411">
        <f t="shared" ref="P71:P134" si="5">SUM(L71:O71)</f>
        <v>2284253.08</v>
      </c>
      <c r="Q71" s="223">
        <f>+Données!X71</f>
        <v>78</v>
      </c>
      <c r="R71" s="411">
        <f t="shared" ref="R71:R134" si="6">P71/Q71</f>
        <v>29285.295897435899</v>
      </c>
    </row>
    <row r="72" spans="1:18" x14ac:dyDescent="0.25">
      <c r="A72" s="7">
        <f>Données!A72</f>
        <v>5516</v>
      </c>
      <c r="B72" s="27" t="str">
        <f>Données!B72</f>
        <v>Cugy</v>
      </c>
      <c r="C72" s="8">
        <f>Données!C72+Données!D72</f>
        <v>7358080.5499999998</v>
      </c>
      <c r="D72" s="8">
        <f>+Données!G72+Données!H72+Données!S72</f>
        <v>385694.46</v>
      </c>
      <c r="E72" s="8">
        <f>+Données!E72</f>
        <v>0</v>
      </c>
      <c r="F72" s="8">
        <f>+Données!I72</f>
        <v>41701.050000000003</v>
      </c>
      <c r="G72" s="8">
        <f>+Données!J72</f>
        <v>92087.85</v>
      </c>
      <c r="H72" s="8">
        <f>Données!U72</f>
        <v>-248047.03</v>
      </c>
      <c r="I72" s="198">
        <f>Données!V72</f>
        <v>0</v>
      </c>
      <c r="J72" s="198">
        <f>Données!W72</f>
        <v>-3141.95</v>
      </c>
      <c r="K72" s="8">
        <f>+Données!Q72</f>
        <v>107200.72</v>
      </c>
      <c r="L72" s="411">
        <f t="shared" si="4"/>
        <v>7733575.6499999985</v>
      </c>
      <c r="M72" s="8">
        <f>+Données!F72</f>
        <v>0</v>
      </c>
      <c r="N72" s="8">
        <f>+Données!K72</f>
        <v>42955.5</v>
      </c>
      <c r="O72" s="8">
        <f>(Données!L72/Données!Y72)*1</f>
        <v>605527.66666666663</v>
      </c>
      <c r="P72" s="411">
        <f t="shared" si="5"/>
        <v>8382058.8166666655</v>
      </c>
      <c r="Q72" s="223">
        <f>+Données!X72</f>
        <v>76</v>
      </c>
      <c r="R72" s="411">
        <f t="shared" si="6"/>
        <v>110290.24758771928</v>
      </c>
    </row>
    <row r="73" spans="1:18" x14ac:dyDescent="0.25">
      <c r="A73" s="7">
        <f>Données!A73</f>
        <v>5518</v>
      </c>
      <c r="B73" s="27" t="str">
        <f>Données!B73</f>
        <v>Echallens</v>
      </c>
      <c r="C73" s="8">
        <f>Données!C73+Données!D73</f>
        <v>11792482.640000001</v>
      </c>
      <c r="D73" s="8">
        <f>+Données!G73+Données!H73+Données!S73</f>
        <v>918571.91</v>
      </c>
      <c r="E73" s="8">
        <f>+Données!E73</f>
        <v>0</v>
      </c>
      <c r="F73" s="8">
        <f>+Données!I73</f>
        <v>0</v>
      </c>
      <c r="G73" s="8">
        <f>+Données!J73</f>
        <v>209139.8</v>
      </c>
      <c r="H73" s="8">
        <f>Données!U73</f>
        <v>-197320.75</v>
      </c>
      <c r="I73" s="198">
        <f>Données!V73</f>
        <v>0</v>
      </c>
      <c r="J73" s="198">
        <f>Données!W73</f>
        <v>-704.84</v>
      </c>
      <c r="K73" s="8">
        <f>+Données!Q73</f>
        <v>75108.47</v>
      </c>
      <c r="L73" s="411">
        <f t="shared" si="4"/>
        <v>12797277.230000002</v>
      </c>
      <c r="M73" s="8">
        <f>+Données!F73</f>
        <v>0</v>
      </c>
      <c r="N73" s="8">
        <f>+Données!K73</f>
        <v>107328.85</v>
      </c>
      <c r="O73" s="8">
        <f>(Données!L73/Données!Y73)*1</f>
        <v>1108359.7</v>
      </c>
      <c r="P73" s="411">
        <f t="shared" si="5"/>
        <v>14012965.780000001</v>
      </c>
      <c r="Q73" s="223">
        <f>+Données!X73</f>
        <v>72.5</v>
      </c>
      <c r="R73" s="411">
        <f t="shared" si="6"/>
        <v>193282.28662068967</v>
      </c>
    </row>
    <row r="74" spans="1:18" x14ac:dyDescent="0.25">
      <c r="A74" s="7">
        <f>Données!A74</f>
        <v>5520</v>
      </c>
      <c r="B74" s="27" t="str">
        <f>Données!B74</f>
        <v>Essertines-sur-Yverdon</v>
      </c>
      <c r="C74" s="8">
        <f>Données!C74+Données!D74</f>
        <v>2082202.1</v>
      </c>
      <c r="D74" s="8">
        <f>+Données!G74+Données!H74+Données!S74</f>
        <v>40018.210000000006</v>
      </c>
      <c r="E74" s="8">
        <f>+Données!E74</f>
        <v>0</v>
      </c>
      <c r="F74" s="8">
        <f>+Données!I74</f>
        <v>0</v>
      </c>
      <c r="G74" s="8">
        <f>+Données!J74</f>
        <v>17394.52</v>
      </c>
      <c r="H74" s="8">
        <f>Données!U74</f>
        <v>-23804.41</v>
      </c>
      <c r="I74" s="198">
        <f>Données!V74</f>
        <v>0</v>
      </c>
      <c r="J74" s="198">
        <f>Données!W74</f>
        <v>-394.06</v>
      </c>
      <c r="K74" s="8">
        <f>+Données!Q74</f>
        <v>4515.1499999999996</v>
      </c>
      <c r="L74" s="411">
        <f t="shared" si="4"/>
        <v>2119931.5099999998</v>
      </c>
      <c r="M74" s="8">
        <f>+Données!F74</f>
        <v>0</v>
      </c>
      <c r="N74" s="8">
        <f>+Données!K74</f>
        <v>5711.65</v>
      </c>
      <c r="O74" s="8">
        <f>(Données!L74/Données!Y74)*1</f>
        <v>199587.5</v>
      </c>
      <c r="P74" s="411">
        <f t="shared" si="5"/>
        <v>2325230.6599999997</v>
      </c>
      <c r="Q74" s="223">
        <f>+Données!X74</f>
        <v>74</v>
      </c>
      <c r="R74" s="411">
        <f t="shared" si="6"/>
        <v>31422.035945945943</v>
      </c>
    </row>
    <row r="75" spans="1:18" x14ac:dyDescent="0.25">
      <c r="A75" s="7">
        <f>Données!A75</f>
        <v>5521</v>
      </c>
      <c r="B75" s="27" t="str">
        <f>Données!B75</f>
        <v>Etagnières</v>
      </c>
      <c r="C75" s="8">
        <f>Données!C75+Données!D75</f>
        <v>2859899.6900000004</v>
      </c>
      <c r="D75" s="8">
        <f>+Données!G75+Données!H75+Données!S75</f>
        <v>251828.39</v>
      </c>
      <c r="E75" s="8">
        <f>+Données!E75</f>
        <v>0</v>
      </c>
      <c r="F75" s="8">
        <f>+Données!I75</f>
        <v>0</v>
      </c>
      <c r="G75" s="8">
        <f>+Données!J75</f>
        <v>75719.17</v>
      </c>
      <c r="H75" s="8">
        <f>Données!U75</f>
        <v>-46449.57</v>
      </c>
      <c r="I75" s="198">
        <f>Données!V75</f>
        <v>0</v>
      </c>
      <c r="J75" s="198">
        <f>Données!W75</f>
        <v>-208.92</v>
      </c>
      <c r="K75" s="8">
        <f>+Données!Q75</f>
        <v>5667.65</v>
      </c>
      <c r="L75" s="411">
        <f t="shared" si="4"/>
        <v>3146456.4100000006</v>
      </c>
      <c r="M75" s="8">
        <f>+Données!F75</f>
        <v>0</v>
      </c>
      <c r="N75" s="8">
        <f>+Données!K75</f>
        <v>23854.75</v>
      </c>
      <c r="O75" s="8">
        <f>(Données!L75/Données!Y75)*1</f>
        <v>274534.45</v>
      </c>
      <c r="P75" s="411">
        <f t="shared" si="5"/>
        <v>3444845.6100000008</v>
      </c>
      <c r="Q75" s="223">
        <f>+Données!X75</f>
        <v>73</v>
      </c>
      <c r="R75" s="411">
        <f t="shared" si="6"/>
        <v>47189.665890410972</v>
      </c>
    </row>
    <row r="76" spans="1:18" x14ac:dyDescent="0.25">
      <c r="A76" s="7">
        <f>Données!A76</f>
        <v>5522</v>
      </c>
      <c r="B76" s="27" t="str">
        <f>Données!B76</f>
        <v>Fey</v>
      </c>
      <c r="C76" s="8">
        <f>Données!C76+Données!D76</f>
        <v>1580860.6600000001</v>
      </c>
      <c r="D76" s="8">
        <f>+Données!G76+Données!H76+Données!S76</f>
        <v>75426.66</v>
      </c>
      <c r="E76" s="8">
        <f>+Données!E76</f>
        <v>0</v>
      </c>
      <c r="F76" s="8">
        <f>+Données!I76</f>
        <v>0</v>
      </c>
      <c r="G76" s="8">
        <f>+Données!J76</f>
        <v>12468.42</v>
      </c>
      <c r="H76" s="8">
        <f>Données!U76</f>
        <v>-14772.78</v>
      </c>
      <c r="I76" s="198">
        <f>Données!V76</f>
        <v>0</v>
      </c>
      <c r="J76" s="198">
        <f>Données!W76</f>
        <v>-26.72</v>
      </c>
      <c r="K76" s="8">
        <f>+Données!Q76</f>
        <v>10907.69</v>
      </c>
      <c r="L76" s="411">
        <f t="shared" si="4"/>
        <v>1664863.93</v>
      </c>
      <c r="M76" s="8">
        <f>+Données!F76</f>
        <v>0</v>
      </c>
      <c r="N76" s="8">
        <f>+Données!K76</f>
        <v>3563</v>
      </c>
      <c r="O76" s="8">
        <f>(Données!L76/Données!Y76)*1</f>
        <v>144507.85</v>
      </c>
      <c r="P76" s="411">
        <f t="shared" si="5"/>
        <v>1812934.78</v>
      </c>
      <c r="Q76" s="223">
        <f>+Données!X76</f>
        <v>75</v>
      </c>
      <c r="R76" s="411">
        <f t="shared" si="6"/>
        <v>24172.463733333334</v>
      </c>
    </row>
    <row r="77" spans="1:18" x14ac:dyDescent="0.25">
      <c r="A77" s="7">
        <f>Données!A77</f>
        <v>5523</v>
      </c>
      <c r="B77" s="27" t="str">
        <f>Données!B77</f>
        <v>Froideville</v>
      </c>
      <c r="C77" s="8">
        <f>Données!C77+Données!D77</f>
        <v>5944612.71</v>
      </c>
      <c r="D77" s="8">
        <f>+Données!G77+Données!H77+Données!S77</f>
        <v>70795.959999999992</v>
      </c>
      <c r="E77" s="8">
        <f>+Données!E77</f>
        <v>0</v>
      </c>
      <c r="F77" s="8">
        <f>+Données!I77</f>
        <v>0</v>
      </c>
      <c r="G77" s="8">
        <f>+Données!J77</f>
        <v>77048.429999999993</v>
      </c>
      <c r="H77" s="8">
        <f>Données!U77</f>
        <v>-38787.370000000003</v>
      </c>
      <c r="I77" s="198">
        <f>Données!V77</f>
        <v>0</v>
      </c>
      <c r="J77" s="198">
        <f>Données!W77</f>
        <v>-1448.75</v>
      </c>
      <c r="K77" s="8">
        <f>+Données!Q77</f>
        <v>3026.14</v>
      </c>
      <c r="L77" s="411">
        <f t="shared" si="4"/>
        <v>6055247.1199999992</v>
      </c>
      <c r="M77" s="8">
        <f>+Données!F77</f>
        <v>14960</v>
      </c>
      <c r="N77" s="8">
        <f>+Données!K77</f>
        <v>39595</v>
      </c>
      <c r="O77" s="8">
        <f>(Données!L77/Données!Y77)*1</f>
        <v>530342.96</v>
      </c>
      <c r="P77" s="411">
        <f t="shared" si="5"/>
        <v>6640145.0799999991</v>
      </c>
      <c r="Q77" s="223">
        <f>+Données!X77</f>
        <v>72</v>
      </c>
      <c r="R77" s="411">
        <f t="shared" si="6"/>
        <v>92224.237222222204</v>
      </c>
    </row>
    <row r="78" spans="1:18" x14ac:dyDescent="0.25">
      <c r="A78" s="7">
        <f>Données!A78</f>
        <v>5527</v>
      </c>
      <c r="B78" s="27" t="str">
        <f>Données!B78</f>
        <v>Morrens</v>
      </c>
      <c r="C78" s="8">
        <f>Données!C78+Données!D78</f>
        <v>2709767.31</v>
      </c>
      <c r="D78" s="8">
        <f>+Données!G78+Données!H78+Données!S78</f>
        <v>27376.43</v>
      </c>
      <c r="E78" s="8">
        <f>+Données!E78</f>
        <v>0</v>
      </c>
      <c r="F78" s="8">
        <f>+Données!I78</f>
        <v>0</v>
      </c>
      <c r="G78" s="8">
        <f>+Données!J78</f>
        <v>53493.440000000002</v>
      </c>
      <c r="H78" s="8">
        <f>Données!U78</f>
        <v>-34331.26</v>
      </c>
      <c r="I78" s="198">
        <f>Données!V78</f>
        <v>0</v>
      </c>
      <c r="J78" s="198">
        <f>Données!W78</f>
        <v>-5900.05</v>
      </c>
      <c r="K78" s="8">
        <f>+Données!Q78</f>
        <v>7115.65</v>
      </c>
      <c r="L78" s="411">
        <f t="shared" si="4"/>
        <v>2757521.5200000005</v>
      </c>
      <c r="M78" s="8">
        <f>+Données!F78</f>
        <v>0</v>
      </c>
      <c r="N78" s="8">
        <f>+Données!K78</f>
        <v>9648.75</v>
      </c>
      <c r="O78" s="8">
        <f>(Données!L78/Données!Y78)*1</f>
        <v>246295.15</v>
      </c>
      <c r="P78" s="411">
        <f t="shared" si="5"/>
        <v>3013465.4200000004</v>
      </c>
      <c r="Q78" s="223">
        <f>+Données!X78</f>
        <v>74</v>
      </c>
      <c r="R78" s="411">
        <f t="shared" si="6"/>
        <v>40722.505675675682</v>
      </c>
    </row>
    <row r="79" spans="1:18" x14ac:dyDescent="0.25">
      <c r="A79" s="7">
        <f>Données!A79</f>
        <v>5529</v>
      </c>
      <c r="B79" s="27" t="str">
        <f>Données!B79</f>
        <v>Oulens-sous-Echallens</v>
      </c>
      <c r="C79" s="8">
        <f>Données!C79+Données!D79</f>
        <v>1432450.9</v>
      </c>
      <c r="D79" s="8">
        <f>+Données!G79+Données!H79+Données!S79</f>
        <v>30204.85</v>
      </c>
      <c r="E79" s="8">
        <f>+Données!E79</f>
        <v>0</v>
      </c>
      <c r="F79" s="8">
        <f>+Données!I79</f>
        <v>0</v>
      </c>
      <c r="G79" s="8">
        <f>+Données!J79</f>
        <v>11450.56</v>
      </c>
      <c r="H79" s="8">
        <f>Données!U79</f>
        <v>-2805.51</v>
      </c>
      <c r="I79" s="198">
        <f>Données!V79</f>
        <v>0</v>
      </c>
      <c r="J79" s="198">
        <f>Données!W79</f>
        <v>-25.7</v>
      </c>
      <c r="K79" s="8">
        <f>+Données!Q79</f>
        <v>100</v>
      </c>
      <c r="L79" s="411">
        <f t="shared" si="4"/>
        <v>1471375.1</v>
      </c>
      <c r="M79" s="8">
        <f>+Données!F79</f>
        <v>0</v>
      </c>
      <c r="N79" s="8">
        <f>+Données!K79</f>
        <v>3086.05</v>
      </c>
      <c r="O79" s="8">
        <f>(Données!L79/Données!Y79)*1</f>
        <v>135606.79999999999</v>
      </c>
      <c r="P79" s="411">
        <f t="shared" si="5"/>
        <v>1610067.9500000002</v>
      </c>
      <c r="Q79" s="223">
        <f>+Données!X79</f>
        <v>71</v>
      </c>
      <c r="R79" s="411">
        <f t="shared" si="6"/>
        <v>22677.013380281693</v>
      </c>
    </row>
    <row r="80" spans="1:18" x14ac:dyDescent="0.25">
      <c r="A80" s="7">
        <f>Données!A80</f>
        <v>5530</v>
      </c>
      <c r="B80" s="27" t="str">
        <f>Données!B80</f>
        <v>Pailly</v>
      </c>
      <c r="C80" s="8">
        <f>Données!C80+Données!D80</f>
        <v>1377603.21</v>
      </c>
      <c r="D80" s="8">
        <f>+Données!G80+Données!H80+Données!S80</f>
        <v>57307.64</v>
      </c>
      <c r="E80" s="8">
        <f>+Données!E80</f>
        <v>0</v>
      </c>
      <c r="F80" s="8">
        <f>+Données!I80</f>
        <v>0</v>
      </c>
      <c r="G80" s="8">
        <f>+Données!J80</f>
        <v>1792.91</v>
      </c>
      <c r="H80" s="8">
        <f>Données!U80</f>
        <v>-3318.71</v>
      </c>
      <c r="I80" s="198">
        <f>Données!V80</f>
        <v>0</v>
      </c>
      <c r="J80" s="198">
        <f>Données!W80</f>
        <v>0</v>
      </c>
      <c r="K80" s="8">
        <f>+Données!Q80</f>
        <v>0</v>
      </c>
      <c r="L80" s="411">
        <f t="shared" si="4"/>
        <v>1433385.0499999998</v>
      </c>
      <c r="M80" s="8">
        <f>+Données!F80</f>
        <v>0</v>
      </c>
      <c r="N80" s="8">
        <f>+Données!K80</f>
        <v>1252.5</v>
      </c>
      <c r="O80" s="8">
        <f>(Données!L80/Données!Y80)*1</f>
        <v>112665.20833333334</v>
      </c>
      <c r="P80" s="411">
        <f t="shared" si="5"/>
        <v>1547302.7583333331</v>
      </c>
      <c r="Q80" s="223">
        <f>+Données!X80</f>
        <v>76</v>
      </c>
      <c r="R80" s="411">
        <f t="shared" si="6"/>
        <v>20359.246820175435</v>
      </c>
    </row>
    <row r="81" spans="1:18" x14ac:dyDescent="0.25">
      <c r="A81" s="7">
        <f>Données!A81</f>
        <v>5531</v>
      </c>
      <c r="B81" s="27" t="str">
        <f>Données!B81</f>
        <v>Penthéréaz</v>
      </c>
      <c r="C81" s="8">
        <f>Données!C81+Données!D81</f>
        <v>1178782.73</v>
      </c>
      <c r="D81" s="8">
        <f>+Données!G81+Données!H81+Données!S81</f>
        <v>3759.3999999999996</v>
      </c>
      <c r="E81" s="8">
        <f>+Données!E81</f>
        <v>0</v>
      </c>
      <c r="F81" s="8">
        <f>+Données!I81</f>
        <v>0</v>
      </c>
      <c r="G81" s="8">
        <f>+Données!J81</f>
        <v>14886.14</v>
      </c>
      <c r="H81" s="8">
        <f>Données!U81</f>
        <v>-1976.61</v>
      </c>
      <c r="I81" s="198">
        <f>Données!V81</f>
        <v>0</v>
      </c>
      <c r="J81" s="198">
        <f>Données!W81</f>
        <v>-183.65</v>
      </c>
      <c r="K81" s="8">
        <f>+Données!Q81</f>
        <v>0</v>
      </c>
      <c r="L81" s="411">
        <f t="shared" si="4"/>
        <v>1195268.0099999998</v>
      </c>
      <c r="M81" s="8">
        <f>+Données!F81</f>
        <v>0</v>
      </c>
      <c r="N81" s="8">
        <f>+Données!K81</f>
        <v>1425.3</v>
      </c>
      <c r="O81" s="8">
        <f>(Données!L81/Données!Y81)*1</f>
        <v>83455.350000000006</v>
      </c>
      <c r="P81" s="411">
        <f t="shared" si="5"/>
        <v>1280148.6599999999</v>
      </c>
      <c r="Q81" s="223">
        <f>+Données!X81</f>
        <v>74</v>
      </c>
      <c r="R81" s="411">
        <f t="shared" si="6"/>
        <v>17299.306216216217</v>
      </c>
    </row>
    <row r="82" spans="1:18" x14ac:dyDescent="0.25">
      <c r="A82" s="7">
        <f>Données!A82</f>
        <v>5533</v>
      </c>
      <c r="B82" s="27" t="str">
        <f>Données!B82</f>
        <v>Poliez-Pittet</v>
      </c>
      <c r="C82" s="8">
        <f>Données!C82+Données!D82</f>
        <v>1808046.0800000001</v>
      </c>
      <c r="D82" s="8">
        <f>+Données!G82+Données!H82+Données!S82</f>
        <v>88771.34</v>
      </c>
      <c r="E82" s="8">
        <f>+Données!E82</f>
        <v>0</v>
      </c>
      <c r="F82" s="8">
        <f>+Données!I82</f>
        <v>0</v>
      </c>
      <c r="G82" s="8">
        <f>+Données!J82</f>
        <v>24904.59</v>
      </c>
      <c r="H82" s="8">
        <f>Données!U82</f>
        <v>-85085.61</v>
      </c>
      <c r="I82" s="198">
        <f>Données!V82</f>
        <v>0</v>
      </c>
      <c r="J82" s="198">
        <f>Données!W82</f>
        <v>-93.1</v>
      </c>
      <c r="K82" s="8">
        <f>+Données!Q82</f>
        <v>38416.769999999997</v>
      </c>
      <c r="L82" s="411">
        <f t="shared" si="4"/>
        <v>1874960.07</v>
      </c>
      <c r="M82" s="8">
        <f>+Données!F82</f>
        <v>0</v>
      </c>
      <c r="N82" s="8">
        <f>+Données!K82</f>
        <v>9628.25</v>
      </c>
      <c r="O82" s="8">
        <f>(Données!L82/Données!Y82)*1</f>
        <v>160315.5</v>
      </c>
      <c r="P82" s="411">
        <f t="shared" si="5"/>
        <v>2044903.82</v>
      </c>
      <c r="Q82" s="223">
        <f>+Données!X82</f>
        <v>73</v>
      </c>
      <c r="R82" s="411">
        <f t="shared" si="6"/>
        <v>28012.381095890411</v>
      </c>
    </row>
    <row r="83" spans="1:18" x14ac:dyDescent="0.25">
      <c r="A83" s="7">
        <f>Données!A83</f>
        <v>5534</v>
      </c>
      <c r="B83" s="27" t="str">
        <f>Données!B83</f>
        <v>Rueyres</v>
      </c>
      <c r="C83" s="8">
        <f>Données!C83+Données!D83</f>
        <v>763131.87</v>
      </c>
      <c r="D83" s="8">
        <f>+Données!G83+Données!H83+Données!S83</f>
        <v>227160.47999999998</v>
      </c>
      <c r="E83" s="8">
        <f>+Données!E83</f>
        <v>0</v>
      </c>
      <c r="F83" s="8">
        <f>+Données!I83</f>
        <v>0</v>
      </c>
      <c r="G83" s="8">
        <f>+Données!J83</f>
        <v>24204.35</v>
      </c>
      <c r="H83" s="8">
        <f>Données!U83</f>
        <v>820.92</v>
      </c>
      <c r="I83" s="198">
        <f>Données!V83</f>
        <v>0</v>
      </c>
      <c r="J83" s="198">
        <f>Données!W83</f>
        <v>0</v>
      </c>
      <c r="K83" s="8">
        <f>+Données!Q83</f>
        <v>-2384.88</v>
      </c>
      <c r="L83" s="411">
        <f t="shared" si="4"/>
        <v>1012932.74</v>
      </c>
      <c r="M83" s="8">
        <f>+Données!F83</f>
        <v>0</v>
      </c>
      <c r="N83" s="8">
        <f>+Données!K83</f>
        <v>907</v>
      </c>
      <c r="O83" s="8">
        <f>(Données!L83/Données!Y83)*1</f>
        <v>84230.291666666672</v>
      </c>
      <c r="P83" s="411">
        <f t="shared" si="5"/>
        <v>1098070.0316666667</v>
      </c>
      <c r="Q83" s="223">
        <f>+Données!X83</f>
        <v>73</v>
      </c>
      <c r="R83" s="411">
        <f t="shared" si="6"/>
        <v>15042.055228310503</v>
      </c>
    </row>
    <row r="84" spans="1:18" x14ac:dyDescent="0.25">
      <c r="A84" s="7">
        <f>Données!A84</f>
        <v>5535</v>
      </c>
      <c r="B84" s="27" t="str">
        <f>Données!B84</f>
        <v>Saint-Barthélemy</v>
      </c>
      <c r="C84" s="8">
        <f>Données!C84+Données!D84</f>
        <v>1728917.43</v>
      </c>
      <c r="D84" s="8">
        <f>+Données!G84+Données!H84+Données!S84</f>
        <v>27207.5</v>
      </c>
      <c r="E84" s="8">
        <f>+Données!E84</f>
        <v>0</v>
      </c>
      <c r="F84" s="8">
        <f>+Données!I84</f>
        <v>0</v>
      </c>
      <c r="G84" s="8">
        <f>+Données!J84</f>
        <v>7556.39</v>
      </c>
      <c r="H84" s="8">
        <f>Données!U84</f>
        <v>-8955.66</v>
      </c>
      <c r="I84" s="198">
        <f>Données!V84</f>
        <v>0</v>
      </c>
      <c r="J84" s="198">
        <f>Données!W84</f>
        <v>-5.99</v>
      </c>
      <c r="K84" s="8">
        <f>+Données!Q84</f>
        <v>6847.91</v>
      </c>
      <c r="L84" s="411">
        <f t="shared" si="4"/>
        <v>1761567.5799999998</v>
      </c>
      <c r="M84" s="8">
        <f>+Données!F84</f>
        <v>0</v>
      </c>
      <c r="N84" s="8">
        <f>+Données!K84</f>
        <v>1245.8</v>
      </c>
      <c r="O84" s="8">
        <f>(Données!L84/Données!Y84)*1</f>
        <v>149132.4</v>
      </c>
      <c r="P84" s="411">
        <f t="shared" si="5"/>
        <v>1911945.7799999998</v>
      </c>
      <c r="Q84" s="223">
        <f>+Données!X84</f>
        <v>75</v>
      </c>
      <c r="R84" s="411">
        <f t="shared" si="6"/>
        <v>25492.610399999998</v>
      </c>
    </row>
    <row r="85" spans="1:18" x14ac:dyDescent="0.25">
      <c r="A85" s="7">
        <f>Données!A85</f>
        <v>5537</v>
      </c>
      <c r="B85" s="27" t="str">
        <f>Données!B85</f>
        <v>Villars-le-Terroir</v>
      </c>
      <c r="C85" s="8">
        <f>Données!C85+Données!D85</f>
        <v>2666647.39</v>
      </c>
      <c r="D85" s="8">
        <f>+Données!G85+Données!H85+Données!S85</f>
        <v>66820.240000000005</v>
      </c>
      <c r="E85" s="8">
        <f>+Données!E85</f>
        <v>0</v>
      </c>
      <c r="F85" s="8">
        <f>+Données!I85</f>
        <v>0</v>
      </c>
      <c r="G85" s="8">
        <f>+Données!J85</f>
        <v>29419.040000000001</v>
      </c>
      <c r="H85" s="8">
        <f>Données!U85</f>
        <v>-67184.789999999994</v>
      </c>
      <c r="I85" s="198">
        <f>Données!V85</f>
        <v>0</v>
      </c>
      <c r="J85" s="198">
        <f>Données!W85</f>
        <v>-1955.37</v>
      </c>
      <c r="K85" s="8">
        <f>+Données!Q85</f>
        <v>8713.3700000000008</v>
      </c>
      <c r="L85" s="411">
        <f t="shared" si="4"/>
        <v>2702459.8800000004</v>
      </c>
      <c r="M85" s="8">
        <f>+Données!F85</f>
        <v>7530</v>
      </c>
      <c r="N85" s="8">
        <f>+Données!K85</f>
        <v>6680.75</v>
      </c>
      <c r="O85" s="8">
        <f>(Données!L85/Données!Y85)*1</f>
        <v>259696.7</v>
      </c>
      <c r="P85" s="411">
        <f t="shared" si="5"/>
        <v>2976367.3300000005</v>
      </c>
      <c r="Q85" s="223">
        <f>+Données!X85</f>
        <v>76</v>
      </c>
      <c r="R85" s="411">
        <f t="shared" si="6"/>
        <v>39162.728026315795</v>
      </c>
    </row>
    <row r="86" spans="1:18" x14ac:dyDescent="0.25">
      <c r="A86" s="7">
        <f>Données!A86</f>
        <v>5539</v>
      </c>
      <c r="B86" s="27" t="str">
        <f>Données!B86</f>
        <v>Vuarrens</v>
      </c>
      <c r="C86" s="8">
        <f>Données!C86+Données!D86</f>
        <v>2289519.65</v>
      </c>
      <c r="D86" s="8">
        <f>+Données!G86+Données!H86+Données!S86</f>
        <v>14757.070000000002</v>
      </c>
      <c r="E86" s="8">
        <f>+Données!E86</f>
        <v>0</v>
      </c>
      <c r="F86" s="8">
        <f>+Données!I86</f>
        <v>0</v>
      </c>
      <c r="G86" s="8">
        <f>+Données!J86</f>
        <v>35091.480000000003</v>
      </c>
      <c r="H86" s="8">
        <f>Données!U86</f>
        <v>-15484.63</v>
      </c>
      <c r="I86" s="198">
        <f>Données!V86</f>
        <v>0</v>
      </c>
      <c r="J86" s="198">
        <f>Données!W86</f>
        <v>-48.1</v>
      </c>
      <c r="K86" s="8">
        <f>+Données!Q86</f>
        <v>0</v>
      </c>
      <c r="L86" s="411">
        <f t="shared" si="4"/>
        <v>2323835.4699999997</v>
      </c>
      <c r="M86" s="8">
        <f>+Données!F86</f>
        <v>0</v>
      </c>
      <c r="N86" s="8">
        <f>+Données!K86</f>
        <v>6393.7</v>
      </c>
      <c r="O86" s="8">
        <f>(Données!L86/Données!Y86)*1</f>
        <v>201291.5625</v>
      </c>
      <c r="P86" s="411">
        <f t="shared" si="5"/>
        <v>2531520.7324999999</v>
      </c>
      <c r="Q86" s="223">
        <f>+Données!X86</f>
        <v>73.5</v>
      </c>
      <c r="R86" s="411">
        <f t="shared" si="6"/>
        <v>34442.458945578233</v>
      </c>
    </row>
    <row r="87" spans="1:18" x14ac:dyDescent="0.25">
      <c r="A87" s="7">
        <f>Données!A87</f>
        <v>5540</v>
      </c>
      <c r="B87" s="27" t="str">
        <f>Données!B87</f>
        <v>Montilliez</v>
      </c>
      <c r="C87" s="8">
        <f>Données!C87+Données!D87</f>
        <v>4337331.07</v>
      </c>
      <c r="D87" s="8">
        <f>+Données!G87+Données!H87+Données!S87</f>
        <v>175308.66</v>
      </c>
      <c r="E87" s="8">
        <f>+Données!E87</f>
        <v>0</v>
      </c>
      <c r="F87" s="8">
        <f>+Données!I87</f>
        <v>0</v>
      </c>
      <c r="G87" s="8">
        <f>+Données!J87</f>
        <v>33186.449999999997</v>
      </c>
      <c r="H87" s="8">
        <f>Données!U87</f>
        <v>-38954.339999999997</v>
      </c>
      <c r="I87" s="198">
        <f>Données!V87</f>
        <v>0</v>
      </c>
      <c r="J87" s="198">
        <f>Données!W87</f>
        <v>-63.83</v>
      </c>
      <c r="K87" s="8">
        <f>+Données!Q87</f>
        <v>12910.21</v>
      </c>
      <c r="L87" s="411">
        <f t="shared" si="4"/>
        <v>4519718.2200000007</v>
      </c>
      <c r="M87" s="8">
        <f>+Données!F87</f>
        <v>0</v>
      </c>
      <c r="N87" s="8">
        <f>+Données!K87</f>
        <v>13100.5</v>
      </c>
      <c r="O87" s="8">
        <f>(Données!L87/Données!Y87)*1</f>
        <v>358355.1875</v>
      </c>
      <c r="P87" s="411">
        <f t="shared" si="5"/>
        <v>4891173.9075000007</v>
      </c>
      <c r="Q87" s="223">
        <f>+Données!X87</f>
        <v>72.5</v>
      </c>
      <c r="R87" s="411">
        <f t="shared" si="6"/>
        <v>67464.467689655183</v>
      </c>
    </row>
    <row r="88" spans="1:18" x14ac:dyDescent="0.25">
      <c r="A88" s="7">
        <f>Données!A88</f>
        <v>5541</v>
      </c>
      <c r="B88" s="27" t="str">
        <f>Données!B88</f>
        <v>Goumoëns</v>
      </c>
      <c r="C88" s="8">
        <f>Données!C88+Données!D88</f>
        <v>2863609.83</v>
      </c>
      <c r="D88" s="8">
        <f>+Données!G88+Données!H88+Données!S88</f>
        <v>35915.910000000003</v>
      </c>
      <c r="E88" s="8">
        <f>+Données!E88</f>
        <v>0</v>
      </c>
      <c r="F88" s="8">
        <f>+Données!I88</f>
        <v>0</v>
      </c>
      <c r="G88" s="8">
        <f>+Données!J88</f>
        <v>28662</v>
      </c>
      <c r="H88" s="8">
        <f>Données!U88</f>
        <v>-10617.18</v>
      </c>
      <c r="I88" s="198">
        <f>Données!V88</f>
        <v>-1966</v>
      </c>
      <c r="J88" s="198">
        <f>Données!W88</f>
        <v>-183.2</v>
      </c>
      <c r="K88" s="8">
        <f>+Données!Q88</f>
        <v>5175.74</v>
      </c>
      <c r="L88" s="411">
        <f t="shared" si="4"/>
        <v>2920597.1</v>
      </c>
      <c r="M88" s="8">
        <f>+Données!F88</f>
        <v>0</v>
      </c>
      <c r="N88" s="8">
        <f>+Données!K88</f>
        <v>2455</v>
      </c>
      <c r="O88" s="8">
        <f>(Données!L88/Données!Y88)*1</f>
        <v>227276.85</v>
      </c>
      <c r="P88" s="411">
        <f t="shared" si="5"/>
        <v>3150328.95</v>
      </c>
      <c r="Q88" s="223">
        <f>+Données!X88</f>
        <v>75.5</v>
      </c>
      <c r="R88" s="411">
        <f t="shared" si="6"/>
        <v>41726.211258278148</v>
      </c>
    </row>
    <row r="89" spans="1:18" x14ac:dyDescent="0.25">
      <c r="A89" s="7">
        <f>Données!A89</f>
        <v>5551</v>
      </c>
      <c r="B89" s="27" t="str">
        <f>Données!B89</f>
        <v>Bonvillars</v>
      </c>
      <c r="C89" s="8">
        <f>Données!C89+Données!D89</f>
        <v>865379.05999999994</v>
      </c>
      <c r="D89" s="8">
        <f>+Données!G89+Données!H89+Données!S89</f>
        <v>43165.549999999996</v>
      </c>
      <c r="E89" s="8">
        <f>+Données!E89</f>
        <v>0</v>
      </c>
      <c r="F89" s="8">
        <f>+Données!I89</f>
        <v>0</v>
      </c>
      <c r="G89" s="8">
        <f>+Données!J89</f>
        <v>2503.13</v>
      </c>
      <c r="H89" s="8">
        <f>Données!U89</f>
        <v>-335.25</v>
      </c>
      <c r="I89" s="198">
        <f>Données!V89</f>
        <v>0</v>
      </c>
      <c r="J89" s="198">
        <f>Données!W89</f>
        <v>-198.3</v>
      </c>
      <c r="K89" s="8">
        <f>+Données!Q89</f>
        <v>0</v>
      </c>
      <c r="L89" s="411">
        <f t="shared" si="4"/>
        <v>910514.19</v>
      </c>
      <c r="M89" s="8">
        <f>+Données!F89</f>
        <v>0</v>
      </c>
      <c r="N89" s="8">
        <f>+Données!K89</f>
        <v>12146.7</v>
      </c>
      <c r="O89" s="8">
        <f>(Données!L89/Données!Y89)*1</f>
        <v>117540.4</v>
      </c>
      <c r="P89" s="411">
        <f t="shared" si="5"/>
        <v>1040201.2899999999</v>
      </c>
      <c r="Q89" s="223">
        <f>+Données!X89</f>
        <v>56</v>
      </c>
      <c r="R89" s="411">
        <f t="shared" si="6"/>
        <v>18575.023035714283</v>
      </c>
    </row>
    <row r="90" spans="1:18" x14ac:dyDescent="0.25">
      <c r="A90" s="7">
        <f>Données!A90</f>
        <v>5552</v>
      </c>
      <c r="B90" s="27" t="str">
        <f>Données!B90</f>
        <v>Bullet</v>
      </c>
      <c r="C90" s="8">
        <f>Données!C90+Données!D90</f>
        <v>1170529.3999999999</v>
      </c>
      <c r="D90" s="8">
        <f>+Données!G90+Données!H90+Données!S90</f>
        <v>43341.440000000002</v>
      </c>
      <c r="E90" s="8">
        <f>+Données!E90</f>
        <v>0</v>
      </c>
      <c r="F90" s="8">
        <f>+Données!I90</f>
        <v>0</v>
      </c>
      <c r="G90" s="8">
        <f>+Données!J90</f>
        <v>14739.84</v>
      </c>
      <c r="H90" s="8">
        <f>Données!U90</f>
        <v>-15021.28</v>
      </c>
      <c r="I90" s="198">
        <f>Données!V90</f>
        <v>0</v>
      </c>
      <c r="J90" s="198">
        <f>Données!W90</f>
        <v>-2.29</v>
      </c>
      <c r="K90" s="8">
        <f>+Données!Q90</f>
        <v>9961.92</v>
      </c>
      <c r="L90" s="411">
        <f t="shared" si="4"/>
        <v>1223549.0299999998</v>
      </c>
      <c r="M90" s="8">
        <f>+Données!F90</f>
        <v>0</v>
      </c>
      <c r="N90" s="8">
        <f>+Données!K90</f>
        <v>3777.6</v>
      </c>
      <c r="O90" s="8">
        <f>(Données!L90/Données!Y90)*1</f>
        <v>133958.45000000001</v>
      </c>
      <c r="P90" s="411">
        <f t="shared" si="5"/>
        <v>1361285.0799999998</v>
      </c>
      <c r="Q90" s="223">
        <f>+Données!X90</f>
        <v>71.5</v>
      </c>
      <c r="R90" s="411">
        <f t="shared" si="6"/>
        <v>19038.952167832165</v>
      </c>
    </row>
    <row r="91" spans="1:18" x14ac:dyDescent="0.25">
      <c r="A91" s="7">
        <f>Données!A91</f>
        <v>5553</v>
      </c>
      <c r="B91" s="27" t="str">
        <f>Données!B91</f>
        <v>Champagne</v>
      </c>
      <c r="C91" s="8">
        <f>Données!C91+Données!D91</f>
        <v>1963151.0799999998</v>
      </c>
      <c r="D91" s="8">
        <f>+Données!G91+Données!H91+Données!S91</f>
        <v>225800.66999999998</v>
      </c>
      <c r="E91" s="8">
        <f>+Données!E91</f>
        <v>0</v>
      </c>
      <c r="F91" s="8">
        <f>+Données!I91</f>
        <v>0</v>
      </c>
      <c r="G91" s="8">
        <f>+Données!J91</f>
        <v>66654.95</v>
      </c>
      <c r="H91" s="8">
        <f>Données!U91</f>
        <v>-26753.1</v>
      </c>
      <c r="I91" s="198">
        <f>Données!V91</f>
        <v>0</v>
      </c>
      <c r="J91" s="198">
        <f>Données!W91</f>
        <v>-1972.26</v>
      </c>
      <c r="K91" s="8">
        <f>+Données!Q91</f>
        <v>253.76</v>
      </c>
      <c r="L91" s="411">
        <f t="shared" si="4"/>
        <v>2227135.1</v>
      </c>
      <c r="M91" s="8">
        <f>+Données!F91</f>
        <v>0</v>
      </c>
      <c r="N91" s="8">
        <f>+Données!K91</f>
        <v>26028.55</v>
      </c>
      <c r="O91" s="8">
        <f>(Données!L91/Données!Y91)*1</f>
        <v>233983.15</v>
      </c>
      <c r="P91" s="411">
        <f t="shared" si="5"/>
        <v>2487146.7999999998</v>
      </c>
      <c r="Q91" s="223">
        <f>+Données!X91</f>
        <v>65</v>
      </c>
      <c r="R91" s="411">
        <f t="shared" si="6"/>
        <v>38263.796923076923</v>
      </c>
    </row>
    <row r="92" spans="1:18" x14ac:dyDescent="0.25">
      <c r="A92" s="7">
        <f>Données!A92</f>
        <v>5554</v>
      </c>
      <c r="B92" s="27" t="str">
        <f>Données!B92</f>
        <v>Concise</v>
      </c>
      <c r="C92" s="8">
        <f>Données!C92+Données!D92</f>
        <v>2336820.21</v>
      </c>
      <c r="D92" s="8">
        <f>+Données!G92+Données!H92+Données!S92</f>
        <v>24214.950000000004</v>
      </c>
      <c r="E92" s="8">
        <f>+Données!E92</f>
        <v>0</v>
      </c>
      <c r="F92" s="8">
        <f>+Données!I92</f>
        <v>0</v>
      </c>
      <c r="G92" s="8">
        <f>+Données!J92</f>
        <v>5118.55</v>
      </c>
      <c r="H92" s="8">
        <f>Données!U92</f>
        <v>-18521.689999999999</v>
      </c>
      <c r="I92" s="198">
        <f>Données!V92</f>
        <v>0</v>
      </c>
      <c r="J92" s="198">
        <f>Données!W92</f>
        <v>-584.26</v>
      </c>
      <c r="K92" s="8">
        <f>+Données!Q92</f>
        <v>1324.54</v>
      </c>
      <c r="L92" s="411">
        <f t="shared" si="4"/>
        <v>2348372.3000000003</v>
      </c>
      <c r="M92" s="8">
        <f>+Données!F92</f>
        <v>0</v>
      </c>
      <c r="N92" s="8">
        <f>+Données!K92</f>
        <v>3396.8</v>
      </c>
      <c r="O92" s="8">
        <f>(Données!L92/Données!Y92)*1</f>
        <v>191268.35</v>
      </c>
      <c r="P92" s="411">
        <f t="shared" si="5"/>
        <v>2543037.4500000002</v>
      </c>
      <c r="Q92" s="223">
        <f>+Données!X92</f>
        <v>75</v>
      </c>
      <c r="R92" s="411">
        <f t="shared" si="6"/>
        <v>33907.166000000005</v>
      </c>
    </row>
    <row r="93" spans="1:18" x14ac:dyDescent="0.25">
      <c r="A93" s="7">
        <f>Données!A93</f>
        <v>5555</v>
      </c>
      <c r="B93" s="27" t="str">
        <f>Données!B93</f>
        <v>Corcelles-près-Concise</v>
      </c>
      <c r="C93" s="8">
        <f>Données!C93+Données!D93</f>
        <v>811390.99</v>
      </c>
      <c r="D93" s="8">
        <f>+Données!G93+Données!H93+Données!S93</f>
        <v>5903.3</v>
      </c>
      <c r="E93" s="8">
        <f>+Données!E93</f>
        <v>0</v>
      </c>
      <c r="F93" s="8">
        <f>+Données!I93</f>
        <v>0</v>
      </c>
      <c r="G93" s="8">
        <f>+Données!J93</f>
        <v>15443.52</v>
      </c>
      <c r="H93" s="8">
        <f>Données!U93</f>
        <v>-24656.83</v>
      </c>
      <c r="I93" s="198">
        <f>Données!V93</f>
        <v>0</v>
      </c>
      <c r="J93" s="198">
        <f>Données!W93</f>
        <v>0</v>
      </c>
      <c r="K93" s="8">
        <f>+Données!Q93</f>
        <v>17407.080000000002</v>
      </c>
      <c r="L93" s="411">
        <f t="shared" si="4"/>
        <v>825488.06</v>
      </c>
      <c r="M93" s="8">
        <f>+Données!F93</f>
        <v>0</v>
      </c>
      <c r="N93" s="8">
        <f>+Données!K93</f>
        <v>2228.6999999999998</v>
      </c>
      <c r="O93" s="8">
        <f>(Données!L93/Données!Y93)*1</f>
        <v>98622.15</v>
      </c>
      <c r="P93" s="411">
        <f t="shared" si="5"/>
        <v>926338.91</v>
      </c>
      <c r="Q93" s="223">
        <f>+Données!X93</f>
        <v>69</v>
      </c>
      <c r="R93" s="411">
        <f t="shared" si="6"/>
        <v>13425.201594202899</v>
      </c>
    </row>
    <row r="94" spans="1:18" x14ac:dyDescent="0.25">
      <c r="A94" s="7">
        <f>Données!A94</f>
        <v>5556</v>
      </c>
      <c r="B94" s="27" t="str">
        <f>Données!B94</f>
        <v>Fiez</v>
      </c>
      <c r="C94" s="8">
        <f>Données!C94+Données!D94</f>
        <v>829343.67</v>
      </c>
      <c r="D94" s="8">
        <f>+Données!G94+Données!H94+Données!S94</f>
        <v>5510.21</v>
      </c>
      <c r="E94" s="8">
        <f>+Données!E94</f>
        <v>0</v>
      </c>
      <c r="F94" s="8">
        <f>+Données!I94</f>
        <v>0</v>
      </c>
      <c r="G94" s="8">
        <f>+Données!J94</f>
        <v>6416.69</v>
      </c>
      <c r="H94" s="8">
        <f>Données!U94</f>
        <v>-1560.67</v>
      </c>
      <c r="I94" s="198">
        <f>Données!V94</f>
        <v>0</v>
      </c>
      <c r="J94" s="198">
        <f>Données!W94</f>
        <v>0</v>
      </c>
      <c r="K94" s="8">
        <f>+Données!Q94</f>
        <v>0</v>
      </c>
      <c r="L94" s="411">
        <f t="shared" si="4"/>
        <v>839709.89999999991</v>
      </c>
      <c r="M94" s="8">
        <f>+Données!F94</f>
        <v>2510</v>
      </c>
      <c r="N94" s="8">
        <f>+Données!K94</f>
        <v>1271.6500000000001</v>
      </c>
      <c r="O94" s="8">
        <f>(Données!L94/Données!Y94)*1</f>
        <v>74501.133333333331</v>
      </c>
      <c r="P94" s="411">
        <f t="shared" si="5"/>
        <v>917992.68333333323</v>
      </c>
      <c r="Q94" s="223">
        <f>+Données!X94</f>
        <v>69</v>
      </c>
      <c r="R94" s="411">
        <f t="shared" si="6"/>
        <v>13304.241787439612</v>
      </c>
    </row>
    <row r="95" spans="1:18" x14ac:dyDescent="0.25">
      <c r="A95" s="7">
        <f>Données!A95</f>
        <v>5557</v>
      </c>
      <c r="B95" s="27" t="str">
        <f>Données!B95</f>
        <v>Fontaines-sur-Grandson</v>
      </c>
      <c r="C95" s="8">
        <f>Données!C95+Données!D95</f>
        <v>306226.88</v>
      </c>
      <c r="D95" s="8">
        <f>+Données!G95+Données!H95+Données!S95</f>
        <v>6014.58</v>
      </c>
      <c r="E95" s="8">
        <f>+Données!E95</f>
        <v>0</v>
      </c>
      <c r="F95" s="8">
        <f>+Données!I95</f>
        <v>0</v>
      </c>
      <c r="G95" s="8">
        <f>+Données!J95</f>
        <v>1290.47</v>
      </c>
      <c r="H95" s="8">
        <f>Données!U95</f>
        <v>-728.09</v>
      </c>
      <c r="I95" s="198">
        <f>Données!V95</f>
        <v>0</v>
      </c>
      <c r="J95" s="198">
        <f>Données!W95</f>
        <v>0</v>
      </c>
      <c r="K95" s="8">
        <f>+Données!Q95</f>
        <v>0</v>
      </c>
      <c r="L95" s="411">
        <f t="shared" si="4"/>
        <v>312803.83999999997</v>
      </c>
      <c r="M95" s="8">
        <f>+Données!F95</f>
        <v>1060</v>
      </c>
      <c r="N95" s="8">
        <f>+Données!K95</f>
        <v>993.45</v>
      </c>
      <c r="O95" s="8">
        <f>(Données!L95/Données!Y95)*1</f>
        <v>36956.699999999997</v>
      </c>
      <c r="P95" s="411">
        <f t="shared" si="5"/>
        <v>351813.99</v>
      </c>
      <c r="Q95" s="223">
        <f>+Données!X95</f>
        <v>69</v>
      </c>
      <c r="R95" s="411">
        <f t="shared" si="6"/>
        <v>5098.7534782608691</v>
      </c>
    </row>
    <row r="96" spans="1:18" x14ac:dyDescent="0.25">
      <c r="A96" s="7">
        <f>Données!A96</f>
        <v>5559</v>
      </c>
      <c r="B96" s="27" t="str">
        <f>Données!B96</f>
        <v>Giez</v>
      </c>
      <c r="C96" s="8">
        <f>Données!C96+Données!D96</f>
        <v>1196084.3700000001</v>
      </c>
      <c r="D96" s="8">
        <f>+Données!G96+Données!H96+Données!S96</f>
        <v>121159.67999999999</v>
      </c>
      <c r="E96" s="8">
        <f>+Données!E96</f>
        <v>0</v>
      </c>
      <c r="F96" s="8">
        <f>+Données!I96</f>
        <v>0</v>
      </c>
      <c r="G96" s="8">
        <f>+Données!J96</f>
        <v>1236.3800000000001</v>
      </c>
      <c r="H96" s="8">
        <f>Données!U96</f>
        <v>-25975.56</v>
      </c>
      <c r="I96" s="198">
        <f>Données!V96</f>
        <v>0</v>
      </c>
      <c r="J96" s="198">
        <f>Données!W96</f>
        <v>-1066.95</v>
      </c>
      <c r="K96" s="8">
        <f>+Données!Q96</f>
        <v>0</v>
      </c>
      <c r="L96" s="411">
        <f t="shared" si="4"/>
        <v>1291437.92</v>
      </c>
      <c r="M96" s="8">
        <f>+Données!F96</f>
        <v>0</v>
      </c>
      <c r="N96" s="8">
        <f>+Données!K96</f>
        <v>3482</v>
      </c>
      <c r="O96" s="8">
        <f>(Données!L96/Données!Y96)*1</f>
        <v>91808.1</v>
      </c>
      <c r="P96" s="411">
        <f t="shared" si="5"/>
        <v>1386728.02</v>
      </c>
      <c r="Q96" s="223">
        <f>+Données!X96</f>
        <v>66</v>
      </c>
      <c r="R96" s="411">
        <f t="shared" si="6"/>
        <v>21011.030606060605</v>
      </c>
    </row>
    <row r="97" spans="1:18" x14ac:dyDescent="0.25">
      <c r="A97" s="7">
        <f>Données!A97</f>
        <v>5560</v>
      </c>
      <c r="B97" s="27" t="str">
        <f>Données!B97</f>
        <v>Grandevent</v>
      </c>
      <c r="C97" s="8">
        <f>Données!C97+Données!D97</f>
        <v>573017.54</v>
      </c>
      <c r="D97" s="8">
        <f>+Données!G97+Données!H97+Données!S97</f>
        <v>3819.16</v>
      </c>
      <c r="E97" s="8">
        <f>+Données!E97</f>
        <v>0</v>
      </c>
      <c r="F97" s="8">
        <f>+Données!I97</f>
        <v>0</v>
      </c>
      <c r="G97" s="8">
        <f>+Données!J97</f>
        <v>15847.25</v>
      </c>
      <c r="H97" s="8">
        <f>Données!U97</f>
        <v>-636.38</v>
      </c>
      <c r="I97" s="198">
        <f>Données!V97</f>
        <v>0</v>
      </c>
      <c r="J97" s="198">
        <f>Données!W97</f>
        <v>0</v>
      </c>
      <c r="K97" s="8">
        <f>+Données!Q97</f>
        <v>1592.27</v>
      </c>
      <c r="L97" s="411">
        <f t="shared" si="4"/>
        <v>593639.84000000008</v>
      </c>
      <c r="M97" s="8">
        <f>+Données!F97</f>
        <v>0</v>
      </c>
      <c r="N97" s="8">
        <f>+Données!K97</f>
        <v>848</v>
      </c>
      <c r="O97" s="8">
        <f>(Données!L97/Données!Y97)*1</f>
        <v>44238.45</v>
      </c>
      <c r="P97" s="411">
        <f t="shared" si="5"/>
        <v>638726.29</v>
      </c>
      <c r="Q97" s="223">
        <f>+Données!X97</f>
        <v>71</v>
      </c>
      <c r="R97" s="411">
        <f t="shared" si="6"/>
        <v>8996.1449295774655</v>
      </c>
    </row>
    <row r="98" spans="1:18" x14ac:dyDescent="0.25">
      <c r="A98" s="7">
        <f>Données!A98</f>
        <v>5561</v>
      </c>
      <c r="B98" s="27" t="str">
        <f>Données!B98</f>
        <v>Grandson</v>
      </c>
      <c r="C98" s="8">
        <f>Données!C98+Données!D98</f>
        <v>8172837.4399999995</v>
      </c>
      <c r="D98" s="8">
        <f>+Données!G98+Données!H98+Données!S98</f>
        <v>257128.30000000002</v>
      </c>
      <c r="E98" s="8">
        <f>+Données!E98</f>
        <v>0</v>
      </c>
      <c r="F98" s="8">
        <f>+Données!I98</f>
        <v>0</v>
      </c>
      <c r="G98" s="8">
        <f>+Données!J98</f>
        <v>117291.84</v>
      </c>
      <c r="H98" s="8">
        <f>Données!U98</f>
        <v>-139695.73000000001</v>
      </c>
      <c r="I98" s="198">
        <f>Données!V98</f>
        <v>0</v>
      </c>
      <c r="J98" s="198">
        <f>Données!W98</f>
        <v>-794.64</v>
      </c>
      <c r="K98" s="8">
        <f>+Données!Q98</f>
        <v>22316.87</v>
      </c>
      <c r="L98" s="411">
        <f t="shared" si="4"/>
        <v>8429084.0799999982</v>
      </c>
      <c r="M98" s="8">
        <f>+Données!F98</f>
        <v>0</v>
      </c>
      <c r="N98" s="8">
        <f>+Données!K98</f>
        <v>51810.55</v>
      </c>
      <c r="O98" s="8">
        <f>(Données!L98/Données!Y98)*1</f>
        <v>653055.30000000005</v>
      </c>
      <c r="P98" s="411">
        <f t="shared" si="5"/>
        <v>9133949.9299999997</v>
      </c>
      <c r="Q98" s="223">
        <f>+Données!X98</f>
        <v>69</v>
      </c>
      <c r="R98" s="411">
        <f t="shared" si="6"/>
        <v>132376.08594202899</v>
      </c>
    </row>
    <row r="99" spans="1:18" x14ac:dyDescent="0.25">
      <c r="A99" s="7">
        <f>Données!A99</f>
        <v>5562</v>
      </c>
      <c r="B99" s="27" t="str">
        <f>Données!B99</f>
        <v>Mauborget</v>
      </c>
      <c r="C99" s="8">
        <f>Données!C99+Données!D99</f>
        <v>278690.65000000002</v>
      </c>
      <c r="D99" s="8">
        <f>+Données!G99+Données!H99+Données!S99</f>
        <v>3357.42</v>
      </c>
      <c r="E99" s="8">
        <f>+Données!E99</f>
        <v>0</v>
      </c>
      <c r="F99" s="8">
        <f>+Données!I99</f>
        <v>0</v>
      </c>
      <c r="G99" s="8">
        <f>+Données!J99</f>
        <v>12079.41</v>
      </c>
      <c r="H99" s="8">
        <f>Données!U99</f>
        <v>-7794</v>
      </c>
      <c r="I99" s="198">
        <f>Données!V99</f>
        <v>0</v>
      </c>
      <c r="J99" s="198">
        <f>Données!W99</f>
        <v>-1.45</v>
      </c>
      <c r="K99" s="8">
        <f>+Données!Q99</f>
        <v>3907.3</v>
      </c>
      <c r="L99" s="411">
        <f t="shared" si="4"/>
        <v>290239.32999999996</v>
      </c>
      <c r="M99" s="8">
        <f>+Données!F99</f>
        <v>890</v>
      </c>
      <c r="N99" s="8">
        <f>+Données!K99</f>
        <v>-4515.5</v>
      </c>
      <c r="O99" s="8">
        <f>(Données!L99/Données!Y99)*1</f>
        <v>32575.708333333332</v>
      </c>
      <c r="P99" s="411">
        <f t="shared" si="5"/>
        <v>319189.53833333327</v>
      </c>
      <c r="Q99" s="223">
        <f>+Données!X99</f>
        <v>70</v>
      </c>
      <c r="R99" s="411">
        <f t="shared" si="6"/>
        <v>4559.8505476190467</v>
      </c>
    </row>
    <row r="100" spans="1:18" x14ac:dyDescent="0.25">
      <c r="A100" s="7">
        <f>Données!A100</f>
        <v>5563</v>
      </c>
      <c r="B100" s="27" t="str">
        <f>Données!B100</f>
        <v>Mutrux</v>
      </c>
      <c r="C100" s="8">
        <f>Données!C100+Données!D100</f>
        <v>158685.91999999998</v>
      </c>
      <c r="D100" s="8">
        <f>+Données!G100+Données!H100+Données!S100</f>
        <v>655.62999999999988</v>
      </c>
      <c r="E100" s="8">
        <f>+Données!E100</f>
        <v>0</v>
      </c>
      <c r="F100" s="8">
        <f>+Données!I100</f>
        <v>0</v>
      </c>
      <c r="G100" s="8">
        <f>+Données!J100</f>
        <v>4436.9799999999996</v>
      </c>
      <c r="H100" s="8">
        <f>Données!U100</f>
        <v>-3632.59</v>
      </c>
      <c r="I100" s="198">
        <f>Données!V100</f>
        <v>0</v>
      </c>
      <c r="J100" s="198">
        <f>Données!W100</f>
        <v>-45.35</v>
      </c>
      <c r="K100" s="8">
        <f>+Données!Q100</f>
        <v>0</v>
      </c>
      <c r="L100" s="411">
        <f t="shared" si="4"/>
        <v>160100.59</v>
      </c>
      <c r="M100" s="8">
        <f>+Données!F100</f>
        <v>528</v>
      </c>
      <c r="N100" s="8">
        <f>+Données!K100</f>
        <v>0</v>
      </c>
      <c r="O100" s="8">
        <f>(Données!L100/Données!Y100)*1</f>
        <v>21938.55</v>
      </c>
      <c r="P100" s="411">
        <f t="shared" si="5"/>
        <v>182567.13999999998</v>
      </c>
      <c r="Q100" s="223">
        <f>+Données!X100</f>
        <v>80</v>
      </c>
      <c r="R100" s="411">
        <f t="shared" si="6"/>
        <v>2282.08925</v>
      </c>
    </row>
    <row r="101" spans="1:18" x14ac:dyDescent="0.25">
      <c r="A101" s="7">
        <f>Données!A101</f>
        <v>5564</v>
      </c>
      <c r="B101" s="27" t="str">
        <f>Données!B101</f>
        <v>Novalles</v>
      </c>
      <c r="C101" s="8">
        <f>Données!C101+Données!D101</f>
        <v>185284.68000000002</v>
      </c>
      <c r="D101" s="8">
        <f>+Données!G101+Données!H101+Données!S101</f>
        <v>44.120000000000005</v>
      </c>
      <c r="E101" s="8">
        <f>+Données!E101</f>
        <v>0</v>
      </c>
      <c r="F101" s="8">
        <f>+Données!I101</f>
        <v>0</v>
      </c>
      <c r="G101" s="8">
        <f>+Données!J101</f>
        <v>0</v>
      </c>
      <c r="H101" s="8">
        <f>Données!U101</f>
        <v>-5882.55</v>
      </c>
      <c r="I101" s="198">
        <f>Données!V101</f>
        <v>0</v>
      </c>
      <c r="J101" s="198">
        <f>Données!W101</f>
        <v>0</v>
      </c>
      <c r="K101" s="8">
        <f>+Données!Q101</f>
        <v>0</v>
      </c>
      <c r="L101" s="411">
        <f t="shared" si="4"/>
        <v>179446.25000000003</v>
      </c>
      <c r="M101" s="8">
        <f>+Données!F101</f>
        <v>0</v>
      </c>
      <c r="N101" s="8">
        <f>+Données!K101</f>
        <v>0</v>
      </c>
      <c r="O101" s="8">
        <f>(Données!L101/Données!Y101)*1</f>
        <v>14268.0625</v>
      </c>
      <c r="P101" s="411">
        <f t="shared" si="5"/>
        <v>193714.31250000003</v>
      </c>
      <c r="Q101" s="223">
        <f>+Données!X101</f>
        <v>76</v>
      </c>
      <c r="R101" s="411">
        <f t="shared" si="6"/>
        <v>2548.8725328947371</v>
      </c>
    </row>
    <row r="102" spans="1:18" x14ac:dyDescent="0.25">
      <c r="A102" s="7">
        <f>Données!A102</f>
        <v>5565</v>
      </c>
      <c r="B102" s="27" t="str">
        <f>Données!B102</f>
        <v>Onnens</v>
      </c>
      <c r="C102" s="8">
        <f>Données!C102+Données!D102</f>
        <v>824405.54</v>
      </c>
      <c r="D102" s="8">
        <f>+Données!G102+Données!H102+Données!S102</f>
        <v>-247372.92</v>
      </c>
      <c r="E102" s="8">
        <f>+Données!E102</f>
        <v>0</v>
      </c>
      <c r="F102" s="8">
        <f>+Données!I102</f>
        <v>0</v>
      </c>
      <c r="G102" s="8">
        <f>+Données!J102</f>
        <v>10082.75</v>
      </c>
      <c r="H102" s="8">
        <f>Données!U102</f>
        <v>-1599.16</v>
      </c>
      <c r="I102" s="198">
        <f>Données!V102</f>
        <v>0</v>
      </c>
      <c r="J102" s="198">
        <f>Données!W102</f>
        <v>-35</v>
      </c>
      <c r="K102" s="8">
        <f>+Données!Q102</f>
        <v>0</v>
      </c>
      <c r="L102" s="411">
        <f t="shared" si="4"/>
        <v>585481.21</v>
      </c>
      <c r="M102" s="8">
        <f>+Données!F102</f>
        <v>0</v>
      </c>
      <c r="N102" s="8">
        <f>+Données!K102</f>
        <v>24489.35</v>
      </c>
      <c r="O102" s="8">
        <f>(Données!L102/Données!Y102)*1</f>
        <v>130356.95</v>
      </c>
      <c r="P102" s="411">
        <f t="shared" si="5"/>
        <v>740327.50999999989</v>
      </c>
      <c r="Q102" s="223">
        <f>+Données!X102</f>
        <v>63.5</v>
      </c>
      <c r="R102" s="411">
        <f t="shared" si="6"/>
        <v>11658.700944881888</v>
      </c>
    </row>
    <row r="103" spans="1:18" x14ac:dyDescent="0.25">
      <c r="A103" s="7">
        <f>Données!A103</f>
        <v>5566</v>
      </c>
      <c r="B103" s="27" t="str">
        <f>Données!B103</f>
        <v>Provence</v>
      </c>
      <c r="C103" s="8">
        <f>Données!C103+Données!D103</f>
        <v>605664.49</v>
      </c>
      <c r="D103" s="8">
        <f>+Données!G103+Données!H103+Données!S103</f>
        <v>15790.17</v>
      </c>
      <c r="E103" s="8">
        <f>+Données!E103</f>
        <v>0</v>
      </c>
      <c r="F103" s="8">
        <f>+Données!I103</f>
        <v>0</v>
      </c>
      <c r="G103" s="8">
        <f>+Données!J103</f>
        <v>12422.1</v>
      </c>
      <c r="H103" s="8">
        <f>Données!U103</f>
        <v>-5344.53</v>
      </c>
      <c r="I103" s="198">
        <f>Données!V103</f>
        <v>0</v>
      </c>
      <c r="J103" s="198">
        <f>Données!W103</f>
        <v>-76.099999999999994</v>
      </c>
      <c r="K103" s="8">
        <f>+Données!Q103</f>
        <v>298.69</v>
      </c>
      <c r="L103" s="411">
        <f t="shared" si="4"/>
        <v>628754.81999999995</v>
      </c>
      <c r="M103" s="8">
        <f>+Données!F103</f>
        <v>2730</v>
      </c>
      <c r="N103" s="8">
        <f>+Données!K103</f>
        <v>2987.05</v>
      </c>
      <c r="O103" s="8">
        <f>(Données!L103/Données!Y103)*1</f>
        <v>56370.633333333331</v>
      </c>
      <c r="P103" s="411">
        <f t="shared" si="5"/>
        <v>690842.5033333333</v>
      </c>
      <c r="Q103" s="223">
        <f>+Données!X103</f>
        <v>81</v>
      </c>
      <c r="R103" s="411">
        <f t="shared" si="6"/>
        <v>8528.9197942386818</v>
      </c>
    </row>
    <row r="104" spans="1:18" x14ac:dyDescent="0.25">
      <c r="A104" s="7">
        <f>Données!A104</f>
        <v>5568</v>
      </c>
      <c r="B104" s="27" t="str">
        <f>Données!B104</f>
        <v>Sainte-Croix</v>
      </c>
      <c r="C104" s="8">
        <f>Données!C104+Données!D104</f>
        <v>6514307.2999999998</v>
      </c>
      <c r="D104" s="8">
        <f>+Données!G104+Données!H104+Données!S104</f>
        <v>167240.51999999999</v>
      </c>
      <c r="E104" s="8">
        <f>+Données!E104</f>
        <v>0</v>
      </c>
      <c r="F104" s="8">
        <f>+Données!I104</f>
        <v>38315.550000000003</v>
      </c>
      <c r="G104" s="8">
        <f>+Données!J104</f>
        <v>143181.76000000001</v>
      </c>
      <c r="H104" s="8">
        <f>Données!U104</f>
        <v>-164867.07</v>
      </c>
      <c r="I104" s="198">
        <f>Données!V104</f>
        <v>0</v>
      </c>
      <c r="J104" s="198">
        <f>Données!W104</f>
        <v>-2471.1</v>
      </c>
      <c r="K104" s="8">
        <f>+Données!Q104</f>
        <v>22621.75</v>
      </c>
      <c r="L104" s="411">
        <f t="shared" si="4"/>
        <v>6718328.709999999</v>
      </c>
      <c r="M104" s="8">
        <f>+Données!F104</f>
        <v>0</v>
      </c>
      <c r="N104" s="8">
        <f>+Données!K104</f>
        <v>31363.599999999999</v>
      </c>
      <c r="O104" s="8">
        <f>(Données!L104/Données!Y104)*1</f>
        <v>670655.55000000005</v>
      </c>
      <c r="P104" s="411">
        <f t="shared" si="5"/>
        <v>7420347.8599999985</v>
      </c>
      <c r="Q104" s="223">
        <f>+Données!X104</f>
        <v>70</v>
      </c>
      <c r="R104" s="411">
        <f t="shared" si="6"/>
        <v>106004.96942857141</v>
      </c>
    </row>
    <row r="105" spans="1:18" x14ac:dyDescent="0.25">
      <c r="A105" s="7">
        <f>Données!A105</f>
        <v>5571</v>
      </c>
      <c r="B105" s="27" t="str">
        <f>Données!B105</f>
        <v>Tévenon</v>
      </c>
      <c r="C105" s="8">
        <f>Données!C105+Données!D105</f>
        <v>1671467.56</v>
      </c>
      <c r="D105" s="8">
        <f>+Données!G105+Données!H105+Données!S105</f>
        <v>7573.8099999999995</v>
      </c>
      <c r="E105" s="8">
        <f>+Données!E105</f>
        <v>0</v>
      </c>
      <c r="F105" s="8">
        <f>+Données!I105</f>
        <v>0</v>
      </c>
      <c r="G105" s="8">
        <f>+Données!J105</f>
        <v>-698</v>
      </c>
      <c r="H105" s="8">
        <f>Données!U105</f>
        <v>-7231.34</v>
      </c>
      <c r="I105" s="198">
        <f>Données!V105</f>
        <v>-991.5</v>
      </c>
      <c r="J105" s="198">
        <f>Données!W105</f>
        <v>0</v>
      </c>
      <c r="K105" s="8">
        <f>+Données!Q105</f>
        <v>2632.3</v>
      </c>
      <c r="L105" s="411">
        <f t="shared" si="4"/>
        <v>1672752.83</v>
      </c>
      <c r="M105" s="8">
        <f>+Données!F105</f>
        <v>0</v>
      </c>
      <c r="N105" s="8">
        <f>+Données!K105</f>
        <v>8766.2000000000007</v>
      </c>
      <c r="O105" s="8">
        <f>(Données!L105/Données!Y105)*1</f>
        <v>170832.08333333334</v>
      </c>
      <c r="P105" s="411">
        <f t="shared" si="5"/>
        <v>1852351.1133333333</v>
      </c>
      <c r="Q105" s="223">
        <f>+Données!X105</f>
        <v>71.5</v>
      </c>
      <c r="R105" s="411">
        <f t="shared" si="6"/>
        <v>25907.008578088578</v>
      </c>
    </row>
    <row r="106" spans="1:18" x14ac:dyDescent="0.25">
      <c r="A106" s="7">
        <f>Données!A106</f>
        <v>5581</v>
      </c>
      <c r="B106" s="27" t="str">
        <f>Données!B106</f>
        <v>Belmont-sur-Lausanne</v>
      </c>
      <c r="C106" s="8">
        <f>Données!C106+Données!D106</f>
        <v>15272964.359999999</v>
      </c>
      <c r="D106" s="8">
        <f>+Données!G106+Données!H106+Données!S106</f>
        <v>350046.89</v>
      </c>
      <c r="E106" s="8">
        <f>+Données!E106</f>
        <v>0</v>
      </c>
      <c r="F106" s="8">
        <f>+Données!I106</f>
        <v>94218.85</v>
      </c>
      <c r="G106" s="8">
        <f>+Données!J106</f>
        <v>163782.16</v>
      </c>
      <c r="H106" s="8">
        <f>Données!U106</f>
        <v>-61138.37</v>
      </c>
      <c r="I106" s="198">
        <f>Données!V106</f>
        <v>0</v>
      </c>
      <c r="J106" s="198">
        <f>Données!W106</f>
        <v>-11449.17</v>
      </c>
      <c r="K106" s="8">
        <f>+Données!Q106</f>
        <v>-18915.02</v>
      </c>
      <c r="L106" s="411">
        <f t="shared" si="4"/>
        <v>15789509.700000001</v>
      </c>
      <c r="M106" s="8">
        <f>+Données!F106</f>
        <v>0</v>
      </c>
      <c r="N106" s="8">
        <f>+Données!K106</f>
        <v>35901.599999999999</v>
      </c>
      <c r="O106" s="8">
        <f>(Données!L106/Données!Y106)*1</f>
        <v>998897.4</v>
      </c>
      <c r="P106" s="411">
        <f t="shared" si="5"/>
        <v>16824308.699999999</v>
      </c>
      <c r="Q106" s="223">
        <f>+Données!X106</f>
        <v>72</v>
      </c>
      <c r="R106" s="411">
        <f t="shared" si="6"/>
        <v>233670.95416666666</v>
      </c>
    </row>
    <row r="107" spans="1:18" x14ac:dyDescent="0.25">
      <c r="A107" s="7">
        <f>Données!A107</f>
        <v>5582</v>
      </c>
      <c r="B107" s="27" t="str">
        <f>Données!B107</f>
        <v>Cheseaux-sur-Lausanne</v>
      </c>
      <c r="C107" s="8">
        <f>Données!C107+Données!D107</f>
        <v>10240229.140000001</v>
      </c>
      <c r="D107" s="8">
        <f>+Données!G107+Données!H107+Données!S107</f>
        <v>660209.44000000006</v>
      </c>
      <c r="E107" s="8">
        <f>+Données!E107</f>
        <v>0</v>
      </c>
      <c r="F107" s="8">
        <f>+Données!I107</f>
        <v>0</v>
      </c>
      <c r="G107" s="8">
        <f>+Données!J107</f>
        <v>338951.18</v>
      </c>
      <c r="H107" s="8">
        <f>Données!U107</f>
        <v>-66148.649999999994</v>
      </c>
      <c r="I107" s="198">
        <f>Données!V107</f>
        <v>0</v>
      </c>
      <c r="J107" s="198">
        <f>Données!W107</f>
        <v>-3974.96</v>
      </c>
      <c r="K107" s="8">
        <f>+Données!Q107</f>
        <v>152371.28</v>
      </c>
      <c r="L107" s="411">
        <f t="shared" si="4"/>
        <v>11321637.429999998</v>
      </c>
      <c r="M107" s="8">
        <f>+Données!F107</f>
        <v>0</v>
      </c>
      <c r="N107" s="8">
        <f>+Données!K107</f>
        <v>126869.85</v>
      </c>
      <c r="O107" s="8">
        <f>(Données!L107/Données!Y107)*1</f>
        <v>992794.45</v>
      </c>
      <c r="P107" s="411">
        <f t="shared" si="5"/>
        <v>12441301.729999997</v>
      </c>
      <c r="Q107" s="223">
        <f>+Données!X107</f>
        <v>73</v>
      </c>
      <c r="R107" s="411">
        <f t="shared" si="6"/>
        <v>170428.79082191776</v>
      </c>
    </row>
    <row r="108" spans="1:18" x14ac:dyDescent="0.25">
      <c r="A108" s="7">
        <f>Données!A108</f>
        <v>5583</v>
      </c>
      <c r="B108" s="27" t="str">
        <f>Données!B108</f>
        <v>Crissier</v>
      </c>
      <c r="C108" s="8">
        <f>Données!C108+Données!D108</f>
        <v>14097295.060000001</v>
      </c>
      <c r="D108" s="8">
        <f>+Données!G108+Données!H108+Données!S108</f>
        <v>3673840.9799999995</v>
      </c>
      <c r="E108" s="8">
        <f>+Données!E108</f>
        <v>0</v>
      </c>
      <c r="F108" s="8">
        <f>+Données!I108</f>
        <v>0</v>
      </c>
      <c r="G108" s="8">
        <f>+Données!J108</f>
        <v>1059721.76</v>
      </c>
      <c r="H108" s="8">
        <f>Données!U108</f>
        <v>-297820.19</v>
      </c>
      <c r="I108" s="198">
        <f>Données!V108</f>
        <v>0</v>
      </c>
      <c r="J108" s="198">
        <f>Données!W108</f>
        <v>-2778.7</v>
      </c>
      <c r="K108" s="8">
        <f>+Données!Q108</f>
        <v>134384.76999999999</v>
      </c>
      <c r="L108" s="411">
        <f t="shared" si="4"/>
        <v>18664643.68</v>
      </c>
      <c r="M108" s="8">
        <f>+Données!F108</f>
        <v>0</v>
      </c>
      <c r="N108" s="8">
        <f>+Données!K108</f>
        <v>373598.6</v>
      </c>
      <c r="O108" s="8">
        <f>(Données!L108/Données!Y108)*1</f>
        <v>2583288.2999999998</v>
      </c>
      <c r="P108" s="411">
        <f t="shared" si="5"/>
        <v>21621530.580000002</v>
      </c>
      <c r="Q108" s="223">
        <f>+Données!X108</f>
        <v>63.5</v>
      </c>
      <c r="R108" s="411">
        <f t="shared" si="6"/>
        <v>340496.54456692917</v>
      </c>
    </row>
    <row r="109" spans="1:18" x14ac:dyDescent="0.25">
      <c r="A109" s="7">
        <f>Données!A109</f>
        <v>5584</v>
      </c>
      <c r="B109" s="27" t="str">
        <f>Données!B109</f>
        <v>Epalinges</v>
      </c>
      <c r="C109" s="8">
        <f>Données!C109+Données!D109</f>
        <v>26219575.879999999</v>
      </c>
      <c r="D109" s="8">
        <f>+Données!G109+Données!H109+Données!S109</f>
        <v>1870051.01</v>
      </c>
      <c r="E109" s="8">
        <f>+Données!E109</f>
        <v>0</v>
      </c>
      <c r="F109" s="8">
        <f>+Données!I109</f>
        <v>384606.3</v>
      </c>
      <c r="G109" s="8">
        <f>+Données!J109</f>
        <v>624375.05000000005</v>
      </c>
      <c r="H109" s="8">
        <f>Données!U109</f>
        <v>-462529.99</v>
      </c>
      <c r="I109" s="198">
        <f>Données!V109</f>
        <v>0</v>
      </c>
      <c r="J109" s="198">
        <f>Données!W109</f>
        <v>-48182.400000000001</v>
      </c>
      <c r="K109" s="8">
        <f>+Données!Q109</f>
        <v>230723.20000000001</v>
      </c>
      <c r="L109" s="411">
        <f t="shared" si="4"/>
        <v>28818619.050000004</v>
      </c>
      <c r="M109" s="8">
        <f>+Données!F109</f>
        <v>0</v>
      </c>
      <c r="N109" s="8">
        <f>+Données!K109</f>
        <v>342617.05</v>
      </c>
      <c r="O109" s="8">
        <f>(Données!L109/Données!Y109)*1</f>
        <v>2428685.31</v>
      </c>
      <c r="P109" s="411">
        <f t="shared" si="5"/>
        <v>31589921.410000004</v>
      </c>
      <c r="Q109" s="223">
        <f>+Données!X109</f>
        <v>64.5</v>
      </c>
      <c r="R109" s="411">
        <f t="shared" si="6"/>
        <v>489766.22341085278</v>
      </c>
    </row>
    <row r="110" spans="1:18" x14ac:dyDescent="0.25">
      <c r="A110" s="7">
        <f>Données!A110</f>
        <v>5585</v>
      </c>
      <c r="B110" s="27" t="str">
        <f>Données!B110</f>
        <v>Jouxtens-Mézery</v>
      </c>
      <c r="C110" s="8">
        <f>Données!C110+Données!D110</f>
        <v>13584977.16</v>
      </c>
      <c r="D110" s="8">
        <f>+Données!G110+Données!H110+Données!S110</f>
        <v>75098.999999999985</v>
      </c>
      <c r="E110" s="8">
        <f>+Données!E110</f>
        <v>0</v>
      </c>
      <c r="F110" s="8">
        <f>+Données!I110</f>
        <v>575098.6</v>
      </c>
      <c r="G110" s="8">
        <f>+Données!J110</f>
        <v>123355.29</v>
      </c>
      <c r="H110" s="8">
        <f>Données!U110</f>
        <v>-24206.23</v>
      </c>
      <c r="I110" s="198">
        <f>Données!V110</f>
        <v>0</v>
      </c>
      <c r="J110" s="198">
        <f>Données!W110</f>
        <v>-21529.38</v>
      </c>
      <c r="K110" s="8">
        <f>+Données!Q110</f>
        <v>12084.04</v>
      </c>
      <c r="L110" s="411">
        <f t="shared" si="4"/>
        <v>14324878.479999997</v>
      </c>
      <c r="M110" s="8">
        <f>+Données!F110</f>
        <v>0</v>
      </c>
      <c r="N110" s="8">
        <f>+Données!K110</f>
        <v>7799</v>
      </c>
      <c r="O110" s="8">
        <f>(Données!L110/Données!Y110)*1</f>
        <v>591167.35</v>
      </c>
      <c r="P110" s="411">
        <f t="shared" si="5"/>
        <v>14923844.829999996</v>
      </c>
      <c r="Q110" s="223">
        <f>+Données!X110</f>
        <v>59</v>
      </c>
      <c r="R110" s="411">
        <f t="shared" si="6"/>
        <v>252946.52254237281</v>
      </c>
    </row>
    <row r="111" spans="1:18" x14ac:dyDescent="0.25">
      <c r="A111" s="7">
        <f>Données!A111</f>
        <v>5586</v>
      </c>
      <c r="B111" s="27" t="str">
        <f>Données!B111</f>
        <v>Lausanne</v>
      </c>
      <c r="C111" s="8">
        <f>Données!C111+Données!D111</f>
        <v>349831717.95999998</v>
      </c>
      <c r="D111" s="8">
        <f>+Données!G111+Données!H111+Données!S111</f>
        <v>112403043.98999999</v>
      </c>
      <c r="E111" s="8">
        <f>+Données!E111</f>
        <v>0</v>
      </c>
      <c r="F111" s="8">
        <f>+Données!I111</f>
        <v>4416616.38</v>
      </c>
      <c r="G111" s="8">
        <f>+Données!J111</f>
        <v>26043977.149999999</v>
      </c>
      <c r="H111" s="8">
        <f>Données!U111</f>
        <v>-7524770.8200000003</v>
      </c>
      <c r="I111" s="198">
        <f>Données!V111</f>
        <v>0</v>
      </c>
      <c r="J111" s="198">
        <f>Données!W111</f>
        <v>-1986114.97</v>
      </c>
      <c r="K111" s="8">
        <f>+Données!Q111</f>
        <v>2478909.39</v>
      </c>
      <c r="L111" s="411">
        <f t="shared" si="4"/>
        <v>485663379.07999992</v>
      </c>
      <c r="M111" s="8">
        <f>+Données!F111</f>
        <v>0</v>
      </c>
      <c r="N111" s="8">
        <f>+Données!K111</f>
        <v>6615252.75</v>
      </c>
      <c r="O111" s="8">
        <f>(Données!L111/Données!Y111)*1</f>
        <v>31471707.366666663</v>
      </c>
      <c r="P111" s="411">
        <f t="shared" si="5"/>
        <v>523750339.1966666</v>
      </c>
      <c r="Q111" s="223">
        <f>+Données!X111</f>
        <v>78.5</v>
      </c>
      <c r="R111" s="411">
        <f t="shared" si="6"/>
        <v>6671978.8432696378</v>
      </c>
    </row>
    <row r="112" spans="1:18" x14ac:dyDescent="0.25">
      <c r="A112" s="7">
        <f>Données!A112</f>
        <v>5587</v>
      </c>
      <c r="B112" s="27" t="str">
        <f>Données!B112</f>
        <v>Le Mont-sur-Lausanne</v>
      </c>
      <c r="C112" s="8">
        <f>Données!C112+Données!D112</f>
        <v>29204739.629999999</v>
      </c>
      <c r="D112" s="8">
        <f>+Données!G112+Données!H112+Données!S112</f>
        <v>2543940.35</v>
      </c>
      <c r="E112" s="8">
        <f>+Données!E112</f>
        <v>0</v>
      </c>
      <c r="F112" s="8">
        <f>+Données!I112</f>
        <v>275234.95</v>
      </c>
      <c r="G112" s="8">
        <f>+Données!J112</f>
        <v>534999.24</v>
      </c>
      <c r="H112" s="8">
        <f>Données!U112</f>
        <v>-210338.26</v>
      </c>
      <c r="I112" s="198">
        <f>Données!V112</f>
        <v>0</v>
      </c>
      <c r="J112" s="198">
        <f>Données!W112</f>
        <v>-27002.71</v>
      </c>
      <c r="K112" s="8">
        <f>+Données!Q112</f>
        <v>62316.08</v>
      </c>
      <c r="L112" s="411">
        <f t="shared" si="4"/>
        <v>32383889.279999994</v>
      </c>
      <c r="M112" s="8">
        <f>+Données!F112</f>
        <v>0</v>
      </c>
      <c r="N112" s="8">
        <f>+Données!K112</f>
        <v>366915.15</v>
      </c>
      <c r="O112" s="8">
        <f>(Données!L112/Données!Y112)*1</f>
        <v>2826894.875</v>
      </c>
      <c r="P112" s="411">
        <f t="shared" si="5"/>
        <v>35577699.304999992</v>
      </c>
      <c r="Q112" s="223">
        <f>+Données!X112</f>
        <v>73.5</v>
      </c>
      <c r="R112" s="411">
        <f t="shared" si="6"/>
        <v>484050.33068027202</v>
      </c>
    </row>
    <row r="113" spans="1:18" x14ac:dyDescent="0.25">
      <c r="A113" s="7">
        <f>Données!A113</f>
        <v>5588</v>
      </c>
      <c r="B113" s="27" t="str">
        <f>Données!B113</f>
        <v>Paudex</v>
      </c>
      <c r="C113" s="8">
        <f>Données!C113+Données!D113</f>
        <v>6542660.4299999997</v>
      </c>
      <c r="D113" s="8">
        <f>+Données!G113+Données!H113+Données!S113</f>
        <v>972572.71</v>
      </c>
      <c r="E113" s="8">
        <f>+Données!E113</f>
        <v>0</v>
      </c>
      <c r="F113" s="8">
        <f>+Données!I113</f>
        <v>697545.62</v>
      </c>
      <c r="G113" s="8">
        <f>+Données!J113</f>
        <v>382480.49</v>
      </c>
      <c r="H113" s="8">
        <f>Données!U113</f>
        <v>-9392.98</v>
      </c>
      <c r="I113" s="198">
        <f>Données!V113</f>
        <v>0</v>
      </c>
      <c r="J113" s="198">
        <f>Données!W113</f>
        <v>-57193.65</v>
      </c>
      <c r="K113" s="8">
        <f>+Données!Q113</f>
        <v>7826.85</v>
      </c>
      <c r="L113" s="411">
        <f t="shared" si="4"/>
        <v>8536499.4699999988</v>
      </c>
      <c r="M113" s="8">
        <f>+Données!F113</f>
        <v>0</v>
      </c>
      <c r="N113" s="8">
        <f>+Données!K113</f>
        <v>46010.95</v>
      </c>
      <c r="O113" s="8">
        <f>(Données!L113/Données!Y113)*1</f>
        <v>564997.57142857148</v>
      </c>
      <c r="P113" s="411">
        <f t="shared" si="5"/>
        <v>9147507.991428569</v>
      </c>
      <c r="Q113" s="223">
        <f>+Données!X113</f>
        <v>66.5</v>
      </c>
      <c r="R113" s="411">
        <f t="shared" si="6"/>
        <v>137556.51114930178</v>
      </c>
    </row>
    <row r="114" spans="1:18" x14ac:dyDescent="0.25">
      <c r="A114" s="7">
        <f>Données!A114</f>
        <v>5589</v>
      </c>
      <c r="B114" s="27" t="str">
        <f>Données!B114</f>
        <v>Prilly</v>
      </c>
      <c r="C114" s="8">
        <f>Données!C114+Données!D114</f>
        <v>21008316.559999999</v>
      </c>
      <c r="D114" s="8">
        <f>+Données!G114+Données!H114+Données!S114</f>
        <v>4183996.44</v>
      </c>
      <c r="E114" s="8">
        <f>+Données!E114</f>
        <v>0</v>
      </c>
      <c r="F114" s="8">
        <f>+Données!I114</f>
        <v>84190.25</v>
      </c>
      <c r="G114" s="8">
        <f>+Données!J114</f>
        <v>1456662.44</v>
      </c>
      <c r="H114" s="8">
        <f>Données!U114</f>
        <v>-383235.47</v>
      </c>
      <c r="I114" s="198">
        <f>Données!V114</f>
        <v>0</v>
      </c>
      <c r="J114" s="198">
        <f>Données!W114</f>
        <v>-6772.24</v>
      </c>
      <c r="K114" s="8">
        <f>+Données!Q114</f>
        <v>141535.81</v>
      </c>
      <c r="L114" s="411">
        <f t="shared" si="4"/>
        <v>26484693.790000003</v>
      </c>
      <c r="M114" s="8">
        <f>+Données!F114</f>
        <v>0</v>
      </c>
      <c r="N114" s="8">
        <f>+Données!K114</f>
        <v>425656</v>
      </c>
      <c r="O114" s="8">
        <f>(Données!L114/Données!Y114)*1</f>
        <v>2395534.9615384615</v>
      </c>
      <c r="P114" s="411">
        <f t="shared" si="5"/>
        <v>29305884.751538463</v>
      </c>
      <c r="Q114" s="223">
        <f>+Données!X114</f>
        <v>72.5</v>
      </c>
      <c r="R114" s="411">
        <f t="shared" si="6"/>
        <v>404219.10002122016</v>
      </c>
    </row>
    <row r="115" spans="1:18" x14ac:dyDescent="0.25">
      <c r="A115" s="7">
        <f>Données!A115</f>
        <v>5590</v>
      </c>
      <c r="B115" s="27" t="str">
        <f>Données!B115</f>
        <v>Pully</v>
      </c>
      <c r="C115" s="8">
        <f>Données!C115+Données!D115</f>
        <v>72431114.079999998</v>
      </c>
      <c r="D115" s="8">
        <f>+Données!G115+Données!H115+Données!S115</f>
        <v>4795087.6499999994</v>
      </c>
      <c r="E115" s="8">
        <f>+Données!E115</f>
        <v>0</v>
      </c>
      <c r="F115" s="8">
        <f>+Données!I115</f>
        <v>2335527.14</v>
      </c>
      <c r="G115" s="8">
        <f>+Données!J115</f>
        <v>1272358.1399999999</v>
      </c>
      <c r="H115" s="8">
        <f>Données!U115</f>
        <v>-498047.88</v>
      </c>
      <c r="I115" s="198">
        <f>Données!V115</f>
        <v>0</v>
      </c>
      <c r="J115" s="198">
        <f>Données!W115</f>
        <v>-1231121.6399999999</v>
      </c>
      <c r="K115" s="8">
        <f>+Données!Q115</f>
        <v>203865.32</v>
      </c>
      <c r="L115" s="411">
        <f t="shared" si="4"/>
        <v>79308782.810000002</v>
      </c>
      <c r="M115" s="8">
        <f>+Données!F115</f>
        <v>0</v>
      </c>
      <c r="N115" s="8">
        <f>+Données!K115</f>
        <v>412106.55</v>
      </c>
      <c r="O115" s="8">
        <f>(Données!L115/Données!Y115)*1</f>
        <v>5463912.5</v>
      </c>
      <c r="P115" s="411">
        <f t="shared" si="5"/>
        <v>85184801.859999999</v>
      </c>
      <c r="Q115" s="223">
        <f>+Données!X115</f>
        <v>61</v>
      </c>
      <c r="R115" s="411">
        <f t="shared" si="6"/>
        <v>1396472.1616393442</v>
      </c>
    </row>
    <row r="116" spans="1:18" x14ac:dyDescent="0.25">
      <c r="A116" s="7">
        <f>Données!A116</f>
        <v>5591</v>
      </c>
      <c r="B116" s="27" t="str">
        <f>Données!B116</f>
        <v>Renens</v>
      </c>
      <c r="C116" s="8">
        <f>Données!C116+Données!D116</f>
        <v>32009025.34</v>
      </c>
      <c r="D116" s="8">
        <f>+Données!G116+Données!H116+Données!S116</f>
        <v>6749402.459999999</v>
      </c>
      <c r="E116" s="8">
        <f>+Données!E116</f>
        <v>0</v>
      </c>
      <c r="F116" s="8">
        <f>+Données!I116</f>
        <v>0</v>
      </c>
      <c r="G116" s="8">
        <f>+Données!J116</f>
        <v>3001968.75</v>
      </c>
      <c r="H116" s="8">
        <f>Données!U116</f>
        <v>-1349093.16</v>
      </c>
      <c r="I116" s="198">
        <f>Données!V116</f>
        <v>0</v>
      </c>
      <c r="J116" s="198">
        <f>Données!W116</f>
        <v>-11657.28</v>
      </c>
      <c r="K116" s="8">
        <f>+Données!Q116</f>
        <v>341109.08</v>
      </c>
      <c r="L116" s="411">
        <f t="shared" si="4"/>
        <v>40740755.189999998</v>
      </c>
      <c r="M116" s="8">
        <f>+Données!F116</f>
        <v>0</v>
      </c>
      <c r="N116" s="8">
        <f>+Données!K116</f>
        <v>907219.95</v>
      </c>
      <c r="O116" s="8">
        <f>(Données!L116/Données!Y116)*1</f>
        <v>4005920.3928571432</v>
      </c>
      <c r="P116" s="411">
        <f t="shared" si="5"/>
        <v>45653895.532857142</v>
      </c>
      <c r="Q116" s="223">
        <f>+Données!X116</f>
        <v>77</v>
      </c>
      <c r="R116" s="411">
        <f t="shared" si="6"/>
        <v>592907.73419294995</v>
      </c>
    </row>
    <row r="117" spans="1:18" x14ac:dyDescent="0.25">
      <c r="A117" s="7">
        <f>Données!A117</f>
        <v>5592</v>
      </c>
      <c r="B117" s="27" t="str">
        <f>Données!B117</f>
        <v>Romanel-sur-Lausanne</v>
      </c>
      <c r="C117" s="8">
        <f>Données!C117+Données!D117</f>
        <v>6541025.0899999999</v>
      </c>
      <c r="D117" s="8">
        <f>+Données!G117+Données!H117+Données!S117</f>
        <v>379946.51</v>
      </c>
      <c r="E117" s="8">
        <f>+Données!E117</f>
        <v>0</v>
      </c>
      <c r="F117" s="8">
        <f>+Données!I117</f>
        <v>-45356.85</v>
      </c>
      <c r="G117" s="8">
        <f>+Données!J117</f>
        <v>225493.06</v>
      </c>
      <c r="H117" s="8">
        <f>Données!U117</f>
        <v>-96637.86</v>
      </c>
      <c r="I117" s="198">
        <f>Données!V117</f>
        <v>0</v>
      </c>
      <c r="J117" s="198">
        <f>Données!W117</f>
        <v>-5525.39</v>
      </c>
      <c r="K117" s="8">
        <f>+Données!Q117</f>
        <v>32450.22</v>
      </c>
      <c r="L117" s="411">
        <f t="shared" si="4"/>
        <v>7031394.7799999993</v>
      </c>
      <c r="M117" s="8">
        <f>+Données!F117</f>
        <v>0</v>
      </c>
      <c r="N117" s="8">
        <f>+Données!K117</f>
        <v>161525.35</v>
      </c>
      <c r="O117" s="8">
        <f>(Données!L117/Données!Y117)*1</f>
        <v>816207.24</v>
      </c>
      <c r="P117" s="411">
        <f t="shared" si="5"/>
        <v>8009127.3699999992</v>
      </c>
      <c r="Q117" s="223">
        <f>+Données!X117</f>
        <v>70.5</v>
      </c>
      <c r="R117" s="411">
        <f t="shared" si="6"/>
        <v>113604.64354609928</v>
      </c>
    </row>
    <row r="118" spans="1:18" x14ac:dyDescent="0.25">
      <c r="A118" s="7">
        <f>Données!A118</f>
        <v>5601</v>
      </c>
      <c r="B118" s="27" t="str">
        <f>Données!B118</f>
        <v>Chexbres</v>
      </c>
      <c r="C118" s="8">
        <f>Données!C118+Données!D118</f>
        <v>6418493.0700000003</v>
      </c>
      <c r="D118" s="8">
        <f>+Données!G118+Données!H118+Données!S118</f>
        <v>93772.37999999999</v>
      </c>
      <c r="E118" s="8">
        <f>+Données!E118</f>
        <v>0</v>
      </c>
      <c r="F118" s="8">
        <f>+Données!I118</f>
        <v>0</v>
      </c>
      <c r="G118" s="8">
        <f>+Données!J118</f>
        <v>131129.57999999999</v>
      </c>
      <c r="H118" s="8">
        <f>Données!U118</f>
        <v>-69891.5</v>
      </c>
      <c r="I118" s="198">
        <f>Données!V118</f>
        <v>0</v>
      </c>
      <c r="J118" s="198">
        <f>Données!W118</f>
        <v>-6622.34</v>
      </c>
      <c r="K118" s="8">
        <f>+Données!Q118</f>
        <v>30442.58</v>
      </c>
      <c r="L118" s="411">
        <f t="shared" si="4"/>
        <v>6597323.7700000005</v>
      </c>
      <c r="M118" s="8">
        <f>+Données!F118</f>
        <v>0</v>
      </c>
      <c r="N118" s="8">
        <f>+Données!K118</f>
        <v>27519.95</v>
      </c>
      <c r="O118" s="8">
        <f>(Données!L118/Données!Y118)*1</f>
        <v>531188.69999999995</v>
      </c>
      <c r="P118" s="411">
        <f t="shared" si="5"/>
        <v>7156032.4200000009</v>
      </c>
      <c r="Q118" s="223">
        <f>+Données!X118</f>
        <v>67.5</v>
      </c>
      <c r="R118" s="411">
        <f t="shared" si="6"/>
        <v>106015.29511111112</v>
      </c>
    </row>
    <row r="119" spans="1:18" x14ac:dyDescent="0.25">
      <c r="A119" s="7">
        <f>Données!A119</f>
        <v>5604</v>
      </c>
      <c r="B119" s="27" t="str">
        <f>Données!B119</f>
        <v>Forel (Lavaux)</v>
      </c>
      <c r="C119" s="8">
        <f>Données!C119+Données!D119</f>
        <v>4170762.6100000003</v>
      </c>
      <c r="D119" s="8">
        <f>+Données!G119+Données!H119+Données!S119</f>
        <v>265238.02</v>
      </c>
      <c r="E119" s="8">
        <f>+Données!E119</f>
        <v>0</v>
      </c>
      <c r="F119" s="8">
        <f>+Données!I119</f>
        <v>0</v>
      </c>
      <c r="G119" s="8">
        <f>+Données!J119</f>
        <v>54026.31</v>
      </c>
      <c r="H119" s="8">
        <f>Données!U119</f>
        <v>-101263.12</v>
      </c>
      <c r="I119" s="198">
        <f>Données!V119</f>
        <v>0</v>
      </c>
      <c r="J119" s="198">
        <f>Données!W119</f>
        <v>-611.53</v>
      </c>
      <c r="K119" s="8">
        <f>+Données!Q119</f>
        <v>56537.36</v>
      </c>
      <c r="L119" s="411">
        <f t="shared" si="4"/>
        <v>4444689.6500000004</v>
      </c>
      <c r="M119" s="8">
        <f>+Données!F119</f>
        <v>0</v>
      </c>
      <c r="N119" s="8">
        <f>+Données!K119</f>
        <v>30025.15</v>
      </c>
      <c r="O119" s="8">
        <f>(Données!L119/Données!Y119)*1</f>
        <v>421616</v>
      </c>
      <c r="P119" s="411">
        <f t="shared" si="5"/>
        <v>4896330.8000000007</v>
      </c>
      <c r="Q119" s="223">
        <f>+Données!X119</f>
        <v>69</v>
      </c>
      <c r="R119" s="411">
        <f t="shared" si="6"/>
        <v>70961.315942029003</v>
      </c>
    </row>
    <row r="120" spans="1:18" x14ac:dyDescent="0.25">
      <c r="A120" s="7">
        <f>Données!A120</f>
        <v>5606</v>
      </c>
      <c r="B120" s="27" t="str">
        <f>Données!B120</f>
        <v>Lutry</v>
      </c>
      <c r="C120" s="8">
        <f>Données!C120+Données!D120</f>
        <v>44086369.909999996</v>
      </c>
      <c r="D120" s="8">
        <f>+Données!G120+Données!H120+Données!S120</f>
        <v>16279189.77</v>
      </c>
      <c r="E120" s="8">
        <f>+Données!E120</f>
        <v>0</v>
      </c>
      <c r="F120" s="8">
        <f>+Données!I120</f>
        <v>1212906.26</v>
      </c>
      <c r="G120" s="8">
        <f>+Données!J120</f>
        <v>752716.53</v>
      </c>
      <c r="H120" s="8">
        <f>Données!U120</f>
        <v>-461209.8</v>
      </c>
      <c r="I120" s="198">
        <f>Données!V120</f>
        <v>0</v>
      </c>
      <c r="J120" s="198">
        <f>Données!W120</f>
        <v>-98634.42</v>
      </c>
      <c r="K120" s="8">
        <f>+Données!Q120</f>
        <v>80465.960000000006</v>
      </c>
      <c r="L120" s="411">
        <f t="shared" si="4"/>
        <v>61851804.209999993</v>
      </c>
      <c r="M120" s="8">
        <f>+Données!F120</f>
        <v>0</v>
      </c>
      <c r="N120" s="8">
        <f>+Données!K120</f>
        <v>146921.60000000001</v>
      </c>
      <c r="O120" s="8">
        <f>(Données!L120/Données!Y120)*1</f>
        <v>3458520.3571428573</v>
      </c>
      <c r="P120" s="411">
        <f t="shared" si="5"/>
        <v>65457246.167142853</v>
      </c>
      <c r="Q120" s="223">
        <f>+Données!X120</f>
        <v>54</v>
      </c>
      <c r="R120" s="411">
        <f t="shared" si="6"/>
        <v>1212171.2253174603</v>
      </c>
    </row>
    <row r="121" spans="1:18" x14ac:dyDescent="0.25">
      <c r="A121" s="7">
        <f>Données!A121</f>
        <v>5607</v>
      </c>
      <c r="B121" s="27" t="str">
        <f>Données!B121</f>
        <v>Puidoux</v>
      </c>
      <c r="C121" s="8">
        <f>Données!C121+Données!D121</f>
        <v>6540424.0199999996</v>
      </c>
      <c r="D121" s="8">
        <f>+Données!G121+Données!H121+Données!S121</f>
        <v>615453.12000000011</v>
      </c>
      <c r="E121" s="8">
        <f>+Données!E121</f>
        <v>0</v>
      </c>
      <c r="F121" s="8">
        <f>+Données!I121</f>
        <v>8.5</v>
      </c>
      <c r="G121" s="8">
        <f>+Données!J121</f>
        <v>146986.91</v>
      </c>
      <c r="H121" s="8">
        <f>Données!U121</f>
        <v>-51057.17</v>
      </c>
      <c r="I121" s="198">
        <f>Données!V121</f>
        <v>0</v>
      </c>
      <c r="J121" s="198">
        <f>Données!W121</f>
        <v>-3024.38</v>
      </c>
      <c r="K121" s="8">
        <f>+Données!Q121</f>
        <v>3935.43</v>
      </c>
      <c r="L121" s="411">
        <f t="shared" si="4"/>
        <v>7252726.4299999997</v>
      </c>
      <c r="M121" s="8">
        <f>+Données!F121</f>
        <v>0</v>
      </c>
      <c r="N121" s="8">
        <f>+Données!K121</f>
        <v>35256.9</v>
      </c>
      <c r="O121" s="8">
        <f>(Données!L121/Données!Y121)*1</f>
        <v>760495.47826086963</v>
      </c>
      <c r="P121" s="411">
        <f t="shared" si="5"/>
        <v>8048478.8082608692</v>
      </c>
      <c r="Q121" s="223">
        <f>+Données!X121</f>
        <v>68.5</v>
      </c>
      <c r="R121" s="411">
        <f t="shared" si="6"/>
        <v>117496.04099650904</v>
      </c>
    </row>
    <row r="122" spans="1:18" x14ac:dyDescent="0.25">
      <c r="A122" s="7">
        <f>Données!A122</f>
        <v>5609</v>
      </c>
      <c r="B122" s="27" t="str">
        <f>Données!B122</f>
        <v>Rivaz</v>
      </c>
      <c r="C122" s="8">
        <f>Données!C122+Données!D122</f>
        <v>837599.57000000007</v>
      </c>
      <c r="D122" s="8">
        <f>+Données!G122+Données!H122+Données!S122</f>
        <v>9853.6200000000008</v>
      </c>
      <c r="E122" s="8">
        <f>+Données!E122</f>
        <v>0</v>
      </c>
      <c r="F122" s="8">
        <f>+Données!I122</f>
        <v>0</v>
      </c>
      <c r="G122" s="8">
        <f>+Données!J122</f>
        <v>21318.27</v>
      </c>
      <c r="H122" s="8">
        <f>Données!U122</f>
        <v>-4521.76</v>
      </c>
      <c r="I122" s="198">
        <f>Données!V122</f>
        <v>0</v>
      </c>
      <c r="J122" s="198">
        <f>Données!W122</f>
        <v>-585.5</v>
      </c>
      <c r="K122" s="8">
        <f>+Données!Q122</f>
        <v>0</v>
      </c>
      <c r="L122" s="411">
        <f t="shared" si="4"/>
        <v>863664.20000000007</v>
      </c>
      <c r="M122" s="8">
        <f>+Données!F122</f>
        <v>0</v>
      </c>
      <c r="N122" s="8">
        <f>+Données!K122</f>
        <v>1050.4000000000001</v>
      </c>
      <c r="O122" s="8">
        <f>(Données!L122/Données!Y122)*1</f>
        <v>60957.9</v>
      </c>
      <c r="P122" s="411">
        <f t="shared" si="5"/>
        <v>925672.50000000012</v>
      </c>
      <c r="Q122" s="223">
        <f>+Données!X122</f>
        <v>62</v>
      </c>
      <c r="R122" s="411">
        <f t="shared" si="6"/>
        <v>14930.201612903227</v>
      </c>
    </row>
    <row r="123" spans="1:18" x14ac:dyDescent="0.25">
      <c r="A123" s="7">
        <f>Données!A123</f>
        <v>5610</v>
      </c>
      <c r="B123" s="27" t="str">
        <f>Données!B123</f>
        <v>St-Saphorin (Lavaux)</v>
      </c>
      <c r="C123" s="8">
        <f>Données!C123+Données!D123</f>
        <v>1367005.6099999999</v>
      </c>
      <c r="D123" s="8">
        <f>+Données!G123+Données!H123+Données!S123</f>
        <v>28290.46</v>
      </c>
      <c r="E123" s="8">
        <f>+Données!E123</f>
        <v>0</v>
      </c>
      <c r="F123" s="8">
        <f>+Données!I123</f>
        <v>689.599999999999</v>
      </c>
      <c r="G123" s="8">
        <f>+Données!J123</f>
        <v>32843.82</v>
      </c>
      <c r="H123" s="8">
        <f>Données!U123</f>
        <v>-4930.59</v>
      </c>
      <c r="I123" s="198">
        <f>Données!V123</f>
        <v>0</v>
      </c>
      <c r="J123" s="198">
        <f>Données!W123</f>
        <v>-127.45</v>
      </c>
      <c r="K123" s="8">
        <f>+Données!Q123</f>
        <v>0</v>
      </c>
      <c r="L123" s="411">
        <f t="shared" si="4"/>
        <v>1423771.45</v>
      </c>
      <c r="M123" s="8">
        <f>+Données!F123</f>
        <v>0</v>
      </c>
      <c r="N123" s="8">
        <f>+Données!K123</f>
        <v>6721.15</v>
      </c>
      <c r="O123" s="8">
        <f>(Données!L123/Données!Y123)*1</f>
        <v>105028.33333333334</v>
      </c>
      <c r="P123" s="411">
        <f t="shared" si="5"/>
        <v>1535520.9333333331</v>
      </c>
      <c r="Q123" s="223">
        <f>+Données!X123</f>
        <v>72</v>
      </c>
      <c r="R123" s="411">
        <f t="shared" si="6"/>
        <v>21326.679629629627</v>
      </c>
    </row>
    <row r="124" spans="1:18" x14ac:dyDescent="0.25">
      <c r="A124" s="7">
        <f>Données!A124</f>
        <v>5611</v>
      </c>
      <c r="B124" s="27" t="str">
        <f>Données!B124</f>
        <v>Savigny</v>
      </c>
      <c r="C124" s="8">
        <f>Données!C124+Données!D124</f>
        <v>8362892.5199999996</v>
      </c>
      <c r="D124" s="8">
        <f>+Données!G124+Données!H124+Données!S124</f>
        <v>331329.78000000003</v>
      </c>
      <c r="E124" s="8">
        <f>+Données!E124</f>
        <v>0</v>
      </c>
      <c r="F124" s="8">
        <f>+Données!I124</f>
        <v>194791.07</v>
      </c>
      <c r="G124" s="8">
        <f>+Données!J124</f>
        <v>142647.49</v>
      </c>
      <c r="H124" s="8">
        <f>Données!U124</f>
        <v>-84373.38</v>
      </c>
      <c r="I124" s="198">
        <f>Données!V124</f>
        <v>0</v>
      </c>
      <c r="J124" s="198">
        <f>Données!W124</f>
        <v>-1362.76</v>
      </c>
      <c r="K124" s="8">
        <f>+Données!Q124</f>
        <v>1434.81</v>
      </c>
      <c r="L124" s="411">
        <f t="shared" si="4"/>
        <v>8947359.5299999993</v>
      </c>
      <c r="M124" s="8">
        <f>+Données!F124</f>
        <v>0</v>
      </c>
      <c r="N124" s="8">
        <f>+Données!K124</f>
        <v>-11676.65</v>
      </c>
      <c r="O124" s="8">
        <f>(Données!L124/Données!Y124)*1</f>
        <v>698764.375</v>
      </c>
      <c r="P124" s="411">
        <f t="shared" si="5"/>
        <v>9634447.254999999</v>
      </c>
      <c r="Q124" s="223">
        <f>+Données!X124</f>
        <v>69</v>
      </c>
      <c r="R124" s="411">
        <f t="shared" si="6"/>
        <v>139629.67036231884</v>
      </c>
    </row>
    <row r="125" spans="1:18" x14ac:dyDescent="0.25">
      <c r="A125" s="7">
        <f>Données!A125</f>
        <v>5613</v>
      </c>
      <c r="B125" s="27" t="str">
        <f>Données!B125</f>
        <v>Bourg-en-Lavaux</v>
      </c>
      <c r="C125" s="8">
        <f>Données!C125+Données!D125</f>
        <v>20412078.120000001</v>
      </c>
      <c r="D125" s="8">
        <f>+Données!G125+Données!H125+Données!S125</f>
        <v>187121.28</v>
      </c>
      <c r="E125" s="8">
        <f>+Données!E125</f>
        <v>0</v>
      </c>
      <c r="F125" s="8">
        <f>+Données!I125</f>
        <v>161532.93</v>
      </c>
      <c r="G125" s="8">
        <f>+Données!J125</f>
        <v>580976.21</v>
      </c>
      <c r="H125" s="8">
        <f>Données!U125</f>
        <v>-69130.13</v>
      </c>
      <c r="I125" s="198">
        <f>Données!V125</f>
        <v>0</v>
      </c>
      <c r="J125" s="198">
        <f>Données!W125</f>
        <v>-36807.72</v>
      </c>
      <c r="K125" s="8">
        <f>+Données!Q125</f>
        <v>77821.679999999993</v>
      </c>
      <c r="L125" s="411">
        <f t="shared" si="4"/>
        <v>21313592.370000005</v>
      </c>
      <c r="M125" s="8">
        <f>+Données!F125</f>
        <v>0</v>
      </c>
      <c r="N125" s="8">
        <f>+Données!K125</f>
        <v>33459.9</v>
      </c>
      <c r="O125" s="8">
        <f>(Données!L125/Données!Y125)*1</f>
        <v>1603345.0333333332</v>
      </c>
      <c r="P125" s="411">
        <f t="shared" si="5"/>
        <v>22950397.303333335</v>
      </c>
      <c r="Q125" s="223">
        <f>+Données!X125</f>
        <v>62.5</v>
      </c>
      <c r="R125" s="411">
        <f t="shared" si="6"/>
        <v>367206.35685333336</v>
      </c>
    </row>
    <row r="126" spans="1:18" x14ac:dyDescent="0.25">
      <c r="A126" s="7">
        <f>Données!A126</f>
        <v>5621</v>
      </c>
      <c r="B126" s="27" t="str">
        <f>Données!B126</f>
        <v>Aclens</v>
      </c>
      <c r="C126" s="8">
        <f>Données!C126+Données!D126</f>
        <v>1364439.1800000002</v>
      </c>
      <c r="D126" s="8">
        <f>+Données!G126+Données!H126+Données!S126</f>
        <v>625114.56000000006</v>
      </c>
      <c r="E126" s="8">
        <f>+Données!E126</f>
        <v>0</v>
      </c>
      <c r="F126" s="8">
        <f>+Données!I126</f>
        <v>0</v>
      </c>
      <c r="G126" s="8">
        <f>+Données!J126</f>
        <v>105751.2</v>
      </c>
      <c r="H126" s="8">
        <f>Données!U126</f>
        <v>-6670.87</v>
      </c>
      <c r="I126" s="198">
        <f>Données!V126</f>
        <v>0</v>
      </c>
      <c r="J126" s="198">
        <f>Données!W126</f>
        <v>-50.25</v>
      </c>
      <c r="K126" s="8">
        <f>+Données!Q126</f>
        <v>2940.49</v>
      </c>
      <c r="L126" s="411">
        <f t="shared" si="4"/>
        <v>2091524.31</v>
      </c>
      <c r="M126" s="8">
        <f>+Données!F126</f>
        <v>0</v>
      </c>
      <c r="N126" s="8">
        <f>+Données!K126</f>
        <v>35902.75</v>
      </c>
      <c r="O126" s="8">
        <f>(Données!L126/Données!Y126)*1</f>
        <v>303164.77272727271</v>
      </c>
      <c r="P126" s="411">
        <f t="shared" si="5"/>
        <v>2430591.832727273</v>
      </c>
      <c r="Q126" s="223">
        <f>+Données!X126</f>
        <v>62</v>
      </c>
      <c r="R126" s="411">
        <f t="shared" si="6"/>
        <v>39203.094076246336</v>
      </c>
    </row>
    <row r="127" spans="1:18" x14ac:dyDescent="0.25">
      <c r="A127" s="7">
        <f>Données!A127</f>
        <v>5622</v>
      </c>
      <c r="B127" s="27" t="str">
        <f>Données!B127</f>
        <v>Bremblens</v>
      </c>
      <c r="C127" s="8">
        <f>Données!C127+Données!D127</f>
        <v>1876017.49</v>
      </c>
      <c r="D127" s="8">
        <f>+Données!G127+Données!H127+Données!S127</f>
        <v>73467.259999999995</v>
      </c>
      <c r="E127" s="8">
        <f>+Données!E127</f>
        <v>0</v>
      </c>
      <c r="F127" s="8">
        <f>+Données!I127</f>
        <v>0</v>
      </c>
      <c r="G127" s="8">
        <f>+Données!J127</f>
        <v>18105.21</v>
      </c>
      <c r="H127" s="8">
        <f>Données!U127</f>
        <v>-23464.13</v>
      </c>
      <c r="I127" s="198">
        <f>Données!V127</f>
        <v>0</v>
      </c>
      <c r="J127" s="198">
        <f>Données!W127</f>
        <v>-340.64</v>
      </c>
      <c r="K127" s="8">
        <f>+Données!Q127</f>
        <v>0</v>
      </c>
      <c r="L127" s="411">
        <f t="shared" si="4"/>
        <v>1943785.1900000002</v>
      </c>
      <c r="M127" s="8">
        <f>+Données!F127</f>
        <v>0</v>
      </c>
      <c r="N127" s="8">
        <f>+Données!K127</f>
        <v>-5671.9</v>
      </c>
      <c r="O127" s="8">
        <f>(Données!L127/Données!Y127)*1</f>
        <v>159874.5</v>
      </c>
      <c r="P127" s="411">
        <f t="shared" si="5"/>
        <v>2097987.79</v>
      </c>
      <c r="Q127" s="223">
        <f>+Données!X127</f>
        <v>68</v>
      </c>
      <c r="R127" s="411">
        <f t="shared" si="6"/>
        <v>30852.761617647058</v>
      </c>
    </row>
    <row r="128" spans="1:18" x14ac:dyDescent="0.25">
      <c r="A128" s="7">
        <f>Données!A128</f>
        <v>5623</v>
      </c>
      <c r="B128" s="27" t="str">
        <f>Données!B128</f>
        <v>Buchillon</v>
      </c>
      <c r="C128" s="8">
        <f>Données!C128+Données!D128</f>
        <v>3927262.58</v>
      </c>
      <c r="D128" s="8">
        <f>+Données!G128+Données!H128+Données!S128</f>
        <v>161158.18</v>
      </c>
      <c r="E128" s="8">
        <f>+Données!E128</f>
        <v>0</v>
      </c>
      <c r="F128" s="8">
        <f>+Données!I128</f>
        <v>161315.03</v>
      </c>
      <c r="G128" s="8">
        <f>+Données!J128</f>
        <v>35154.949999999997</v>
      </c>
      <c r="H128" s="8">
        <f>Données!U128</f>
        <v>-6749.01</v>
      </c>
      <c r="I128" s="198">
        <f>Données!V128</f>
        <v>0</v>
      </c>
      <c r="J128" s="198">
        <f>Données!W128</f>
        <v>-52075.94</v>
      </c>
      <c r="K128" s="8">
        <f>+Données!Q128</f>
        <v>68.2</v>
      </c>
      <c r="L128" s="411">
        <f t="shared" si="4"/>
        <v>4226133.99</v>
      </c>
      <c r="M128" s="8">
        <f>+Données!F128</f>
        <v>0</v>
      </c>
      <c r="N128" s="8">
        <f>+Données!K128</f>
        <v>3049</v>
      </c>
      <c r="O128" s="8">
        <f>(Données!L128/Données!Y128)*1</f>
        <v>367777.35</v>
      </c>
      <c r="P128" s="411">
        <f t="shared" si="5"/>
        <v>4596960.34</v>
      </c>
      <c r="Q128" s="223">
        <f>+Données!X128</f>
        <v>52</v>
      </c>
      <c r="R128" s="411">
        <f t="shared" si="6"/>
        <v>88403.083461538452</v>
      </c>
    </row>
    <row r="129" spans="1:18" x14ac:dyDescent="0.25">
      <c r="A129" s="7">
        <f>Données!A129</f>
        <v>5624</v>
      </c>
      <c r="B129" s="27" t="str">
        <f>Données!B129</f>
        <v>Bussigny</v>
      </c>
      <c r="C129" s="8">
        <f>Données!C129+Données!D129</f>
        <v>17531816.370000001</v>
      </c>
      <c r="D129" s="8">
        <f>+Données!G129+Données!H129+Données!S129</f>
        <v>11413898.84</v>
      </c>
      <c r="E129" s="8">
        <f>+Données!E129</f>
        <v>0</v>
      </c>
      <c r="F129" s="8">
        <f>+Données!I129</f>
        <v>0</v>
      </c>
      <c r="G129" s="8">
        <f>+Données!J129</f>
        <v>901078.31</v>
      </c>
      <c r="H129" s="8">
        <f>Données!U129</f>
        <v>-250394.66</v>
      </c>
      <c r="I129" s="198">
        <f>Données!V129</f>
        <v>0</v>
      </c>
      <c r="J129" s="198">
        <f>Données!W129</f>
        <v>-2625.03</v>
      </c>
      <c r="K129" s="8">
        <f>+Données!Q129</f>
        <v>22798.04</v>
      </c>
      <c r="L129" s="411">
        <f t="shared" si="4"/>
        <v>29616571.869999997</v>
      </c>
      <c r="M129" s="8">
        <f>+Données!F129</f>
        <v>0</v>
      </c>
      <c r="N129" s="8">
        <f>+Données!K129</f>
        <v>498778.2</v>
      </c>
      <c r="O129" s="8">
        <f>(Données!L129/Données!Y129)*1</f>
        <v>2535946.84</v>
      </c>
      <c r="P129" s="411">
        <f t="shared" si="5"/>
        <v>32651296.909999996</v>
      </c>
      <c r="Q129" s="223">
        <f>+Données!X129</f>
        <v>62.5</v>
      </c>
      <c r="R129" s="411">
        <f t="shared" si="6"/>
        <v>522420.75055999996</v>
      </c>
    </row>
    <row r="130" spans="1:18" x14ac:dyDescent="0.25">
      <c r="A130" s="7">
        <f>Données!A130</f>
        <v>5627</v>
      </c>
      <c r="B130" s="27" t="str">
        <f>Données!B130</f>
        <v>Chavannes-près-Renens</v>
      </c>
      <c r="C130" s="8">
        <f>Données!C130+Données!D130</f>
        <v>11132312.120000001</v>
      </c>
      <c r="D130" s="8">
        <f>+Données!G130+Données!H130+Données!S130</f>
        <v>1226647.77</v>
      </c>
      <c r="E130" s="8">
        <f>+Données!E130</f>
        <v>0</v>
      </c>
      <c r="F130" s="8">
        <f>+Données!I130</f>
        <v>0</v>
      </c>
      <c r="G130" s="8">
        <f>+Données!J130</f>
        <v>1043045.66</v>
      </c>
      <c r="H130" s="8">
        <f>Données!U130</f>
        <v>-344405.42</v>
      </c>
      <c r="I130" s="198">
        <f>Données!V130</f>
        <v>0</v>
      </c>
      <c r="J130" s="198">
        <f>Données!W130</f>
        <v>-1864.13</v>
      </c>
      <c r="K130" s="8">
        <f>+Données!Q130</f>
        <v>70635.490000000005</v>
      </c>
      <c r="L130" s="411">
        <f t="shared" si="4"/>
        <v>13126371.49</v>
      </c>
      <c r="M130" s="8">
        <f>+Données!F130</f>
        <v>0</v>
      </c>
      <c r="N130" s="8">
        <f>+Données!K130</f>
        <v>343110.65</v>
      </c>
      <c r="O130" s="8">
        <f>(Données!L130/Données!Y130)*1</f>
        <v>1154051.4000000001</v>
      </c>
      <c r="P130" s="411">
        <f t="shared" si="5"/>
        <v>14623533.540000001</v>
      </c>
      <c r="Q130" s="223">
        <f>+Données!X130</f>
        <v>77.5</v>
      </c>
      <c r="R130" s="411">
        <f t="shared" si="6"/>
        <v>188690.75535483871</v>
      </c>
    </row>
    <row r="131" spans="1:18" x14ac:dyDescent="0.25">
      <c r="A131" s="7">
        <f>Données!A131</f>
        <v>5628</v>
      </c>
      <c r="B131" s="27" t="str">
        <f>Données!B131</f>
        <v>Chigny</v>
      </c>
      <c r="C131" s="8">
        <f>Données!C131+Données!D131</f>
        <v>1576307.52</v>
      </c>
      <c r="D131" s="8">
        <f>+Données!G131+Données!H131+Données!S131</f>
        <v>10327.23</v>
      </c>
      <c r="E131" s="8">
        <f>+Données!E131</f>
        <v>0</v>
      </c>
      <c r="F131" s="8">
        <f>+Données!I131</f>
        <v>0</v>
      </c>
      <c r="G131" s="8">
        <f>+Données!J131</f>
        <v>21662.06</v>
      </c>
      <c r="H131" s="8">
        <f>Données!U131</f>
        <v>-4830.5</v>
      </c>
      <c r="I131" s="198">
        <f>Données!V131</f>
        <v>0</v>
      </c>
      <c r="J131" s="198">
        <f>Données!W131</f>
        <v>-1707.8</v>
      </c>
      <c r="K131" s="8">
        <f>+Données!Q131</f>
        <v>0</v>
      </c>
      <c r="L131" s="411">
        <f t="shared" si="4"/>
        <v>1601758.51</v>
      </c>
      <c r="M131" s="8">
        <f>+Données!F131</f>
        <v>0</v>
      </c>
      <c r="N131" s="8">
        <f>+Données!K131</f>
        <v>859.5</v>
      </c>
      <c r="O131" s="8">
        <f>(Données!L131/Données!Y131)*1</f>
        <v>110279.5</v>
      </c>
      <c r="P131" s="411">
        <f t="shared" si="5"/>
        <v>1712897.51</v>
      </c>
      <c r="Q131" s="223">
        <f>+Données!X131</f>
        <v>62</v>
      </c>
      <c r="R131" s="411">
        <f t="shared" si="6"/>
        <v>27627.379193548386</v>
      </c>
    </row>
    <row r="132" spans="1:18" x14ac:dyDescent="0.25">
      <c r="A132" s="7">
        <f>Données!A132</f>
        <v>5629</v>
      </c>
      <c r="B132" s="27" t="str">
        <f>Données!B132</f>
        <v>Clarmont</v>
      </c>
      <c r="C132" s="8">
        <f>Données!C132+Données!D132</f>
        <v>650930.39999999991</v>
      </c>
      <c r="D132" s="8">
        <f>+Données!G132+Données!H132+Données!S132</f>
        <v>21191.699999999997</v>
      </c>
      <c r="E132" s="8">
        <f>+Données!E132</f>
        <v>0</v>
      </c>
      <c r="F132" s="8">
        <f>+Données!I132</f>
        <v>0</v>
      </c>
      <c r="G132" s="8">
        <f>+Données!J132</f>
        <v>7142.14</v>
      </c>
      <c r="H132" s="8">
        <f>Données!U132</f>
        <v>-1080.8399999999999</v>
      </c>
      <c r="I132" s="198">
        <f>Données!V132</f>
        <v>0</v>
      </c>
      <c r="J132" s="198">
        <f>Données!W132</f>
        <v>0</v>
      </c>
      <c r="K132" s="8">
        <f>+Données!Q132</f>
        <v>0</v>
      </c>
      <c r="L132" s="411">
        <f t="shared" si="4"/>
        <v>678183.39999999991</v>
      </c>
      <c r="M132" s="8">
        <f>+Données!F132</f>
        <v>0</v>
      </c>
      <c r="N132" s="8">
        <f>+Données!K132</f>
        <v>386.55</v>
      </c>
      <c r="O132" s="8">
        <f>(Données!L132/Données!Y132)*1</f>
        <v>38891.550000000003</v>
      </c>
      <c r="P132" s="411">
        <f t="shared" si="5"/>
        <v>717461.5</v>
      </c>
      <c r="Q132" s="223">
        <f>+Données!X132</f>
        <v>72</v>
      </c>
      <c r="R132" s="411">
        <f t="shared" si="6"/>
        <v>9964.7430555555547</v>
      </c>
    </row>
    <row r="133" spans="1:18" x14ac:dyDescent="0.25">
      <c r="A133" s="7">
        <f>Données!A133</f>
        <v>5631</v>
      </c>
      <c r="B133" s="27" t="str">
        <f>Données!B133</f>
        <v>Denens</v>
      </c>
      <c r="C133" s="8">
        <f>Données!C133+Données!D133</f>
        <v>2506204.8600000003</v>
      </c>
      <c r="D133" s="8">
        <f>+Données!G133+Données!H133+Données!S133</f>
        <v>-14174.56</v>
      </c>
      <c r="E133" s="8">
        <f>+Données!E133</f>
        <v>0</v>
      </c>
      <c r="F133" s="8">
        <f>+Données!I133</f>
        <v>184625.8</v>
      </c>
      <c r="G133" s="8">
        <f>+Données!J133</f>
        <v>-38180.25</v>
      </c>
      <c r="H133" s="8">
        <f>Données!U133</f>
        <v>-21275.119999999999</v>
      </c>
      <c r="I133" s="198">
        <f>Données!V133</f>
        <v>0</v>
      </c>
      <c r="J133" s="198">
        <f>Données!W133</f>
        <v>-1480.83</v>
      </c>
      <c r="K133" s="8">
        <f>+Données!Q133</f>
        <v>33.72</v>
      </c>
      <c r="L133" s="411">
        <f t="shared" si="4"/>
        <v>2615753.62</v>
      </c>
      <c r="M133" s="8">
        <f>+Données!F133</f>
        <v>0</v>
      </c>
      <c r="N133" s="8">
        <f>+Données!K133</f>
        <v>-2036.35</v>
      </c>
      <c r="O133" s="8">
        <f>(Données!L133/Données!Y133)*1</f>
        <v>221495.85</v>
      </c>
      <c r="P133" s="411">
        <f t="shared" si="5"/>
        <v>2835213.12</v>
      </c>
      <c r="Q133" s="223">
        <f>+Données!X133</f>
        <v>68</v>
      </c>
      <c r="R133" s="411">
        <f t="shared" si="6"/>
        <v>41694.310588235297</v>
      </c>
    </row>
    <row r="134" spans="1:18" x14ac:dyDescent="0.25">
      <c r="A134" s="7">
        <f>Données!A134</f>
        <v>5632</v>
      </c>
      <c r="B134" s="27" t="str">
        <f>Données!B134</f>
        <v>Denges</v>
      </c>
      <c r="C134" s="8">
        <f>Données!C134+Données!D134</f>
        <v>4162978.58</v>
      </c>
      <c r="D134" s="8">
        <f>+Données!G134+Données!H134+Données!S134</f>
        <v>275316.5</v>
      </c>
      <c r="E134" s="8">
        <f>+Données!E134</f>
        <v>0</v>
      </c>
      <c r="F134" s="8">
        <f>+Données!I134</f>
        <v>0</v>
      </c>
      <c r="G134" s="8">
        <f>+Données!J134</f>
        <v>240064.74</v>
      </c>
      <c r="H134" s="8">
        <f>Données!U134</f>
        <v>-34863.69</v>
      </c>
      <c r="I134" s="198">
        <f>Données!V134</f>
        <v>0</v>
      </c>
      <c r="J134" s="198">
        <f>Données!W134</f>
        <v>-3359.45</v>
      </c>
      <c r="K134" s="8">
        <f>+Données!Q134</f>
        <v>319.43</v>
      </c>
      <c r="L134" s="411">
        <f t="shared" si="4"/>
        <v>4640456.1099999994</v>
      </c>
      <c r="M134" s="8">
        <f>+Données!F134</f>
        <v>0</v>
      </c>
      <c r="N134" s="8">
        <f>+Données!K134</f>
        <v>43382.95</v>
      </c>
      <c r="O134" s="8">
        <f>(Données!L134/Données!Y134)*1</f>
        <v>377997.9</v>
      </c>
      <c r="P134" s="411">
        <f t="shared" si="5"/>
        <v>5061836.96</v>
      </c>
      <c r="Q134" s="223">
        <f>+Données!X134</f>
        <v>62</v>
      </c>
      <c r="R134" s="411">
        <f t="shared" si="6"/>
        <v>81642.531612903229</v>
      </c>
    </row>
    <row r="135" spans="1:18" x14ac:dyDescent="0.25">
      <c r="A135" s="7">
        <f>Données!A135</f>
        <v>5633</v>
      </c>
      <c r="B135" s="27" t="str">
        <f>Données!B135</f>
        <v>Echandens</v>
      </c>
      <c r="C135" s="8">
        <f>Données!C135+Données!D135</f>
        <v>7709366.1499999994</v>
      </c>
      <c r="D135" s="8">
        <f>+Données!G135+Données!H135+Données!S135</f>
        <v>545750.06999999995</v>
      </c>
      <c r="E135" s="8">
        <f>+Données!E135</f>
        <v>0</v>
      </c>
      <c r="F135" s="8">
        <f>+Données!I135</f>
        <v>0</v>
      </c>
      <c r="G135" s="8">
        <f>+Données!J135</f>
        <v>209258.7</v>
      </c>
      <c r="H135" s="8">
        <f>Données!U135</f>
        <v>-72342.539999999994</v>
      </c>
      <c r="I135" s="198">
        <f>Données!V135</f>
        <v>0</v>
      </c>
      <c r="J135" s="198">
        <f>Données!W135</f>
        <v>-22444.35</v>
      </c>
      <c r="K135" s="8">
        <f>+Données!Q135</f>
        <v>-8001.33</v>
      </c>
      <c r="L135" s="411">
        <f t="shared" ref="L135:L198" si="7">SUM(C135:K135)</f>
        <v>8361586.7000000011</v>
      </c>
      <c r="M135" s="8">
        <f>+Données!F135</f>
        <v>0</v>
      </c>
      <c r="N135" s="8">
        <f>+Données!K135</f>
        <v>12737.45</v>
      </c>
      <c r="O135" s="8">
        <f>(Données!L135/Données!Y135)*1</f>
        <v>690714.4</v>
      </c>
      <c r="P135" s="411">
        <f t="shared" ref="P135:P198" si="8">SUM(L135:O135)</f>
        <v>9065038.5500000007</v>
      </c>
      <c r="Q135" s="223">
        <f>+Données!X135</f>
        <v>60.5</v>
      </c>
      <c r="R135" s="411">
        <f t="shared" ref="R135:R198" si="9">P135/Q135</f>
        <v>149835.3479338843</v>
      </c>
    </row>
    <row r="136" spans="1:18" x14ac:dyDescent="0.25">
      <c r="A136" s="7">
        <f>Données!A136</f>
        <v>5634</v>
      </c>
      <c r="B136" s="27" t="str">
        <f>Données!B136</f>
        <v>Echichens</v>
      </c>
      <c r="C136" s="8">
        <f>Données!C136+Données!D136</f>
        <v>11205499.540000001</v>
      </c>
      <c r="D136" s="8">
        <f>+Données!G136+Données!H136+Données!S136</f>
        <v>84726.64</v>
      </c>
      <c r="E136" s="8">
        <f>+Données!E136</f>
        <v>0</v>
      </c>
      <c r="F136" s="8">
        <f>+Données!I136</f>
        <v>31390.35</v>
      </c>
      <c r="G136" s="8">
        <f>+Données!J136</f>
        <v>89514.71</v>
      </c>
      <c r="H136" s="8">
        <f>Données!U136</f>
        <v>-102104.03</v>
      </c>
      <c r="I136" s="198">
        <f>Données!V136</f>
        <v>0</v>
      </c>
      <c r="J136" s="198">
        <f>Données!W136</f>
        <v>-11144</v>
      </c>
      <c r="K136" s="8">
        <f>+Données!Q136</f>
        <v>243.8</v>
      </c>
      <c r="L136" s="411">
        <f t="shared" si="7"/>
        <v>11298127.010000004</v>
      </c>
      <c r="M136" s="8">
        <f>+Données!F136</f>
        <v>0</v>
      </c>
      <c r="N136" s="8">
        <f>+Données!K136</f>
        <v>27518.25</v>
      </c>
      <c r="O136" s="8">
        <f>(Données!L136/Données!Y136)*1</f>
        <v>761438.6</v>
      </c>
      <c r="P136" s="411">
        <f t="shared" si="8"/>
        <v>12087083.860000003</v>
      </c>
      <c r="Q136" s="223">
        <f>+Données!X136</f>
        <v>66</v>
      </c>
      <c r="R136" s="411">
        <f t="shared" si="9"/>
        <v>183137.63424242428</v>
      </c>
    </row>
    <row r="137" spans="1:18" x14ac:dyDescent="0.25">
      <c r="A137" s="7">
        <f>Données!A137</f>
        <v>5635</v>
      </c>
      <c r="B137" s="27" t="str">
        <f>Données!B137</f>
        <v>Ecublens</v>
      </c>
      <c r="C137" s="8">
        <f>Données!C137+Données!D137</f>
        <v>22229929.5</v>
      </c>
      <c r="D137" s="8">
        <f>+Données!G137+Données!H137+Données!S137</f>
        <v>5243181.58</v>
      </c>
      <c r="E137" s="8">
        <f>+Données!E137</f>
        <v>0</v>
      </c>
      <c r="F137" s="8">
        <f>+Données!I137</f>
        <v>0</v>
      </c>
      <c r="G137" s="8">
        <f>+Données!J137</f>
        <v>1797106.7</v>
      </c>
      <c r="H137" s="8">
        <f>Données!U137</f>
        <v>-334886.88</v>
      </c>
      <c r="I137" s="198">
        <f>Données!V137</f>
        <v>0</v>
      </c>
      <c r="J137" s="198">
        <f>Données!W137</f>
        <v>-50924.25</v>
      </c>
      <c r="K137" s="8">
        <f>+Données!Q137</f>
        <v>101600.35</v>
      </c>
      <c r="L137" s="411">
        <f t="shared" si="7"/>
        <v>28986007</v>
      </c>
      <c r="M137" s="8">
        <f>+Données!F137</f>
        <v>0</v>
      </c>
      <c r="N137" s="8">
        <f>+Données!K137</f>
        <v>595772.35</v>
      </c>
      <c r="O137" s="8">
        <f>(Données!L137/Données!Y137)*1</f>
        <v>2678562.7083333335</v>
      </c>
      <c r="P137" s="411">
        <f t="shared" si="8"/>
        <v>32260342.058333334</v>
      </c>
      <c r="Q137" s="223">
        <f>+Données!X137</f>
        <v>62.5</v>
      </c>
      <c r="R137" s="411">
        <f t="shared" si="9"/>
        <v>516165.47293333331</v>
      </c>
    </row>
    <row r="138" spans="1:18" x14ac:dyDescent="0.25">
      <c r="A138" s="7">
        <f>Données!A138</f>
        <v>5636</v>
      </c>
      <c r="B138" s="27" t="str">
        <f>Données!B138</f>
        <v>Etoy</v>
      </c>
      <c r="C138" s="8">
        <f>Données!C138+Données!D138</f>
        <v>7205954.6299999999</v>
      </c>
      <c r="D138" s="8">
        <f>+Données!G138+Données!H138+Données!S138</f>
        <v>2393949.27</v>
      </c>
      <c r="E138" s="8">
        <f>+Données!E138</f>
        <v>0</v>
      </c>
      <c r="F138" s="8">
        <f>+Données!I138</f>
        <v>-30375.35</v>
      </c>
      <c r="G138" s="8">
        <f>+Données!J138</f>
        <v>466665.45</v>
      </c>
      <c r="H138" s="8">
        <f>Données!U138</f>
        <v>-153262.98000000001</v>
      </c>
      <c r="I138" s="198">
        <f>Données!V138</f>
        <v>0</v>
      </c>
      <c r="J138" s="198">
        <f>Données!W138</f>
        <v>-4237.0200000000004</v>
      </c>
      <c r="K138" s="8">
        <f>+Données!Q138</f>
        <v>26419.23</v>
      </c>
      <c r="L138" s="411">
        <f t="shared" si="7"/>
        <v>9905113.2300000004</v>
      </c>
      <c r="M138" s="8">
        <f>+Données!F138</f>
        <v>0</v>
      </c>
      <c r="N138" s="8">
        <f>+Données!K138</f>
        <v>227402.65</v>
      </c>
      <c r="O138" s="8">
        <f>(Données!L138/Données!Y138)*1</f>
        <v>1234985.1499999999</v>
      </c>
      <c r="P138" s="411">
        <f t="shared" si="8"/>
        <v>11367501.030000001</v>
      </c>
      <c r="Q138" s="223">
        <f>+Données!X138</f>
        <v>60</v>
      </c>
      <c r="R138" s="411">
        <f t="shared" si="9"/>
        <v>189458.35050000003</v>
      </c>
    </row>
    <row r="139" spans="1:18" x14ac:dyDescent="0.25">
      <c r="A139" s="7">
        <f>Données!A139</f>
        <v>5637</v>
      </c>
      <c r="B139" s="27" t="str">
        <f>Données!B139</f>
        <v>Lavigny</v>
      </c>
      <c r="C139" s="8">
        <f>Données!C139+Données!D139</f>
        <v>2316520.5</v>
      </c>
      <c r="D139" s="8">
        <f>+Données!G139+Données!H139+Données!S139</f>
        <v>51035.540000000008</v>
      </c>
      <c r="E139" s="8">
        <f>+Données!E139</f>
        <v>0</v>
      </c>
      <c r="F139" s="8">
        <f>+Données!I139</f>
        <v>0</v>
      </c>
      <c r="G139" s="8">
        <f>+Données!J139</f>
        <v>129469.89</v>
      </c>
      <c r="H139" s="8">
        <f>Données!U139</f>
        <v>-55283.46</v>
      </c>
      <c r="I139" s="198">
        <f>Données!V139</f>
        <v>0</v>
      </c>
      <c r="J139" s="198">
        <f>Données!W139</f>
        <v>-937.31</v>
      </c>
      <c r="K139" s="8">
        <f>+Données!Q139</f>
        <v>610.61</v>
      </c>
      <c r="L139" s="411">
        <f t="shared" si="7"/>
        <v>2441415.77</v>
      </c>
      <c r="M139" s="8">
        <f>+Données!F139</f>
        <v>0</v>
      </c>
      <c r="N139" s="8">
        <f>+Données!K139</f>
        <v>8415.35</v>
      </c>
      <c r="O139" s="8">
        <f>(Données!L139/Données!Y139)*1</f>
        <v>199617</v>
      </c>
      <c r="P139" s="411">
        <f t="shared" si="8"/>
        <v>2649448.12</v>
      </c>
      <c r="Q139" s="223">
        <f>+Données!X139</f>
        <v>73</v>
      </c>
      <c r="R139" s="411">
        <f t="shared" si="9"/>
        <v>36293.809863013703</v>
      </c>
    </row>
    <row r="140" spans="1:18" x14ac:dyDescent="0.25">
      <c r="A140" s="7">
        <f>Données!A140</f>
        <v>5638</v>
      </c>
      <c r="B140" s="27" t="str">
        <f>Données!B140</f>
        <v>Lonay</v>
      </c>
      <c r="C140" s="8">
        <f>Données!C140+Données!D140</f>
        <v>6891773.6500000004</v>
      </c>
      <c r="D140" s="8">
        <f>+Données!G140+Données!H140+Données!S140</f>
        <v>574780</v>
      </c>
      <c r="E140" s="8">
        <f>+Données!E140</f>
        <v>0</v>
      </c>
      <c r="F140" s="8">
        <f>+Données!I140</f>
        <v>71005.399999999994</v>
      </c>
      <c r="G140" s="8">
        <f>+Données!J140</f>
        <v>185754.57</v>
      </c>
      <c r="H140" s="8">
        <f>Données!U140</f>
        <v>-60883.78</v>
      </c>
      <c r="I140" s="198">
        <f>Données!V140</f>
        <v>0</v>
      </c>
      <c r="J140" s="198">
        <f>Données!W140</f>
        <v>-17990.169999999998</v>
      </c>
      <c r="K140" s="8">
        <f>+Données!Q140</f>
        <v>31883.33</v>
      </c>
      <c r="L140" s="411">
        <f t="shared" si="7"/>
        <v>7676323.0000000009</v>
      </c>
      <c r="M140" s="8">
        <f>+Données!F140</f>
        <v>0</v>
      </c>
      <c r="N140" s="8">
        <f>+Données!K140</f>
        <v>75992.850000000006</v>
      </c>
      <c r="O140" s="8">
        <f>(Données!L140/Données!Y140)*1</f>
        <v>711845.4</v>
      </c>
      <c r="P140" s="411">
        <f t="shared" si="8"/>
        <v>8464161.25</v>
      </c>
      <c r="Q140" s="223">
        <f>+Données!X140</f>
        <v>55</v>
      </c>
      <c r="R140" s="411">
        <f t="shared" si="9"/>
        <v>153893.84090909091</v>
      </c>
    </row>
    <row r="141" spans="1:18" x14ac:dyDescent="0.25">
      <c r="A141" s="7">
        <f>Données!A141</f>
        <v>5639</v>
      </c>
      <c r="B141" s="27" t="str">
        <f>Données!B141</f>
        <v>Lully</v>
      </c>
      <c r="C141" s="8">
        <f>Données!C141+Données!D141</f>
        <v>2887344.6399999997</v>
      </c>
      <c r="D141" s="8">
        <f>+Données!G141+Données!H141+Données!S141</f>
        <v>71948.070000000007</v>
      </c>
      <c r="E141" s="8">
        <f>+Données!E141</f>
        <v>0</v>
      </c>
      <c r="F141" s="8">
        <f>+Données!I141</f>
        <v>0</v>
      </c>
      <c r="G141" s="8">
        <f>+Données!J141</f>
        <v>17788.330000000002</v>
      </c>
      <c r="H141" s="8">
        <f>Données!U141</f>
        <v>-3344.64</v>
      </c>
      <c r="I141" s="198">
        <f>Données!V141</f>
        <v>0</v>
      </c>
      <c r="J141" s="198">
        <f>Données!W141</f>
        <v>-1876.2</v>
      </c>
      <c r="K141" s="8">
        <f>+Données!Q141</f>
        <v>415.77</v>
      </c>
      <c r="L141" s="411">
        <f t="shared" si="7"/>
        <v>2972275.9699999993</v>
      </c>
      <c r="M141" s="8">
        <f>+Données!F141</f>
        <v>0</v>
      </c>
      <c r="N141" s="8">
        <f>+Données!K141</f>
        <v>2807.35</v>
      </c>
      <c r="O141" s="8">
        <f>(Données!L141/Données!Y141)*1</f>
        <v>211689.24</v>
      </c>
      <c r="P141" s="411">
        <f t="shared" si="8"/>
        <v>3186772.5599999996</v>
      </c>
      <c r="Q141" s="223">
        <f>+Données!X141</f>
        <v>61</v>
      </c>
      <c r="R141" s="411">
        <f t="shared" si="9"/>
        <v>52242.173114754092</v>
      </c>
    </row>
    <row r="142" spans="1:18" x14ac:dyDescent="0.25">
      <c r="A142" s="7">
        <f>Données!A142</f>
        <v>5640</v>
      </c>
      <c r="B142" s="27" t="str">
        <f>Données!B142</f>
        <v>Lussy-sur-Morges</v>
      </c>
      <c r="C142" s="8">
        <f>Données!C142+Données!D142</f>
        <v>3245280.63</v>
      </c>
      <c r="D142" s="8">
        <f>+Données!G142+Données!H142+Données!S142</f>
        <v>76617.420000000013</v>
      </c>
      <c r="E142" s="8">
        <f>+Données!E142</f>
        <v>0</v>
      </c>
      <c r="F142" s="8">
        <f>+Données!I142</f>
        <v>104668.49</v>
      </c>
      <c r="G142" s="8">
        <f>+Données!J142</f>
        <v>74315.009999999995</v>
      </c>
      <c r="H142" s="8">
        <f>Données!U142</f>
        <v>-4352.1499999999996</v>
      </c>
      <c r="I142" s="198">
        <f>Données!V142</f>
        <v>0</v>
      </c>
      <c r="J142" s="198">
        <f>Données!W142</f>
        <v>-6689.35</v>
      </c>
      <c r="K142" s="8">
        <f>+Données!Q142</f>
        <v>5572.33</v>
      </c>
      <c r="L142" s="411">
        <f t="shared" si="7"/>
        <v>3495412.38</v>
      </c>
      <c r="M142" s="8">
        <f>+Données!F142</f>
        <v>0</v>
      </c>
      <c r="N142" s="8">
        <f>+Données!K142</f>
        <v>10925.25</v>
      </c>
      <c r="O142" s="8">
        <f>(Données!L142/Données!Y142)*1</f>
        <v>219923.65</v>
      </c>
      <c r="P142" s="411">
        <f t="shared" si="8"/>
        <v>3726261.28</v>
      </c>
      <c r="Q142" s="223">
        <f>+Données!X142</f>
        <v>64.5</v>
      </c>
      <c r="R142" s="411">
        <f t="shared" si="9"/>
        <v>57771.49271317829</v>
      </c>
    </row>
    <row r="143" spans="1:18" x14ac:dyDescent="0.25">
      <c r="A143" s="7">
        <f>Données!A143</f>
        <v>5642</v>
      </c>
      <c r="B143" s="27" t="str">
        <f>Données!B143</f>
        <v>Morges</v>
      </c>
      <c r="C143" s="8">
        <f>Données!C143+Données!D143</f>
        <v>46347955.920000002</v>
      </c>
      <c r="D143" s="8">
        <f>+Données!G143+Données!H143+Données!S143</f>
        <v>13166570.049999999</v>
      </c>
      <c r="E143" s="8">
        <f>+Données!E143</f>
        <v>0</v>
      </c>
      <c r="F143" s="8">
        <f>+Données!I143</f>
        <v>266429.24</v>
      </c>
      <c r="G143" s="8">
        <f>+Données!J143</f>
        <v>2400215.56</v>
      </c>
      <c r="H143" s="8">
        <f>Données!U143</f>
        <v>-609512.84</v>
      </c>
      <c r="I143" s="198">
        <f>Données!V143</f>
        <v>0</v>
      </c>
      <c r="J143" s="198">
        <f>Données!W143</f>
        <v>-40416.22</v>
      </c>
      <c r="K143" s="8">
        <f>+Données!Q143</f>
        <v>120064.25</v>
      </c>
      <c r="L143" s="411">
        <f t="shared" si="7"/>
        <v>61651305.960000001</v>
      </c>
      <c r="M143" s="8">
        <f>+Données!F143</f>
        <v>0</v>
      </c>
      <c r="N143" s="8">
        <f>+Données!K143</f>
        <v>527538.19999999995</v>
      </c>
      <c r="O143" s="8">
        <f>(Données!L143/Données!Y143)*1</f>
        <v>3517820.55</v>
      </c>
      <c r="P143" s="411">
        <f t="shared" si="8"/>
        <v>65696664.710000001</v>
      </c>
      <c r="Q143" s="223">
        <f>+Données!X143</f>
        <v>67</v>
      </c>
      <c r="R143" s="411">
        <f t="shared" si="9"/>
        <v>980547.23447761196</v>
      </c>
    </row>
    <row r="144" spans="1:18" x14ac:dyDescent="0.25">
      <c r="A144" s="7">
        <f>Données!A144</f>
        <v>5643</v>
      </c>
      <c r="B144" s="27" t="str">
        <f>Données!B144</f>
        <v>Préverenges</v>
      </c>
      <c r="C144" s="8">
        <f>Données!C144+Données!D144</f>
        <v>13427367.569999998</v>
      </c>
      <c r="D144" s="8">
        <f>+Données!G144+Données!H144+Données!S144</f>
        <v>488463.64</v>
      </c>
      <c r="E144" s="8">
        <f>+Données!E144</f>
        <v>0</v>
      </c>
      <c r="F144" s="8">
        <f>+Données!I144</f>
        <v>358963.77</v>
      </c>
      <c r="G144" s="8">
        <f>+Données!J144</f>
        <v>412475.28</v>
      </c>
      <c r="H144" s="8">
        <f>Données!U144</f>
        <v>-132251.26999999999</v>
      </c>
      <c r="I144" s="198">
        <f>Données!V144</f>
        <v>0</v>
      </c>
      <c r="J144" s="198">
        <f>Données!W144</f>
        <v>-40065.440000000002</v>
      </c>
      <c r="K144" s="8">
        <f>+Données!Q144</f>
        <v>10506.74</v>
      </c>
      <c r="L144" s="411">
        <f t="shared" si="7"/>
        <v>14525460.289999999</v>
      </c>
      <c r="M144" s="8">
        <f>+Données!F144</f>
        <v>0</v>
      </c>
      <c r="N144" s="8">
        <f>+Données!K144</f>
        <v>108863.1</v>
      </c>
      <c r="O144" s="8">
        <f>(Données!L144/Données!Y144)*1</f>
        <v>1160950.95</v>
      </c>
      <c r="P144" s="411">
        <f t="shared" si="8"/>
        <v>15795274.339999998</v>
      </c>
      <c r="Q144" s="223">
        <f>+Données!X144</f>
        <v>62.5</v>
      </c>
      <c r="R144" s="411">
        <f t="shared" si="9"/>
        <v>252724.38943999997</v>
      </c>
    </row>
    <row r="145" spans="1:18" x14ac:dyDescent="0.25">
      <c r="A145" s="7">
        <f>Données!A145</f>
        <v>5645</v>
      </c>
      <c r="B145" s="27" t="str">
        <f>Données!B145</f>
        <v>Romanel-sur-Morges</v>
      </c>
      <c r="C145" s="8">
        <f>Données!C145+Données!D145</f>
        <v>1086034.58</v>
      </c>
      <c r="D145" s="8">
        <f>+Données!G145+Données!H145+Données!S145</f>
        <v>81646.460000000006</v>
      </c>
      <c r="E145" s="8">
        <f>+Données!E145</f>
        <v>0</v>
      </c>
      <c r="F145" s="8">
        <f>+Données!I145</f>
        <v>0</v>
      </c>
      <c r="G145" s="8">
        <f>+Données!J145</f>
        <v>-12613.84</v>
      </c>
      <c r="H145" s="8">
        <f>Données!U145</f>
        <v>-7648.22</v>
      </c>
      <c r="I145" s="198">
        <f>Données!V145</f>
        <v>0</v>
      </c>
      <c r="J145" s="198">
        <f>Données!W145</f>
        <v>-667.21</v>
      </c>
      <c r="K145" s="8">
        <f>+Données!Q145</f>
        <v>60.08</v>
      </c>
      <c r="L145" s="411">
        <f t="shared" si="7"/>
        <v>1146811.8500000001</v>
      </c>
      <c r="M145" s="8">
        <f>+Données!F145</f>
        <v>0</v>
      </c>
      <c r="N145" s="8">
        <f>+Données!K145</f>
        <v>21580.5</v>
      </c>
      <c r="O145" s="8">
        <f>(Données!L145/Données!Y145)*1</f>
        <v>162671.5</v>
      </c>
      <c r="P145" s="411">
        <f t="shared" si="8"/>
        <v>1331063.8500000001</v>
      </c>
      <c r="Q145" s="223">
        <f>+Données!X145</f>
        <v>56</v>
      </c>
      <c r="R145" s="411">
        <f t="shared" si="9"/>
        <v>23768.997321428575</v>
      </c>
    </row>
    <row r="146" spans="1:18" x14ac:dyDescent="0.25">
      <c r="A146" s="7">
        <f>Données!A146</f>
        <v>5646</v>
      </c>
      <c r="B146" s="27" t="str">
        <f>Données!B146</f>
        <v>Saint-Prex</v>
      </c>
      <c r="C146" s="8">
        <f>Données!C146+Données!D146</f>
        <v>17459212.149999999</v>
      </c>
      <c r="D146" s="8">
        <f>+Données!G146+Données!H146+Données!S146</f>
        <v>10244211.67</v>
      </c>
      <c r="E146" s="8">
        <f>+Données!E146</f>
        <v>0</v>
      </c>
      <c r="F146" s="8">
        <f>+Données!I146</f>
        <v>675909.13</v>
      </c>
      <c r="G146" s="8">
        <f>+Données!J146</f>
        <v>328610.83</v>
      </c>
      <c r="H146" s="8">
        <f>Données!U146</f>
        <v>-171672.91</v>
      </c>
      <c r="I146" s="198">
        <f>Données!V146</f>
        <v>0</v>
      </c>
      <c r="J146" s="198">
        <f>Données!W146</f>
        <v>-22144.55</v>
      </c>
      <c r="K146" s="8">
        <f>+Données!Q146</f>
        <v>19039.990000000002</v>
      </c>
      <c r="L146" s="411">
        <f t="shared" si="7"/>
        <v>28533166.309999995</v>
      </c>
      <c r="M146" s="8">
        <f>+Données!F146</f>
        <v>0</v>
      </c>
      <c r="N146" s="8">
        <f>+Données!K146</f>
        <v>162060.35</v>
      </c>
      <c r="O146" s="8">
        <f>(Données!L146/Données!Y146)*1</f>
        <v>1723890.875</v>
      </c>
      <c r="P146" s="411">
        <f t="shared" si="8"/>
        <v>30419117.534999996</v>
      </c>
      <c r="Q146" s="223">
        <f>+Données!X146</f>
        <v>59</v>
      </c>
      <c r="R146" s="411">
        <f t="shared" si="9"/>
        <v>515578.26330508466</v>
      </c>
    </row>
    <row r="147" spans="1:18" x14ac:dyDescent="0.25">
      <c r="A147" s="7">
        <f>Données!A147</f>
        <v>5648</v>
      </c>
      <c r="B147" s="27" t="str">
        <f>Données!B147</f>
        <v>Saint-Sulpice</v>
      </c>
      <c r="C147" s="8">
        <f>Données!C147+Données!D147</f>
        <v>19127148.02</v>
      </c>
      <c r="D147" s="8">
        <f>+Données!G147+Données!H147+Données!S147</f>
        <v>937404.39</v>
      </c>
      <c r="E147" s="8">
        <f>+Données!E147</f>
        <v>0</v>
      </c>
      <c r="F147" s="8">
        <f>+Données!I147</f>
        <v>246593.19</v>
      </c>
      <c r="G147" s="8">
        <f>+Données!J147</f>
        <v>839949.43</v>
      </c>
      <c r="H147" s="8">
        <f>Données!U147</f>
        <v>-184047.47</v>
      </c>
      <c r="I147" s="198">
        <f>Données!V147</f>
        <v>0</v>
      </c>
      <c r="J147" s="198">
        <f>Données!W147</f>
        <v>-131761.34</v>
      </c>
      <c r="K147" s="8">
        <f>+Données!Q147</f>
        <v>28144.13</v>
      </c>
      <c r="L147" s="411">
        <f t="shared" si="7"/>
        <v>20863430.350000001</v>
      </c>
      <c r="M147" s="8">
        <f>+Données!F147</f>
        <v>0</v>
      </c>
      <c r="N147" s="8">
        <f>+Données!K147</f>
        <v>235136.3</v>
      </c>
      <c r="O147" s="8">
        <f>(Données!L147/Données!Y147)*1</f>
        <v>1838657.8625</v>
      </c>
      <c r="P147" s="411">
        <f t="shared" si="8"/>
        <v>22937224.512500003</v>
      </c>
      <c r="Q147" s="223">
        <f>+Données!X147</f>
        <v>55</v>
      </c>
      <c r="R147" s="411">
        <f t="shared" si="9"/>
        <v>417040.44568181824</v>
      </c>
    </row>
    <row r="148" spans="1:18" x14ac:dyDescent="0.25">
      <c r="A148" s="7">
        <f>Données!A148</f>
        <v>5649</v>
      </c>
      <c r="B148" s="27" t="str">
        <f>Données!B148</f>
        <v>Tolochenaz</v>
      </c>
      <c r="C148" s="8">
        <f>Données!C148+Données!D148</f>
        <v>4462137.25</v>
      </c>
      <c r="D148" s="8">
        <f>+Données!G148+Données!H148+Données!S148</f>
        <v>5479487.580000001</v>
      </c>
      <c r="E148" s="8">
        <f>+Données!E148</f>
        <v>0</v>
      </c>
      <c r="F148" s="8">
        <f>+Données!I148</f>
        <v>58975.95</v>
      </c>
      <c r="G148" s="8">
        <f>+Données!J148</f>
        <v>526595.52</v>
      </c>
      <c r="H148" s="8">
        <f>Données!U148</f>
        <v>-62186.33</v>
      </c>
      <c r="I148" s="198">
        <f>Données!V148</f>
        <v>0</v>
      </c>
      <c r="J148" s="198">
        <f>Données!W148</f>
        <v>-4216.2700000000004</v>
      </c>
      <c r="K148" s="8">
        <f>+Données!Q148</f>
        <v>5469.7</v>
      </c>
      <c r="L148" s="411">
        <f t="shared" si="7"/>
        <v>10466263.4</v>
      </c>
      <c r="M148" s="8">
        <f>+Données!F148</f>
        <v>0</v>
      </c>
      <c r="N148" s="8">
        <f>+Données!K148</f>
        <v>58417.15</v>
      </c>
      <c r="O148" s="8">
        <f>(Données!L148/Données!Y148)*1</f>
        <v>577018.80000000005</v>
      </c>
      <c r="P148" s="411">
        <f t="shared" si="8"/>
        <v>11101699.350000001</v>
      </c>
      <c r="Q148" s="223">
        <f>+Données!X148</f>
        <v>64</v>
      </c>
      <c r="R148" s="411">
        <f t="shared" si="9"/>
        <v>173464.05234375002</v>
      </c>
    </row>
    <row r="149" spans="1:18" x14ac:dyDescent="0.25">
      <c r="A149" s="7">
        <f>Données!A149</f>
        <v>5650</v>
      </c>
      <c r="B149" s="27" t="str">
        <f>Données!B149</f>
        <v>Vaux-sur-Morges</v>
      </c>
      <c r="C149" s="8">
        <f>Données!C149+Données!D149</f>
        <v>5011849.93</v>
      </c>
      <c r="D149" s="8">
        <f>+Données!G149+Données!H149+Données!S149</f>
        <v>9257.5800000000017</v>
      </c>
      <c r="E149" s="8">
        <f>+Données!E149</f>
        <v>0</v>
      </c>
      <c r="F149" s="8">
        <f>+Données!I149</f>
        <v>0</v>
      </c>
      <c r="G149" s="8">
        <f>+Données!J149</f>
        <v>-4147.5600000000004</v>
      </c>
      <c r="H149" s="8">
        <f>Données!U149</f>
        <v>-0.02</v>
      </c>
      <c r="I149" s="198">
        <f>Données!V149</f>
        <v>0</v>
      </c>
      <c r="J149" s="198">
        <f>Données!W149</f>
        <v>-435.55</v>
      </c>
      <c r="K149" s="8">
        <f>+Données!Q149</f>
        <v>0</v>
      </c>
      <c r="L149" s="411">
        <f t="shared" si="7"/>
        <v>5016524.3800000008</v>
      </c>
      <c r="M149" s="8">
        <f>+Données!F149</f>
        <v>0</v>
      </c>
      <c r="N149" s="8">
        <f>+Données!K149</f>
        <v>0</v>
      </c>
      <c r="O149" s="8">
        <f>(Données!L149/Données!Y149)*1</f>
        <v>46316</v>
      </c>
      <c r="P149" s="411">
        <f t="shared" si="8"/>
        <v>5062840.3800000008</v>
      </c>
      <c r="Q149" s="223">
        <f>+Données!X149</f>
        <v>56</v>
      </c>
      <c r="R149" s="411">
        <f t="shared" si="9"/>
        <v>90407.863928571445</v>
      </c>
    </row>
    <row r="150" spans="1:18" x14ac:dyDescent="0.25">
      <c r="A150" s="7">
        <f>Données!A150</f>
        <v>5651</v>
      </c>
      <c r="B150" s="27" t="str">
        <f>Données!B150</f>
        <v>Villars-Sainte-Croix</v>
      </c>
      <c r="C150" s="8">
        <f>Données!C150+Données!D150</f>
        <v>2427255.2600000002</v>
      </c>
      <c r="D150" s="8">
        <f>+Données!G150+Données!H150+Données!S150</f>
        <v>614025.22</v>
      </c>
      <c r="E150" s="8">
        <f>+Données!E150</f>
        <v>0</v>
      </c>
      <c r="F150" s="8">
        <f>+Données!I150</f>
        <v>0</v>
      </c>
      <c r="G150" s="8">
        <f>+Données!J150</f>
        <v>59028.82</v>
      </c>
      <c r="H150" s="8">
        <f>Données!U150</f>
        <v>-433097.85</v>
      </c>
      <c r="I150" s="198">
        <f>Données!V150</f>
        <v>0</v>
      </c>
      <c r="J150" s="198">
        <f>Données!W150</f>
        <v>-943.98</v>
      </c>
      <c r="K150" s="8">
        <f>+Données!Q150</f>
        <v>341300.04</v>
      </c>
      <c r="L150" s="411">
        <f t="shared" si="7"/>
        <v>3007567.5100000002</v>
      </c>
      <c r="M150" s="8">
        <f>+Données!F150</f>
        <v>0</v>
      </c>
      <c r="N150" s="8">
        <f>+Données!K150</f>
        <v>3066.7</v>
      </c>
      <c r="O150" s="8">
        <f>(Données!L150/Données!Y150)*1</f>
        <v>377858.7</v>
      </c>
      <c r="P150" s="411">
        <f t="shared" si="8"/>
        <v>3388492.9100000006</v>
      </c>
      <c r="Q150" s="223">
        <f>+Données!X150</f>
        <v>60.5</v>
      </c>
      <c r="R150" s="411">
        <f t="shared" si="9"/>
        <v>56008.147272727285</v>
      </c>
    </row>
    <row r="151" spans="1:18" x14ac:dyDescent="0.25">
      <c r="A151" s="7">
        <f>Données!A151</f>
        <v>5652</v>
      </c>
      <c r="B151" s="27" t="str">
        <f>Données!B151</f>
        <v>Villars-sous-Yens</v>
      </c>
      <c r="C151" s="8">
        <f>Données!C151+Données!D151</f>
        <v>1823192.0499999998</v>
      </c>
      <c r="D151" s="8">
        <f>+Données!G151+Données!H151+Données!S151</f>
        <v>9149.39</v>
      </c>
      <c r="E151" s="8">
        <f>+Données!E151</f>
        <v>0</v>
      </c>
      <c r="F151" s="8">
        <f>+Données!I151</f>
        <v>0</v>
      </c>
      <c r="G151" s="8">
        <f>+Données!J151</f>
        <v>41549.61</v>
      </c>
      <c r="H151" s="8">
        <f>Données!U151</f>
        <v>-17013.669999999998</v>
      </c>
      <c r="I151" s="198">
        <f>Données!V151</f>
        <v>0</v>
      </c>
      <c r="J151" s="198">
        <f>Données!W151</f>
        <v>-2458.98</v>
      </c>
      <c r="K151" s="8">
        <f>+Données!Q151</f>
        <v>697.31</v>
      </c>
      <c r="L151" s="411">
        <f t="shared" si="7"/>
        <v>1855115.71</v>
      </c>
      <c r="M151" s="8">
        <f>+Données!F151</f>
        <v>0</v>
      </c>
      <c r="N151" s="8">
        <f>+Données!K151</f>
        <v>854.15</v>
      </c>
      <c r="O151" s="8">
        <f>(Données!L151/Données!Y151)*1</f>
        <v>116778.29166666669</v>
      </c>
      <c r="P151" s="411">
        <f t="shared" si="8"/>
        <v>1972748.1516666666</v>
      </c>
      <c r="Q151" s="223">
        <f>+Données!X151</f>
        <v>76</v>
      </c>
      <c r="R151" s="411">
        <f t="shared" si="9"/>
        <v>25957.212521929825</v>
      </c>
    </row>
    <row r="152" spans="1:18" x14ac:dyDescent="0.25">
      <c r="A152" s="7">
        <f>Données!A152</f>
        <v>5653</v>
      </c>
      <c r="B152" s="27" t="str">
        <f>Données!B152</f>
        <v>Vufflens-le-Château</v>
      </c>
      <c r="C152" s="8">
        <f>Données!C152+Données!D152</f>
        <v>3739330.83</v>
      </c>
      <c r="D152" s="8">
        <f>+Données!G152+Données!H152+Données!S152</f>
        <v>35510.06</v>
      </c>
      <c r="E152" s="8">
        <f>+Données!E152</f>
        <v>0</v>
      </c>
      <c r="F152" s="8">
        <f>+Données!I152</f>
        <v>154696.4</v>
      </c>
      <c r="G152" s="8">
        <f>+Données!J152</f>
        <v>15596.85</v>
      </c>
      <c r="H152" s="8">
        <f>Données!U152</f>
        <v>-406.57</v>
      </c>
      <c r="I152" s="198">
        <f>Données!V152</f>
        <v>0</v>
      </c>
      <c r="J152" s="198">
        <f>Données!W152</f>
        <v>-25790.98</v>
      </c>
      <c r="K152" s="8">
        <f>+Données!Q152</f>
        <v>133.04</v>
      </c>
      <c r="L152" s="411">
        <f t="shared" si="7"/>
        <v>3919069.6300000004</v>
      </c>
      <c r="M152" s="8">
        <f>+Données!F152</f>
        <v>0</v>
      </c>
      <c r="N152" s="8">
        <f>+Données!K152</f>
        <v>-15452.85</v>
      </c>
      <c r="O152" s="8">
        <f>(Données!L152/Données!Y152)*1</f>
        <v>270180.99999999994</v>
      </c>
      <c r="P152" s="411">
        <f t="shared" si="8"/>
        <v>4173797.7800000003</v>
      </c>
      <c r="Q152" s="223">
        <f>+Données!X152</f>
        <v>58.5</v>
      </c>
      <c r="R152" s="411">
        <f t="shared" si="9"/>
        <v>71346.970598290602</v>
      </c>
    </row>
    <row r="153" spans="1:18" x14ac:dyDescent="0.25">
      <c r="A153" s="7">
        <f>Données!A153</f>
        <v>5654</v>
      </c>
      <c r="B153" s="27" t="str">
        <f>Données!B153</f>
        <v>Vullierens</v>
      </c>
      <c r="C153" s="8">
        <f>Données!C153+Données!D153</f>
        <v>1427354.16</v>
      </c>
      <c r="D153" s="8">
        <f>+Données!G153+Données!H153+Données!S153</f>
        <v>16386.66</v>
      </c>
      <c r="E153" s="8">
        <f>+Données!E153</f>
        <v>0</v>
      </c>
      <c r="F153" s="8">
        <f>+Données!I153</f>
        <v>0</v>
      </c>
      <c r="G153" s="8">
        <f>+Données!J153</f>
        <v>25957.38</v>
      </c>
      <c r="H153" s="8">
        <f>Données!U153</f>
        <v>-10079.64</v>
      </c>
      <c r="I153" s="198">
        <f>Données!V153</f>
        <v>0</v>
      </c>
      <c r="J153" s="198">
        <f>Données!W153</f>
        <v>-315.85000000000002</v>
      </c>
      <c r="K153" s="8">
        <f>+Données!Q153</f>
        <v>0</v>
      </c>
      <c r="L153" s="411">
        <f t="shared" si="7"/>
        <v>1459302.7099999997</v>
      </c>
      <c r="M153" s="8">
        <f>+Données!F153</f>
        <v>0</v>
      </c>
      <c r="N153" s="8">
        <f>+Données!K153</f>
        <v>1821.5</v>
      </c>
      <c r="O153" s="8">
        <f>(Données!L153/Données!Y153)*1</f>
        <v>115215.45</v>
      </c>
      <c r="P153" s="411">
        <f t="shared" si="8"/>
        <v>1576339.6599999997</v>
      </c>
      <c r="Q153" s="223">
        <f>+Données!X153</f>
        <v>76</v>
      </c>
      <c r="R153" s="411">
        <f t="shared" si="9"/>
        <v>20741.31131578947</v>
      </c>
    </row>
    <row r="154" spans="1:18" x14ac:dyDescent="0.25">
      <c r="A154" s="7">
        <f>Données!A154</f>
        <v>5655</v>
      </c>
      <c r="B154" s="27" t="str">
        <f>Données!B154</f>
        <v>Yens</v>
      </c>
      <c r="C154" s="8">
        <f>Données!C154+Données!D154</f>
        <v>5227833.88</v>
      </c>
      <c r="D154" s="8">
        <f>+Données!G154+Données!H154+Données!S154</f>
        <v>71363.790000000008</v>
      </c>
      <c r="E154" s="8">
        <f>+Données!E154</f>
        <v>0</v>
      </c>
      <c r="F154" s="8">
        <f>+Données!I154</f>
        <v>66010.45</v>
      </c>
      <c r="G154" s="8">
        <f>+Données!J154</f>
        <v>68413.63</v>
      </c>
      <c r="H154" s="8">
        <f>Données!U154</f>
        <v>-57546.9</v>
      </c>
      <c r="I154" s="198">
        <f>Données!V154</f>
        <v>0</v>
      </c>
      <c r="J154" s="198">
        <f>Données!W154</f>
        <v>-4584.29</v>
      </c>
      <c r="K154" s="8">
        <f>+Données!Q154</f>
        <v>-1151.07</v>
      </c>
      <c r="L154" s="411">
        <f t="shared" si="7"/>
        <v>5370339.4899999993</v>
      </c>
      <c r="M154" s="8">
        <f>+Données!F154</f>
        <v>0</v>
      </c>
      <c r="N154" s="8">
        <f>+Données!K154</f>
        <v>11954.3</v>
      </c>
      <c r="O154" s="8">
        <f>(Données!L154/Données!Y154)*1</f>
        <v>444149</v>
      </c>
      <c r="P154" s="411">
        <f t="shared" si="8"/>
        <v>5826442.7899999991</v>
      </c>
      <c r="Q154" s="223">
        <f>+Données!X154</f>
        <v>71.5</v>
      </c>
      <c r="R154" s="411">
        <f t="shared" si="9"/>
        <v>81488.710349650341</v>
      </c>
    </row>
    <row r="155" spans="1:18" x14ac:dyDescent="0.25">
      <c r="A155" s="7">
        <f>Données!A155</f>
        <v>5656</v>
      </c>
      <c r="B155" s="27" t="str">
        <f>Données!B155</f>
        <v>Hautemorges</v>
      </c>
      <c r="C155" s="8">
        <f>Données!C155+Données!D155</f>
        <v>10791305.289999999</v>
      </c>
      <c r="D155" s="8">
        <f>+Données!G155+Données!H155+Données!S155</f>
        <v>327951.70999999996</v>
      </c>
      <c r="E155" s="8">
        <f>+Données!E155</f>
        <v>0</v>
      </c>
      <c r="F155" s="8">
        <f>+Données!I155</f>
        <v>113352.09</v>
      </c>
      <c r="G155" s="8">
        <f>+Données!J155</f>
        <v>249232.87</v>
      </c>
      <c r="H155" s="8">
        <f>Données!U155</f>
        <v>-155731.18</v>
      </c>
      <c r="I155" s="198">
        <f>Données!V155</f>
        <v>0</v>
      </c>
      <c r="J155" s="198">
        <f>Données!W155</f>
        <v>-13161.42</v>
      </c>
      <c r="K155" s="8">
        <f>+Données!Q155</f>
        <v>19360.830000000002</v>
      </c>
      <c r="L155" s="411">
        <f t="shared" si="7"/>
        <v>11332310.189999999</v>
      </c>
      <c r="M155" s="8">
        <f>+Données!F155</f>
        <v>0</v>
      </c>
      <c r="N155" s="8">
        <f>+Données!K155</f>
        <v>29945.5</v>
      </c>
      <c r="O155" s="8">
        <f>(Données!L155/Données!Y155)*1</f>
        <v>885531.1</v>
      </c>
      <c r="P155" s="411">
        <f t="shared" si="8"/>
        <v>12247786.789999999</v>
      </c>
      <c r="Q155" s="223">
        <f>+Données!X155</f>
        <v>72.5</v>
      </c>
      <c r="R155" s="411">
        <f t="shared" si="9"/>
        <v>168934.99020689653</v>
      </c>
    </row>
    <row r="156" spans="1:18" x14ac:dyDescent="0.25">
      <c r="A156" s="7">
        <f>Données!A156</f>
        <v>5661</v>
      </c>
      <c r="B156" s="27" t="str">
        <f>Données!B156</f>
        <v>Boulens</v>
      </c>
      <c r="C156" s="8">
        <f>Données!C156+Données!D156</f>
        <v>719179.04</v>
      </c>
      <c r="D156" s="8">
        <f>+Données!G156+Données!H156+Données!S156</f>
        <v>10131.85</v>
      </c>
      <c r="E156" s="8">
        <f>+Données!E156</f>
        <v>0</v>
      </c>
      <c r="F156" s="8">
        <f>+Données!I156</f>
        <v>0</v>
      </c>
      <c r="G156" s="8">
        <f>+Données!J156</f>
        <v>13189.56</v>
      </c>
      <c r="H156" s="8">
        <f>Données!U156</f>
        <v>-15944.9</v>
      </c>
      <c r="I156" s="198">
        <f>Données!V156</f>
        <v>0</v>
      </c>
      <c r="J156" s="198">
        <f>Données!W156</f>
        <v>0</v>
      </c>
      <c r="K156" s="8">
        <f>+Données!Q156</f>
        <v>0</v>
      </c>
      <c r="L156" s="411">
        <f t="shared" si="7"/>
        <v>726555.55</v>
      </c>
      <c r="M156" s="8">
        <f>+Données!F156</f>
        <v>0</v>
      </c>
      <c r="N156" s="8">
        <f>+Données!K156</f>
        <v>555</v>
      </c>
      <c r="O156" s="8">
        <f>(Données!L156/Données!Y156)*1</f>
        <v>60017</v>
      </c>
      <c r="P156" s="411">
        <f t="shared" si="8"/>
        <v>787127.55</v>
      </c>
      <c r="Q156" s="223">
        <f>+Données!X156</f>
        <v>71.5</v>
      </c>
      <c r="R156" s="411">
        <f t="shared" si="9"/>
        <v>11008.776923076925</v>
      </c>
    </row>
    <row r="157" spans="1:18" x14ac:dyDescent="0.25">
      <c r="A157" s="7">
        <f>Données!A157</f>
        <v>5663</v>
      </c>
      <c r="B157" s="27" t="str">
        <f>Données!B157</f>
        <v>Bussy-sur-Moudon</v>
      </c>
      <c r="C157" s="8">
        <f>Données!C157+Données!D157</f>
        <v>464602.37</v>
      </c>
      <c r="D157" s="8">
        <f>+Données!G157+Données!H157+Données!S157</f>
        <v>-2463.4299999999998</v>
      </c>
      <c r="E157" s="8">
        <f>+Données!E157</f>
        <v>0</v>
      </c>
      <c r="F157" s="8">
        <f>+Données!I157</f>
        <v>0</v>
      </c>
      <c r="G157" s="8">
        <f>+Données!J157</f>
        <v>7475.8</v>
      </c>
      <c r="H157" s="8">
        <f>Données!U157</f>
        <v>-10255.459999999999</v>
      </c>
      <c r="I157" s="198">
        <f>Données!V157</f>
        <v>0</v>
      </c>
      <c r="J157" s="198">
        <f>Données!W157</f>
        <v>0</v>
      </c>
      <c r="K157" s="8">
        <f>+Données!Q157</f>
        <v>12732.51</v>
      </c>
      <c r="L157" s="411">
        <f t="shared" si="7"/>
        <v>472091.79</v>
      </c>
      <c r="M157" s="8">
        <f>+Données!F157</f>
        <v>1330</v>
      </c>
      <c r="N157" s="8">
        <f>+Données!K157</f>
        <v>325.2</v>
      </c>
      <c r="O157" s="8">
        <f>(Données!L157/Données!Y157)*1</f>
        <v>33423.15</v>
      </c>
      <c r="P157" s="411">
        <f t="shared" si="8"/>
        <v>507170.14</v>
      </c>
      <c r="Q157" s="223">
        <f>+Données!X157</f>
        <v>78.5</v>
      </c>
      <c r="R157" s="411">
        <f t="shared" si="9"/>
        <v>6460.7661146496821</v>
      </c>
    </row>
    <row r="158" spans="1:18" x14ac:dyDescent="0.25">
      <c r="A158" s="7">
        <f>Données!A158</f>
        <v>5665</v>
      </c>
      <c r="B158" s="27" t="str">
        <f>Données!B158</f>
        <v>Chavannes-sur-Moudon</v>
      </c>
      <c r="C158" s="8">
        <f>Données!C158+Données!D158</f>
        <v>363744.81</v>
      </c>
      <c r="D158" s="8">
        <f>+Données!G158+Données!H158+Données!S158</f>
        <v>3674.96</v>
      </c>
      <c r="E158" s="8">
        <f>+Données!E158</f>
        <v>0</v>
      </c>
      <c r="F158" s="8">
        <f>+Données!I158</f>
        <v>0</v>
      </c>
      <c r="G158" s="8">
        <f>+Données!J158</f>
        <v>9616.44</v>
      </c>
      <c r="H158" s="8">
        <f>Données!U158</f>
        <v>-717.74</v>
      </c>
      <c r="I158" s="198">
        <f>Données!V158</f>
        <v>0</v>
      </c>
      <c r="J158" s="198">
        <f>Données!W158</f>
        <v>0</v>
      </c>
      <c r="K158" s="8">
        <f>+Données!Q158</f>
        <v>120.89</v>
      </c>
      <c r="L158" s="411">
        <f t="shared" si="7"/>
        <v>376439.36000000004</v>
      </c>
      <c r="M158" s="8">
        <f>+Données!F158</f>
        <v>0</v>
      </c>
      <c r="N158" s="8">
        <f>+Données!K158</f>
        <v>54.5</v>
      </c>
      <c r="O158" s="8">
        <f>(Données!L158/Données!Y158)*1</f>
        <v>28565.4</v>
      </c>
      <c r="P158" s="411">
        <f t="shared" si="8"/>
        <v>405059.26000000007</v>
      </c>
      <c r="Q158" s="223">
        <f>+Données!X158</f>
        <v>70</v>
      </c>
      <c r="R158" s="411">
        <f t="shared" si="9"/>
        <v>5786.5608571428584</v>
      </c>
    </row>
    <row r="159" spans="1:18" x14ac:dyDescent="0.25">
      <c r="A159" s="7">
        <f>Données!A159</f>
        <v>5669</v>
      </c>
      <c r="B159" s="27" t="str">
        <f>Données!B159</f>
        <v>Curtilles</v>
      </c>
      <c r="C159" s="8">
        <f>Données!C159+Données!D159</f>
        <v>571182.61</v>
      </c>
      <c r="D159" s="8">
        <f>+Données!G159+Données!H159+Données!S159</f>
        <v>376.07999999999896</v>
      </c>
      <c r="E159" s="8">
        <f>+Données!E159</f>
        <v>0</v>
      </c>
      <c r="F159" s="8">
        <f>+Données!I159</f>
        <v>0</v>
      </c>
      <c r="G159" s="8">
        <f>+Données!J159</f>
        <v>2535.21</v>
      </c>
      <c r="H159" s="8">
        <f>Données!U159</f>
        <v>-7428.06</v>
      </c>
      <c r="I159" s="198">
        <f>Données!V159</f>
        <v>0</v>
      </c>
      <c r="J159" s="198">
        <f>Données!W159</f>
        <v>-84.3</v>
      </c>
      <c r="K159" s="8">
        <f>+Données!Q159</f>
        <v>0</v>
      </c>
      <c r="L159" s="411">
        <f t="shared" si="7"/>
        <v>566581.5399999998</v>
      </c>
      <c r="M159" s="8">
        <f>+Données!F159</f>
        <v>0</v>
      </c>
      <c r="N159" s="8">
        <f>+Données!K159</f>
        <v>255.7</v>
      </c>
      <c r="O159" s="8">
        <f>(Données!L159/Données!Y159)*1</f>
        <v>48408.800000000003</v>
      </c>
      <c r="P159" s="411">
        <f t="shared" si="8"/>
        <v>615246.0399999998</v>
      </c>
      <c r="Q159" s="223">
        <f>+Données!X159</f>
        <v>73</v>
      </c>
      <c r="R159" s="411">
        <f t="shared" si="9"/>
        <v>8428.0279452054765</v>
      </c>
    </row>
    <row r="160" spans="1:18" x14ac:dyDescent="0.25">
      <c r="A160" s="7">
        <f>Données!A160</f>
        <v>5671</v>
      </c>
      <c r="B160" s="27" t="str">
        <f>Données!B160</f>
        <v>Dompierre</v>
      </c>
      <c r="C160" s="8">
        <f>Données!C160+Données!D160</f>
        <v>481896</v>
      </c>
      <c r="D160" s="8">
        <f>+Données!G160+Données!H160+Données!S160</f>
        <v>6832.9699999999993</v>
      </c>
      <c r="E160" s="8">
        <f>+Données!E160</f>
        <v>0</v>
      </c>
      <c r="F160" s="8">
        <f>+Données!I160</f>
        <v>0</v>
      </c>
      <c r="G160" s="8">
        <f>+Données!J160</f>
        <v>4571.75</v>
      </c>
      <c r="H160" s="8">
        <f>Données!U160</f>
        <v>-9450.3799999999992</v>
      </c>
      <c r="I160" s="198">
        <f>Données!V160</f>
        <v>0</v>
      </c>
      <c r="J160" s="198">
        <f>Données!W160</f>
        <v>0</v>
      </c>
      <c r="K160" s="8">
        <f>+Données!Q160</f>
        <v>5400.68</v>
      </c>
      <c r="L160" s="411">
        <f t="shared" si="7"/>
        <v>489251.01999999996</v>
      </c>
      <c r="M160" s="8">
        <f>+Données!F160</f>
        <v>2150</v>
      </c>
      <c r="N160" s="8">
        <f>+Données!K160</f>
        <v>223.5</v>
      </c>
      <c r="O160" s="8">
        <f>(Données!L160/Données!Y160)*1</f>
        <v>34982.800000000003</v>
      </c>
      <c r="P160" s="411">
        <f t="shared" si="8"/>
        <v>526607.31999999995</v>
      </c>
      <c r="Q160" s="223">
        <f>+Données!X160</f>
        <v>78</v>
      </c>
      <c r="R160" s="411">
        <f t="shared" si="9"/>
        <v>6751.3758974358971</v>
      </c>
    </row>
    <row r="161" spans="1:18" x14ac:dyDescent="0.25">
      <c r="A161" s="7">
        <f>Données!A161</f>
        <v>5673</v>
      </c>
      <c r="B161" s="27" t="str">
        <f>Données!B161</f>
        <v>Hermenches</v>
      </c>
      <c r="C161" s="8">
        <f>Données!C161+Données!D161</f>
        <v>657331.81999999995</v>
      </c>
      <c r="D161" s="8">
        <f>+Données!G161+Données!H161+Données!S161</f>
        <v>5241.71</v>
      </c>
      <c r="E161" s="8">
        <f>+Données!E161</f>
        <v>0</v>
      </c>
      <c r="F161" s="8">
        <f>+Données!I161</f>
        <v>0</v>
      </c>
      <c r="G161" s="8">
        <f>+Données!J161</f>
        <v>-165.79</v>
      </c>
      <c r="H161" s="8">
        <f>Données!U161</f>
        <v>-5636.18</v>
      </c>
      <c r="I161" s="198">
        <f>Données!V161</f>
        <v>0</v>
      </c>
      <c r="J161" s="198">
        <f>Données!W161</f>
        <v>-74.55</v>
      </c>
      <c r="K161" s="8">
        <f>+Données!Q161</f>
        <v>2579.54</v>
      </c>
      <c r="L161" s="411">
        <f t="shared" si="7"/>
        <v>659276.54999999981</v>
      </c>
      <c r="M161" s="8">
        <f>+Données!F161</f>
        <v>2240</v>
      </c>
      <c r="N161" s="8">
        <f>+Données!K161</f>
        <v>408</v>
      </c>
      <c r="O161" s="8">
        <f>(Données!L161/Données!Y161)*1</f>
        <v>49188.5</v>
      </c>
      <c r="P161" s="411">
        <f t="shared" si="8"/>
        <v>711113.04999999981</v>
      </c>
      <c r="Q161" s="223">
        <f>+Données!X161</f>
        <v>73.5</v>
      </c>
      <c r="R161" s="411">
        <f t="shared" si="9"/>
        <v>9675.0074829931946</v>
      </c>
    </row>
    <row r="162" spans="1:18" x14ac:dyDescent="0.25">
      <c r="A162" s="7">
        <f>Données!A162</f>
        <v>5674</v>
      </c>
      <c r="B162" s="27" t="str">
        <f>Données!B162</f>
        <v>Lovatens</v>
      </c>
      <c r="C162" s="8">
        <f>Données!C162+Données!D162</f>
        <v>244740.93</v>
      </c>
      <c r="D162" s="8">
        <f>+Données!G162+Données!H162+Données!S162</f>
        <v>379.67</v>
      </c>
      <c r="E162" s="8">
        <f>+Données!E162</f>
        <v>0</v>
      </c>
      <c r="F162" s="8">
        <f>+Données!I162</f>
        <v>0</v>
      </c>
      <c r="G162" s="8">
        <f>+Données!J162</f>
        <v>122.21</v>
      </c>
      <c r="H162" s="8">
        <f>Données!U162</f>
        <v>-943.13</v>
      </c>
      <c r="I162" s="198">
        <f>Données!V162</f>
        <v>0</v>
      </c>
      <c r="J162" s="198">
        <f>Données!W162</f>
        <v>-137.80000000000001</v>
      </c>
      <c r="K162" s="8">
        <f>+Données!Q162</f>
        <v>0</v>
      </c>
      <c r="L162" s="411">
        <f t="shared" si="7"/>
        <v>244161.88</v>
      </c>
      <c r="M162" s="8">
        <f>+Données!F162</f>
        <v>0</v>
      </c>
      <c r="N162" s="8">
        <f>+Données!K162</f>
        <v>64.099999999999994</v>
      </c>
      <c r="O162" s="8">
        <f>(Données!L162/Données!Y162)*1</f>
        <v>21195</v>
      </c>
      <c r="P162" s="411">
        <f t="shared" si="8"/>
        <v>265420.98</v>
      </c>
      <c r="Q162" s="223">
        <f>+Données!X162</f>
        <v>75</v>
      </c>
      <c r="R162" s="411">
        <f t="shared" si="9"/>
        <v>3538.9463999999998</v>
      </c>
    </row>
    <row r="163" spans="1:18" x14ac:dyDescent="0.25">
      <c r="A163" s="7">
        <f>Données!A163</f>
        <v>5675</v>
      </c>
      <c r="B163" s="27" t="str">
        <f>Données!B163</f>
        <v>Lucens</v>
      </c>
      <c r="C163" s="8">
        <f>Données!C163+Données!D163</f>
        <v>5263050.57</v>
      </c>
      <c r="D163" s="8">
        <f>+Données!G163+Données!H163+Données!S163</f>
        <v>369752.04000000004</v>
      </c>
      <c r="E163" s="8">
        <f>+Données!E163</f>
        <v>0</v>
      </c>
      <c r="F163" s="8">
        <f>+Données!I163</f>
        <v>0</v>
      </c>
      <c r="G163" s="8">
        <f>+Données!J163</f>
        <v>280868.17</v>
      </c>
      <c r="H163" s="8">
        <f>Données!U163</f>
        <v>-227428.09</v>
      </c>
      <c r="I163" s="198">
        <f>Données!V163</f>
        <v>0</v>
      </c>
      <c r="J163" s="198">
        <f>Données!W163</f>
        <v>-1963.57</v>
      </c>
      <c r="K163" s="8">
        <f>+Données!Q163</f>
        <v>38604.35</v>
      </c>
      <c r="L163" s="411">
        <f t="shared" si="7"/>
        <v>5722883.4699999997</v>
      </c>
      <c r="M163" s="8">
        <f>+Données!F163</f>
        <v>0</v>
      </c>
      <c r="N163" s="8">
        <f>+Données!K163</f>
        <v>58545</v>
      </c>
      <c r="O163" s="8">
        <f>(Données!L163/Données!Y163)*1</f>
        <v>668436.90909090906</v>
      </c>
      <c r="P163" s="411">
        <f t="shared" si="8"/>
        <v>6449865.3790909089</v>
      </c>
      <c r="Q163" s="223">
        <f>+Données!X163</f>
        <v>69.5</v>
      </c>
      <c r="R163" s="411">
        <f t="shared" si="9"/>
        <v>92803.818404185746</v>
      </c>
    </row>
    <row r="164" spans="1:18" x14ac:dyDescent="0.25">
      <c r="A164" s="7">
        <f>Données!A164</f>
        <v>5678</v>
      </c>
      <c r="B164" s="27" t="str">
        <f>Données!B164</f>
        <v>Moudon</v>
      </c>
      <c r="C164" s="8">
        <f>Données!C164+Données!D164</f>
        <v>7413659.8900000006</v>
      </c>
      <c r="D164" s="8">
        <f>+Données!G164+Données!H164+Données!S164</f>
        <v>890358.32000000007</v>
      </c>
      <c r="E164" s="8">
        <f>+Données!E164</f>
        <v>0</v>
      </c>
      <c r="F164" s="8">
        <f>+Données!I164</f>
        <v>0</v>
      </c>
      <c r="G164" s="8">
        <f>+Données!J164</f>
        <v>443201.87</v>
      </c>
      <c r="H164" s="8">
        <f>Données!U164</f>
        <v>-352863.06</v>
      </c>
      <c r="I164" s="198">
        <f>Données!V164</f>
        <v>0</v>
      </c>
      <c r="J164" s="198">
        <f>Données!W164</f>
        <v>-2020.57</v>
      </c>
      <c r="K164" s="8">
        <f>+Données!Q164</f>
        <v>106648.87</v>
      </c>
      <c r="L164" s="411">
        <f t="shared" si="7"/>
        <v>8498985.3199999984</v>
      </c>
      <c r="M164" s="8">
        <f>+Données!F164</f>
        <v>35058.9</v>
      </c>
      <c r="N164" s="8">
        <f>+Données!K164</f>
        <v>45101.55</v>
      </c>
      <c r="O164" s="8">
        <f>(Données!L164/Données!Y164)*1</f>
        <v>894845.5</v>
      </c>
      <c r="P164" s="411">
        <f t="shared" si="8"/>
        <v>9473991.2699999996</v>
      </c>
      <c r="Q164" s="223">
        <f>+Données!X164</f>
        <v>72.5</v>
      </c>
      <c r="R164" s="411">
        <f t="shared" si="9"/>
        <v>130675.7416551724</v>
      </c>
    </row>
    <row r="165" spans="1:18" x14ac:dyDescent="0.25">
      <c r="A165" s="7">
        <f>Données!A165</f>
        <v>5680</v>
      </c>
      <c r="B165" s="27" t="str">
        <f>Données!B165</f>
        <v>Ogens</v>
      </c>
      <c r="C165" s="8">
        <f>Données!C165+Données!D165</f>
        <v>616180.87</v>
      </c>
      <c r="D165" s="8">
        <f>+Données!G165+Données!H165+Données!S165</f>
        <v>110478.46</v>
      </c>
      <c r="E165" s="8">
        <f>+Données!E165</f>
        <v>0</v>
      </c>
      <c r="F165" s="8">
        <f>+Données!I165</f>
        <v>0</v>
      </c>
      <c r="G165" s="8">
        <f>+Données!J165</f>
        <v>22372.31</v>
      </c>
      <c r="H165" s="8">
        <f>Données!U165</f>
        <v>-20425.57</v>
      </c>
      <c r="I165" s="198">
        <f>Données!V165</f>
        <v>0</v>
      </c>
      <c r="J165" s="198">
        <f>Données!W165</f>
        <v>0</v>
      </c>
      <c r="K165" s="8">
        <f>+Données!Q165</f>
        <v>0</v>
      </c>
      <c r="L165" s="411">
        <f t="shared" si="7"/>
        <v>728606.07000000007</v>
      </c>
      <c r="M165" s="8">
        <f>+Données!F165</f>
        <v>0</v>
      </c>
      <c r="N165" s="8">
        <f>+Données!K165</f>
        <v>625</v>
      </c>
      <c r="O165" s="8">
        <f>(Données!L165/Données!Y165)*1</f>
        <v>58321.733333333337</v>
      </c>
      <c r="P165" s="411">
        <f t="shared" si="8"/>
        <v>787552.80333333346</v>
      </c>
      <c r="Q165" s="223">
        <f>+Données!X165</f>
        <v>78</v>
      </c>
      <c r="R165" s="411">
        <f t="shared" si="9"/>
        <v>10096.830811965814</v>
      </c>
    </row>
    <row r="166" spans="1:18" x14ac:dyDescent="0.25">
      <c r="A166" s="7">
        <f>Données!A166</f>
        <v>5683</v>
      </c>
      <c r="B166" s="27" t="str">
        <f>Données!B166</f>
        <v>Prévonloup</v>
      </c>
      <c r="C166" s="8">
        <f>Données!C166+Données!D166</f>
        <v>328573.61000000004</v>
      </c>
      <c r="D166" s="8">
        <f>+Données!G166+Données!H166+Données!S166</f>
        <v>5463.77</v>
      </c>
      <c r="E166" s="8">
        <f>+Données!E166</f>
        <v>0</v>
      </c>
      <c r="F166" s="8">
        <f>+Données!I166</f>
        <v>0</v>
      </c>
      <c r="G166" s="8">
        <f>+Données!J166</f>
        <v>10522.58</v>
      </c>
      <c r="H166" s="8">
        <f>Données!U166</f>
        <v>-2777.64</v>
      </c>
      <c r="I166" s="198">
        <f>Données!V166</f>
        <v>0</v>
      </c>
      <c r="J166" s="198">
        <f>Données!W166</f>
        <v>-0.61</v>
      </c>
      <c r="K166" s="8">
        <f>+Données!Q166</f>
        <v>0</v>
      </c>
      <c r="L166" s="411">
        <f t="shared" si="7"/>
        <v>341781.71000000008</v>
      </c>
      <c r="M166" s="8">
        <f>+Données!F166</f>
        <v>0</v>
      </c>
      <c r="N166" s="8">
        <f>+Données!K166</f>
        <v>2220.5</v>
      </c>
      <c r="O166" s="8">
        <f>(Données!L166/Données!Y166)*1</f>
        <v>31663</v>
      </c>
      <c r="P166" s="411">
        <f t="shared" si="8"/>
        <v>375665.21000000008</v>
      </c>
      <c r="Q166" s="223">
        <f>+Données!X166</f>
        <v>72.5</v>
      </c>
      <c r="R166" s="411">
        <f t="shared" si="9"/>
        <v>5181.5891034482765</v>
      </c>
    </row>
    <row r="167" spans="1:18" x14ac:dyDescent="0.25">
      <c r="A167" s="7">
        <f>Données!A167</f>
        <v>5684</v>
      </c>
      <c r="B167" s="27" t="str">
        <f>Données!B167</f>
        <v>Rossenges</v>
      </c>
      <c r="C167" s="8">
        <f>Données!C167+Données!D167</f>
        <v>499884.09</v>
      </c>
      <c r="D167" s="8">
        <f>+Données!G167+Données!H167+Données!S167</f>
        <v>1252.78</v>
      </c>
      <c r="E167" s="8">
        <f>+Données!E167</f>
        <v>0</v>
      </c>
      <c r="F167" s="8">
        <f>+Données!I167</f>
        <v>0</v>
      </c>
      <c r="G167" s="8">
        <f>+Données!J167</f>
        <v>12748.25</v>
      </c>
      <c r="H167" s="8">
        <f>Données!U167</f>
        <v>-19.18</v>
      </c>
      <c r="I167" s="198">
        <f>Données!V167</f>
        <v>0</v>
      </c>
      <c r="J167" s="198">
        <f>Données!W167</f>
        <v>0</v>
      </c>
      <c r="K167" s="8">
        <f>+Données!Q167</f>
        <v>0</v>
      </c>
      <c r="L167" s="411">
        <f t="shared" si="7"/>
        <v>513865.94000000006</v>
      </c>
      <c r="M167" s="8">
        <f>+Données!F167</f>
        <v>0</v>
      </c>
      <c r="N167" s="8">
        <f>+Données!K167</f>
        <v>0</v>
      </c>
      <c r="O167" s="8">
        <f>(Données!L167/Données!Y167)*1</f>
        <v>13632.625</v>
      </c>
      <c r="P167" s="411">
        <f t="shared" si="8"/>
        <v>527498.56500000006</v>
      </c>
      <c r="Q167" s="223">
        <f>+Données!X167</f>
        <v>75</v>
      </c>
      <c r="R167" s="411">
        <f t="shared" si="9"/>
        <v>7033.3142000000007</v>
      </c>
    </row>
    <row r="168" spans="1:18" x14ac:dyDescent="0.25">
      <c r="A168" s="7">
        <f>Données!A168</f>
        <v>5688</v>
      </c>
      <c r="B168" s="27" t="str">
        <f>Données!B168</f>
        <v>Syens</v>
      </c>
      <c r="C168" s="8">
        <f>Données!C168+Données!D168</f>
        <v>295167.05</v>
      </c>
      <c r="D168" s="8">
        <f>+Données!G168+Données!H168+Données!S168</f>
        <v>7131.73</v>
      </c>
      <c r="E168" s="8">
        <f>+Données!E168</f>
        <v>0</v>
      </c>
      <c r="F168" s="8">
        <f>+Données!I168</f>
        <v>0</v>
      </c>
      <c r="G168" s="8">
        <f>+Données!J168</f>
        <v>16049.15</v>
      </c>
      <c r="H168" s="8">
        <f>Données!U168</f>
        <v>-55.55</v>
      </c>
      <c r="I168" s="198">
        <f>Données!V168</f>
        <v>0</v>
      </c>
      <c r="J168" s="198">
        <f>Données!W168</f>
        <v>0</v>
      </c>
      <c r="K168" s="8">
        <f>+Données!Q168</f>
        <v>0</v>
      </c>
      <c r="L168" s="411">
        <f t="shared" si="7"/>
        <v>318292.38</v>
      </c>
      <c r="M168" s="8">
        <f>+Données!F168</f>
        <v>0</v>
      </c>
      <c r="N168" s="8">
        <f>+Données!K168</f>
        <v>105</v>
      </c>
      <c r="O168" s="8">
        <f>(Données!L168/Données!Y168)*1</f>
        <v>24608.3</v>
      </c>
      <c r="P168" s="411">
        <f t="shared" si="8"/>
        <v>343005.68</v>
      </c>
      <c r="Q168" s="223">
        <f>+Données!X168</f>
        <v>65</v>
      </c>
      <c r="R168" s="411">
        <f t="shared" si="9"/>
        <v>5277.0104615384616</v>
      </c>
    </row>
    <row r="169" spans="1:18" x14ac:dyDescent="0.25">
      <c r="A169" s="7">
        <f>Données!A169</f>
        <v>5690</v>
      </c>
      <c r="B169" s="27" t="str">
        <f>Données!B169</f>
        <v>Villars-le-Comte</v>
      </c>
      <c r="C169" s="8">
        <f>Données!C169+Données!D169</f>
        <v>279093.19</v>
      </c>
      <c r="D169" s="8">
        <f>+Données!G169+Données!H169+Données!S169</f>
        <v>1647.1499999999999</v>
      </c>
      <c r="E169" s="8">
        <f>+Données!E169</f>
        <v>0</v>
      </c>
      <c r="F169" s="8">
        <f>+Données!I169</f>
        <v>0</v>
      </c>
      <c r="G169" s="8">
        <f>+Données!J169</f>
        <v>0</v>
      </c>
      <c r="H169" s="8">
        <f>Données!U169</f>
        <v>-65</v>
      </c>
      <c r="I169" s="198">
        <f>Données!V169</f>
        <v>0</v>
      </c>
      <c r="J169" s="198">
        <f>Données!W169</f>
        <v>0</v>
      </c>
      <c r="K169" s="8">
        <f>+Données!Q169</f>
        <v>0</v>
      </c>
      <c r="L169" s="411">
        <f t="shared" si="7"/>
        <v>280675.34000000003</v>
      </c>
      <c r="M169" s="8">
        <f>+Données!F169</f>
        <v>800</v>
      </c>
      <c r="N169" s="8">
        <f>+Données!K169</f>
        <v>184.1</v>
      </c>
      <c r="O169" s="8">
        <f>(Données!L169/Données!Y169)*1</f>
        <v>21537.416666666668</v>
      </c>
      <c r="P169" s="411">
        <f t="shared" si="8"/>
        <v>303196.85666666669</v>
      </c>
      <c r="Q169" s="223">
        <f>+Données!X169</f>
        <v>70</v>
      </c>
      <c r="R169" s="411">
        <f t="shared" si="9"/>
        <v>4331.3836666666666</v>
      </c>
    </row>
    <row r="170" spans="1:18" x14ac:dyDescent="0.25">
      <c r="A170" s="7">
        <f>Données!A170</f>
        <v>5692</v>
      </c>
      <c r="B170" s="27" t="str">
        <f>Données!B170</f>
        <v>Vucherens</v>
      </c>
      <c r="C170" s="8">
        <f>Données!C170+Données!D170</f>
        <v>1359882.9700000002</v>
      </c>
      <c r="D170" s="8">
        <f>+Données!G170+Données!H170+Données!S170</f>
        <v>10385.719999999999</v>
      </c>
      <c r="E170" s="8">
        <f>+Données!E170</f>
        <v>0</v>
      </c>
      <c r="F170" s="8">
        <f>+Données!I170</f>
        <v>0</v>
      </c>
      <c r="G170" s="8">
        <f>+Données!J170</f>
        <v>6340.52</v>
      </c>
      <c r="H170" s="8">
        <f>Données!U170</f>
        <v>-31726.07</v>
      </c>
      <c r="I170" s="198">
        <f>Données!V170</f>
        <v>0</v>
      </c>
      <c r="J170" s="198">
        <f>Données!W170</f>
        <v>-19.45</v>
      </c>
      <c r="K170" s="8">
        <f>+Données!Q170</f>
        <v>0</v>
      </c>
      <c r="L170" s="411">
        <f t="shared" si="7"/>
        <v>1344863.6900000002</v>
      </c>
      <c r="M170" s="8">
        <f>+Données!F170</f>
        <v>0</v>
      </c>
      <c r="N170" s="8">
        <f>+Données!K170</f>
        <v>3062.05</v>
      </c>
      <c r="O170" s="8">
        <f>(Données!L170/Données!Y170)*1</f>
        <v>111093.4</v>
      </c>
      <c r="P170" s="411">
        <f t="shared" si="8"/>
        <v>1459019.1400000001</v>
      </c>
      <c r="Q170" s="223">
        <f>+Données!X170</f>
        <v>77</v>
      </c>
      <c r="R170" s="411">
        <f t="shared" si="9"/>
        <v>18948.300519480523</v>
      </c>
    </row>
    <row r="171" spans="1:18" x14ac:dyDescent="0.25">
      <c r="A171" s="7">
        <f>Données!A171</f>
        <v>5693</v>
      </c>
      <c r="B171" s="27" t="str">
        <f>Données!B171</f>
        <v>Montanaire</v>
      </c>
      <c r="C171" s="8">
        <f>Données!C171+Données!D171</f>
        <v>5057202.22</v>
      </c>
      <c r="D171" s="8">
        <f>+Données!G171+Données!H171+Données!S171</f>
        <v>162126.72</v>
      </c>
      <c r="E171" s="8">
        <f>+Données!E171</f>
        <v>0</v>
      </c>
      <c r="F171" s="8">
        <f>+Données!I171</f>
        <v>0</v>
      </c>
      <c r="G171" s="8">
        <f>+Données!J171</f>
        <v>73235.490000000005</v>
      </c>
      <c r="H171" s="8">
        <f>Données!U171</f>
        <v>-145624.10999999999</v>
      </c>
      <c r="I171" s="198">
        <f>Données!V171</f>
        <v>0</v>
      </c>
      <c r="J171" s="198">
        <f>Données!W171</f>
        <v>-345.86</v>
      </c>
      <c r="K171" s="8">
        <f>+Données!Q171</f>
        <v>3859.79</v>
      </c>
      <c r="L171" s="411">
        <f t="shared" si="7"/>
        <v>5150454.2499999991</v>
      </c>
      <c r="M171" s="8">
        <f>+Données!F171</f>
        <v>0</v>
      </c>
      <c r="N171" s="8">
        <f>+Données!K171</f>
        <v>8525.6</v>
      </c>
      <c r="O171" s="8">
        <f>(Données!L171/Données!Y171)*1</f>
        <v>446483.3</v>
      </c>
      <c r="P171" s="411">
        <f t="shared" si="8"/>
        <v>5605463.1499999985</v>
      </c>
      <c r="Q171" s="223">
        <f>+Données!X171</f>
        <v>70</v>
      </c>
      <c r="R171" s="411">
        <f t="shared" si="9"/>
        <v>80078.044999999984</v>
      </c>
    </row>
    <row r="172" spans="1:18" x14ac:dyDescent="0.25">
      <c r="A172" s="7">
        <f>Données!A172</f>
        <v>5701</v>
      </c>
      <c r="B172" s="27" t="str">
        <f>Données!B172</f>
        <v>Arnex-sur-Nyon</v>
      </c>
      <c r="C172" s="8">
        <f>Données!C172+Données!D172</f>
        <v>747871.74</v>
      </c>
      <c r="D172" s="8">
        <f>+Données!G172+Données!H172+Données!S172</f>
        <v>4277.91</v>
      </c>
      <c r="E172" s="8">
        <f>+Données!E172</f>
        <v>0</v>
      </c>
      <c r="F172" s="8">
        <f>+Données!I172</f>
        <v>65333.35</v>
      </c>
      <c r="G172" s="8">
        <f>+Données!J172</f>
        <v>22572</v>
      </c>
      <c r="H172" s="8">
        <f>Données!U172</f>
        <v>-1746.75</v>
      </c>
      <c r="I172" s="198">
        <f>Données!V172</f>
        <v>0</v>
      </c>
      <c r="J172" s="198">
        <f>Données!W172</f>
        <v>-3065.26</v>
      </c>
      <c r="K172" s="8">
        <f>+Données!Q172</f>
        <v>0</v>
      </c>
      <c r="L172" s="411">
        <f t="shared" si="7"/>
        <v>835242.99</v>
      </c>
      <c r="M172" s="8">
        <f>+Données!F172</f>
        <v>0</v>
      </c>
      <c r="N172" s="8">
        <f>+Données!K172</f>
        <v>508.25</v>
      </c>
      <c r="O172" s="8">
        <f>(Données!L172/Données!Y172)*1</f>
        <v>74026.600000000006</v>
      </c>
      <c r="P172" s="411">
        <f t="shared" si="8"/>
        <v>909777.84</v>
      </c>
      <c r="Q172" s="223">
        <f>+Données!X172</f>
        <v>70</v>
      </c>
      <c r="R172" s="411">
        <f t="shared" si="9"/>
        <v>12996.826285714285</v>
      </c>
    </row>
    <row r="173" spans="1:18" x14ac:dyDescent="0.25">
      <c r="A173" s="7">
        <f>Données!A173</f>
        <v>5702</v>
      </c>
      <c r="B173" s="27" t="str">
        <f>Données!B173</f>
        <v>Arzier-Le Muids</v>
      </c>
      <c r="C173" s="8">
        <f>Données!C173+Données!D173</f>
        <v>10529914.510000002</v>
      </c>
      <c r="D173" s="8">
        <f>+Données!G173+Données!H173+Données!S173</f>
        <v>143874.32999999999</v>
      </c>
      <c r="E173" s="8">
        <f>+Données!E173</f>
        <v>0</v>
      </c>
      <c r="F173" s="8">
        <f>+Données!I173</f>
        <v>444158.53</v>
      </c>
      <c r="G173" s="8">
        <f>+Données!J173</f>
        <v>62657.440000000002</v>
      </c>
      <c r="H173" s="8">
        <f>Données!U173</f>
        <v>-30015.07</v>
      </c>
      <c r="I173" s="198">
        <f>Données!V173</f>
        <v>0</v>
      </c>
      <c r="J173" s="198">
        <f>Données!W173</f>
        <v>-17723.080000000002</v>
      </c>
      <c r="K173" s="8">
        <f>+Données!Q173</f>
        <v>12993.13</v>
      </c>
      <c r="L173" s="411">
        <f t="shared" si="7"/>
        <v>11145859.790000001</v>
      </c>
      <c r="M173" s="8">
        <f>+Données!F173</f>
        <v>0</v>
      </c>
      <c r="N173" s="8">
        <f>+Données!K173</f>
        <v>19238.150000000001</v>
      </c>
      <c r="O173" s="8">
        <f>(Données!L173/Données!Y173)*1</f>
        <v>865907.20000000007</v>
      </c>
      <c r="P173" s="411">
        <f t="shared" si="8"/>
        <v>12031005.140000001</v>
      </c>
      <c r="Q173" s="223">
        <f>+Données!X173</f>
        <v>64</v>
      </c>
      <c r="R173" s="411">
        <f t="shared" si="9"/>
        <v>187984.45531250001</v>
      </c>
    </row>
    <row r="174" spans="1:18" x14ac:dyDescent="0.25">
      <c r="A174" s="7">
        <f>Données!A174</f>
        <v>5703</v>
      </c>
      <c r="B174" s="27" t="str">
        <f>Données!B174</f>
        <v>Bassins</v>
      </c>
      <c r="C174" s="8">
        <f>Données!C174+Données!D174</f>
        <v>4179846.31</v>
      </c>
      <c r="D174" s="8">
        <f>+Données!G174+Données!H174+Données!S174</f>
        <v>52129.94</v>
      </c>
      <c r="E174" s="8">
        <f>+Données!E174</f>
        <v>0</v>
      </c>
      <c r="F174" s="8">
        <f>+Données!I174</f>
        <v>0</v>
      </c>
      <c r="G174" s="8">
        <f>+Données!J174</f>
        <v>182230.27</v>
      </c>
      <c r="H174" s="8">
        <f>Données!U174</f>
        <v>-17221.099999999999</v>
      </c>
      <c r="I174" s="198">
        <f>Données!V174</f>
        <v>0</v>
      </c>
      <c r="J174" s="198">
        <f>Données!W174</f>
        <v>-1754.91</v>
      </c>
      <c r="K174" s="8">
        <f>+Données!Q174</f>
        <v>4661.6099999999997</v>
      </c>
      <c r="L174" s="411">
        <f t="shared" si="7"/>
        <v>4399892.12</v>
      </c>
      <c r="M174" s="8">
        <f>+Données!F174</f>
        <v>0</v>
      </c>
      <c r="N174" s="8">
        <f>+Données!K174</f>
        <v>250.75</v>
      </c>
      <c r="O174" s="8">
        <f>(Données!L174/Données!Y174)*1</f>
        <v>344347.53571428574</v>
      </c>
      <c r="P174" s="411">
        <f t="shared" si="8"/>
        <v>4744490.4057142856</v>
      </c>
      <c r="Q174" s="223">
        <f>+Données!X174</f>
        <v>72.5</v>
      </c>
      <c r="R174" s="411">
        <f t="shared" si="9"/>
        <v>65441.246975369453</v>
      </c>
    </row>
    <row r="175" spans="1:18" x14ac:dyDescent="0.25">
      <c r="A175" s="7">
        <f>Données!A175</f>
        <v>5704</v>
      </c>
      <c r="B175" s="27" t="str">
        <f>Données!B175</f>
        <v>Begnins</v>
      </c>
      <c r="C175" s="8">
        <f>Données!C175+Données!D175</f>
        <v>7218276.71</v>
      </c>
      <c r="D175" s="8">
        <f>+Données!G175+Données!H175+Données!S175</f>
        <v>-24251.07</v>
      </c>
      <c r="E175" s="8">
        <f>+Données!E175</f>
        <v>0</v>
      </c>
      <c r="F175" s="8">
        <f>+Données!I175</f>
        <v>259453.95</v>
      </c>
      <c r="G175" s="8">
        <f>+Données!J175</f>
        <v>107342.65</v>
      </c>
      <c r="H175" s="8">
        <f>Données!U175</f>
        <v>-12433.37</v>
      </c>
      <c r="I175" s="198">
        <f>Données!V175</f>
        <v>0</v>
      </c>
      <c r="J175" s="198">
        <f>Données!W175</f>
        <v>-7754.07</v>
      </c>
      <c r="K175" s="8">
        <f>+Données!Q175</f>
        <v>550.91999999999996</v>
      </c>
      <c r="L175" s="411">
        <f t="shared" si="7"/>
        <v>7541185.7199999997</v>
      </c>
      <c r="M175" s="8">
        <f>+Données!F175</f>
        <v>0</v>
      </c>
      <c r="N175" s="8">
        <f>+Données!K175</f>
        <v>21403.05</v>
      </c>
      <c r="O175" s="8">
        <f>(Données!L175/Données!Y175)*1</f>
        <v>545538.53333333333</v>
      </c>
      <c r="P175" s="411">
        <f t="shared" si="8"/>
        <v>8108127.3033333328</v>
      </c>
      <c r="Q175" s="223">
        <f>+Données!X175</f>
        <v>62.5</v>
      </c>
      <c r="R175" s="411">
        <f t="shared" si="9"/>
        <v>129730.03685333332</v>
      </c>
    </row>
    <row r="176" spans="1:18" x14ac:dyDescent="0.25">
      <c r="A176" s="7">
        <f>Données!A176</f>
        <v>5705</v>
      </c>
      <c r="B176" s="27" t="str">
        <f>Données!B176</f>
        <v>Bogis-Bossey</v>
      </c>
      <c r="C176" s="8">
        <f>Données!C176+Données!D176</f>
        <v>3431698.5199999996</v>
      </c>
      <c r="D176" s="8">
        <f>+Données!G176+Données!H176+Données!S176</f>
        <v>54324.59</v>
      </c>
      <c r="E176" s="8">
        <f>+Données!E176</f>
        <v>0</v>
      </c>
      <c r="F176" s="8">
        <f>+Données!I176</f>
        <v>40643.15</v>
      </c>
      <c r="G176" s="8">
        <f>+Données!J176</f>
        <v>55908.49</v>
      </c>
      <c r="H176" s="8">
        <f>Données!U176</f>
        <v>-16935.310000000001</v>
      </c>
      <c r="I176" s="198">
        <f>Données!V176</f>
        <v>0</v>
      </c>
      <c r="J176" s="198">
        <f>Données!W176</f>
        <v>-5341.23</v>
      </c>
      <c r="K176" s="8">
        <f>+Données!Q176</f>
        <v>573.07000000000005</v>
      </c>
      <c r="L176" s="411">
        <f t="shared" si="7"/>
        <v>3560871.2799999993</v>
      </c>
      <c r="M176" s="8">
        <f>+Données!F176</f>
        <v>0</v>
      </c>
      <c r="N176" s="8">
        <f>+Données!K176</f>
        <v>3484.75</v>
      </c>
      <c r="O176" s="8">
        <f>(Données!L176/Données!Y176)*1</f>
        <v>238427.2</v>
      </c>
      <c r="P176" s="411">
        <f t="shared" si="8"/>
        <v>3802783.2299999995</v>
      </c>
      <c r="Q176" s="223">
        <f>+Données!X176</f>
        <v>74.5</v>
      </c>
      <c r="R176" s="411">
        <f t="shared" si="9"/>
        <v>51044.070201342278</v>
      </c>
    </row>
    <row r="177" spans="1:18" x14ac:dyDescent="0.25">
      <c r="A177" s="7">
        <f>Données!A177</f>
        <v>5706</v>
      </c>
      <c r="B177" s="27" t="str">
        <f>Données!B177</f>
        <v>Borex</v>
      </c>
      <c r="C177" s="8">
        <f>Données!C177+Données!D177</f>
        <v>8564788.75</v>
      </c>
      <c r="D177" s="8">
        <f>+Données!G177+Données!H177+Données!S177</f>
        <v>31891.589999999997</v>
      </c>
      <c r="E177" s="8">
        <f>+Données!E177</f>
        <v>0</v>
      </c>
      <c r="F177" s="8">
        <f>+Données!I177</f>
        <v>44894.05</v>
      </c>
      <c r="G177" s="8">
        <f>+Données!J177</f>
        <v>26641.87</v>
      </c>
      <c r="H177" s="8">
        <f>Données!U177</f>
        <v>-17075.64</v>
      </c>
      <c r="I177" s="198">
        <f>Données!V177</f>
        <v>0</v>
      </c>
      <c r="J177" s="198">
        <f>Données!W177</f>
        <v>-13118.28</v>
      </c>
      <c r="K177" s="8">
        <f>+Données!Q177</f>
        <v>0</v>
      </c>
      <c r="L177" s="411">
        <f t="shared" si="7"/>
        <v>8638022.3399999999</v>
      </c>
      <c r="M177" s="8">
        <f>+Données!F177</f>
        <v>0</v>
      </c>
      <c r="N177" s="8">
        <f>+Données!K177</f>
        <v>10637.7</v>
      </c>
      <c r="O177" s="8">
        <f>(Données!L177/Données!Y177)*1</f>
        <v>292244.8</v>
      </c>
      <c r="P177" s="411">
        <f t="shared" si="8"/>
        <v>8940904.8399999999</v>
      </c>
      <c r="Q177" s="223">
        <f>+Données!X177</f>
        <v>57</v>
      </c>
      <c r="R177" s="411">
        <f t="shared" si="9"/>
        <v>156857.9796491228</v>
      </c>
    </row>
    <row r="178" spans="1:18" x14ac:dyDescent="0.25">
      <c r="A178" s="7">
        <f>Données!A178</f>
        <v>5707</v>
      </c>
      <c r="B178" s="27" t="str">
        <f>Données!B178</f>
        <v>Chavannes-de-Bogis</v>
      </c>
      <c r="C178" s="8">
        <f>Données!C178+Données!D178</f>
        <v>3722955.89</v>
      </c>
      <c r="D178" s="8">
        <f>+Données!G178+Données!H178+Données!S178</f>
        <v>662497.70000000007</v>
      </c>
      <c r="E178" s="8">
        <f>+Données!E178</f>
        <v>0</v>
      </c>
      <c r="F178" s="8">
        <f>+Données!I178</f>
        <v>31747.15</v>
      </c>
      <c r="G178" s="8">
        <f>+Données!J178</f>
        <v>68265.009999999995</v>
      </c>
      <c r="H178" s="8">
        <f>Données!U178</f>
        <v>-14652.23</v>
      </c>
      <c r="I178" s="198">
        <f>Données!V178</f>
        <v>0</v>
      </c>
      <c r="J178" s="198">
        <f>Données!W178</f>
        <v>-4370.3100000000004</v>
      </c>
      <c r="K178" s="8">
        <f>+Données!Q178</f>
        <v>2803.59</v>
      </c>
      <c r="L178" s="411">
        <f t="shared" si="7"/>
        <v>4469246.8</v>
      </c>
      <c r="M178" s="8">
        <f>+Données!F178</f>
        <v>0</v>
      </c>
      <c r="N178" s="8">
        <f>+Données!K178</f>
        <v>69453.600000000006</v>
      </c>
      <c r="O178" s="8">
        <f>(Données!L178/Données!Y178)*1</f>
        <v>495943.03333333338</v>
      </c>
      <c r="P178" s="411">
        <f t="shared" si="8"/>
        <v>5034643.4333333327</v>
      </c>
      <c r="Q178" s="223">
        <f>+Données!X178</f>
        <v>58</v>
      </c>
      <c r="R178" s="411">
        <f t="shared" si="9"/>
        <v>86804.197126436775</v>
      </c>
    </row>
    <row r="179" spans="1:18" x14ac:dyDescent="0.25">
      <c r="A179" s="7">
        <f>Données!A179</f>
        <v>5708</v>
      </c>
      <c r="B179" s="27" t="str">
        <f>Données!B179</f>
        <v>Chavannes-des-Bois</v>
      </c>
      <c r="C179" s="8">
        <f>Données!C179+Données!D179</f>
        <v>4352222.1099999994</v>
      </c>
      <c r="D179" s="8">
        <f>+Données!G179+Données!H179+Données!S179</f>
        <v>109583.2</v>
      </c>
      <c r="E179" s="8">
        <f>+Données!E179</f>
        <v>0</v>
      </c>
      <c r="F179" s="8">
        <f>+Données!I179</f>
        <v>0</v>
      </c>
      <c r="G179" s="8">
        <f>+Données!J179</f>
        <v>39265.82</v>
      </c>
      <c r="H179" s="8">
        <f>Données!U179</f>
        <v>-116497.4</v>
      </c>
      <c r="I179" s="198">
        <f>Données!V179</f>
        <v>0</v>
      </c>
      <c r="J179" s="198">
        <f>Données!W179</f>
        <v>-14207.44</v>
      </c>
      <c r="K179" s="8">
        <f>+Données!Q179</f>
        <v>0</v>
      </c>
      <c r="L179" s="411">
        <f t="shared" si="7"/>
        <v>4370366.2899999991</v>
      </c>
      <c r="M179" s="8">
        <f>+Données!F179</f>
        <v>0</v>
      </c>
      <c r="N179" s="8">
        <f>+Données!K179</f>
        <v>12314.3</v>
      </c>
      <c r="O179" s="8">
        <f>(Données!L179/Données!Y179)*1</f>
        <v>296179.20000000001</v>
      </c>
      <c r="P179" s="411">
        <f t="shared" si="8"/>
        <v>4678859.7899999991</v>
      </c>
      <c r="Q179" s="223">
        <f>+Données!X179</f>
        <v>68</v>
      </c>
      <c r="R179" s="411">
        <f t="shared" si="9"/>
        <v>68806.761617647047</v>
      </c>
    </row>
    <row r="180" spans="1:18" x14ac:dyDescent="0.25">
      <c r="A180" s="7">
        <f>Données!A180</f>
        <v>5709</v>
      </c>
      <c r="B180" s="27" t="str">
        <f>Données!B180</f>
        <v>Chéserex</v>
      </c>
      <c r="C180" s="8">
        <f>Données!C180+Données!D180</f>
        <v>4062157.87</v>
      </c>
      <c r="D180" s="8">
        <f>+Données!G180+Données!H180+Données!S180</f>
        <v>32360.950000000004</v>
      </c>
      <c r="E180" s="8">
        <f>+Données!E180</f>
        <v>0</v>
      </c>
      <c r="F180" s="8">
        <f>+Données!I180</f>
        <v>572271.35</v>
      </c>
      <c r="G180" s="8">
        <f>+Données!J180</f>
        <v>126473.49</v>
      </c>
      <c r="H180" s="8">
        <f>Données!U180</f>
        <v>-12340.81</v>
      </c>
      <c r="I180" s="198">
        <f>Données!V180</f>
        <v>0</v>
      </c>
      <c r="J180" s="198">
        <f>Données!W180</f>
        <v>-3016.02</v>
      </c>
      <c r="K180" s="8">
        <f>+Données!Q180</f>
        <v>2596.36</v>
      </c>
      <c r="L180" s="411">
        <f t="shared" si="7"/>
        <v>4780503.1900000013</v>
      </c>
      <c r="M180" s="8">
        <f>+Données!F180</f>
        <v>0</v>
      </c>
      <c r="N180" s="8">
        <f>+Données!K180</f>
        <v>6559.15</v>
      </c>
      <c r="O180" s="8">
        <f>(Données!L180/Données!Y180)*1</f>
        <v>399004.85</v>
      </c>
      <c r="P180" s="411">
        <f t="shared" si="8"/>
        <v>5186067.1900000013</v>
      </c>
      <c r="Q180" s="223">
        <f>+Données!X180</f>
        <v>57</v>
      </c>
      <c r="R180" s="411">
        <f t="shared" si="9"/>
        <v>90983.63491228073</v>
      </c>
    </row>
    <row r="181" spans="1:18" x14ac:dyDescent="0.25">
      <c r="A181" s="7">
        <f>Données!A181</f>
        <v>5710</v>
      </c>
      <c r="B181" s="27" t="str">
        <f>Données!B181</f>
        <v>Coinsins</v>
      </c>
      <c r="C181" s="8">
        <f>Données!C181+Données!D181</f>
        <v>1275328.3599999999</v>
      </c>
      <c r="D181" s="8">
        <f>+Données!G181+Données!H181+Données!S181</f>
        <v>181836.66999999998</v>
      </c>
      <c r="E181" s="8">
        <f>+Données!E181</f>
        <v>0</v>
      </c>
      <c r="F181" s="8">
        <f>+Données!I181</f>
        <v>110957.8</v>
      </c>
      <c r="G181" s="8">
        <f>+Données!J181</f>
        <v>11943.66</v>
      </c>
      <c r="H181" s="8">
        <f>Données!U181</f>
        <v>-6007.97</v>
      </c>
      <c r="I181" s="198">
        <f>Données!V181</f>
        <v>0</v>
      </c>
      <c r="J181" s="198">
        <f>Données!W181</f>
        <v>-7040.39</v>
      </c>
      <c r="K181" s="8">
        <f>+Données!Q181</f>
        <v>5617.59</v>
      </c>
      <c r="L181" s="411">
        <f t="shared" si="7"/>
        <v>1572635.72</v>
      </c>
      <c r="M181" s="8">
        <f>+Données!F181</f>
        <v>0</v>
      </c>
      <c r="N181" s="8">
        <f>+Données!K181</f>
        <v>3534.45</v>
      </c>
      <c r="O181" s="8">
        <f>(Données!L181/Données!Y181)*1</f>
        <v>134861.79999999999</v>
      </c>
      <c r="P181" s="411">
        <f t="shared" si="8"/>
        <v>1711031.97</v>
      </c>
      <c r="Q181" s="223">
        <f>+Données!X181</f>
        <v>51</v>
      </c>
      <c r="R181" s="411">
        <f t="shared" si="9"/>
        <v>33549.646470588232</v>
      </c>
    </row>
    <row r="182" spans="1:18" x14ac:dyDescent="0.25">
      <c r="A182" s="7">
        <f>Données!A182</f>
        <v>5711</v>
      </c>
      <c r="B182" s="27" t="str">
        <f>Données!B182</f>
        <v>Commugny</v>
      </c>
      <c r="C182" s="8">
        <f>Données!C182+Données!D182</f>
        <v>16141775.32</v>
      </c>
      <c r="D182" s="8">
        <f>+Données!G182+Données!H182+Données!S182</f>
        <v>67812.42</v>
      </c>
      <c r="E182" s="8">
        <f>+Données!E182</f>
        <v>0</v>
      </c>
      <c r="F182" s="8">
        <f>+Données!I182</f>
        <v>209185.35</v>
      </c>
      <c r="G182" s="8">
        <f>+Données!J182</f>
        <v>40295.019999999997</v>
      </c>
      <c r="H182" s="8">
        <f>Données!U182</f>
        <v>-20130.099999999999</v>
      </c>
      <c r="I182" s="198">
        <f>Données!V182</f>
        <v>0</v>
      </c>
      <c r="J182" s="198">
        <f>Données!W182</f>
        <v>-25925.59</v>
      </c>
      <c r="K182" s="8">
        <f>+Données!Q182</f>
        <v>0</v>
      </c>
      <c r="L182" s="411">
        <f t="shared" si="7"/>
        <v>16413012.42</v>
      </c>
      <c r="M182" s="8">
        <f>+Données!F182</f>
        <v>0</v>
      </c>
      <c r="N182" s="8">
        <f>+Données!K182</f>
        <v>18240.3</v>
      </c>
      <c r="O182" s="8">
        <f>(Données!L182/Données!Y182)*1</f>
        <v>980029.61538461538</v>
      </c>
      <c r="P182" s="411">
        <f t="shared" si="8"/>
        <v>17411282.335384615</v>
      </c>
      <c r="Q182" s="223">
        <f>+Données!X182</f>
        <v>57</v>
      </c>
      <c r="R182" s="411">
        <f t="shared" si="9"/>
        <v>305461.09360323887</v>
      </c>
    </row>
    <row r="183" spans="1:18" x14ac:dyDescent="0.25">
      <c r="A183" s="7">
        <f>Données!A183</f>
        <v>5712</v>
      </c>
      <c r="B183" s="27" t="str">
        <f>Données!B183</f>
        <v>Coppet</v>
      </c>
      <c r="C183" s="8">
        <f>Données!C183+Données!D183</f>
        <v>19373197.859999999</v>
      </c>
      <c r="D183" s="8">
        <f>+Données!G183+Données!H183+Données!S183</f>
        <v>439254.46</v>
      </c>
      <c r="E183" s="8">
        <f>+Données!E183</f>
        <v>0</v>
      </c>
      <c r="F183" s="8">
        <f>+Données!I183</f>
        <v>1297891.26</v>
      </c>
      <c r="G183" s="8">
        <f>+Données!J183</f>
        <v>104926.78</v>
      </c>
      <c r="H183" s="8">
        <f>Données!U183</f>
        <v>-28182.14</v>
      </c>
      <c r="I183" s="198">
        <f>Données!V183</f>
        <v>0</v>
      </c>
      <c r="J183" s="198">
        <f>Données!W183</f>
        <v>-49800.53</v>
      </c>
      <c r="K183" s="8">
        <f>+Données!Q183</f>
        <v>747.53</v>
      </c>
      <c r="L183" s="411">
        <f t="shared" si="7"/>
        <v>21138035.220000003</v>
      </c>
      <c r="M183" s="8">
        <f>+Données!F183</f>
        <v>0</v>
      </c>
      <c r="N183" s="8">
        <f>+Données!K183</f>
        <v>40505.5</v>
      </c>
      <c r="O183" s="8">
        <f>(Données!L183/Données!Y183)*1</f>
        <v>1228936.4333333333</v>
      </c>
      <c r="P183" s="411">
        <f t="shared" si="8"/>
        <v>22407477.153333336</v>
      </c>
      <c r="Q183" s="223">
        <f>+Données!X183</f>
        <v>53</v>
      </c>
      <c r="R183" s="411">
        <f t="shared" si="9"/>
        <v>422782.58779874217</v>
      </c>
    </row>
    <row r="184" spans="1:18" x14ac:dyDescent="0.25">
      <c r="A184" s="7">
        <f>Données!A184</f>
        <v>5713</v>
      </c>
      <c r="B184" s="27" t="str">
        <f>Données!B184</f>
        <v>Crans</v>
      </c>
      <c r="C184" s="8">
        <f>Données!C184+Données!D184</f>
        <v>14810468.210000001</v>
      </c>
      <c r="D184" s="8">
        <f>+Données!G184+Données!H184+Données!S184</f>
        <v>70450.31</v>
      </c>
      <c r="E184" s="8">
        <f>+Données!E184</f>
        <v>0</v>
      </c>
      <c r="F184" s="8">
        <f>+Données!I184</f>
        <v>736044.95</v>
      </c>
      <c r="G184" s="8">
        <f>+Données!J184</f>
        <v>310875.25</v>
      </c>
      <c r="H184" s="8">
        <f>Données!U184</f>
        <v>-34553.79</v>
      </c>
      <c r="I184" s="198">
        <f>Données!V184</f>
        <v>0</v>
      </c>
      <c r="J184" s="198">
        <f>Données!W184</f>
        <v>-45810.239999999998</v>
      </c>
      <c r="K184" s="8">
        <f>+Données!Q184</f>
        <v>0</v>
      </c>
      <c r="L184" s="411">
        <f t="shared" si="7"/>
        <v>15847474.690000001</v>
      </c>
      <c r="M184" s="8">
        <f>+Données!F184</f>
        <v>0</v>
      </c>
      <c r="N184" s="8">
        <f>+Données!K184</f>
        <v>23710.65</v>
      </c>
      <c r="O184" s="8">
        <f>(Données!L184/Données!Y184)*1</f>
        <v>900695.9</v>
      </c>
      <c r="P184" s="411">
        <f t="shared" si="8"/>
        <v>16771881.240000002</v>
      </c>
      <c r="Q184" s="223">
        <f>+Données!X184</f>
        <v>59</v>
      </c>
      <c r="R184" s="411">
        <f t="shared" si="9"/>
        <v>284269.17355932208</v>
      </c>
    </row>
    <row r="185" spans="1:18" x14ac:dyDescent="0.25">
      <c r="A185" s="7">
        <f>Données!A185</f>
        <v>5714</v>
      </c>
      <c r="B185" s="27" t="str">
        <f>Données!B185</f>
        <v>Crassier</v>
      </c>
      <c r="C185" s="8">
        <f>Données!C185+Données!D185</f>
        <v>3662617.6700000004</v>
      </c>
      <c r="D185" s="8">
        <f>+Données!G185+Données!H185+Données!S185</f>
        <v>39784.44</v>
      </c>
      <c r="E185" s="8">
        <f>+Données!E185</f>
        <v>0</v>
      </c>
      <c r="F185" s="8">
        <f>+Données!I185</f>
        <v>136399.54999999999</v>
      </c>
      <c r="G185" s="8">
        <f>+Données!J185</f>
        <v>15874.79</v>
      </c>
      <c r="H185" s="8">
        <f>Données!U185</f>
        <v>-40022.769999999997</v>
      </c>
      <c r="I185" s="198">
        <f>Données!V185</f>
        <v>0</v>
      </c>
      <c r="J185" s="198">
        <f>Données!W185</f>
        <v>-4233.3599999999997</v>
      </c>
      <c r="K185" s="8">
        <f>+Données!Q185</f>
        <v>36357.440000000002</v>
      </c>
      <c r="L185" s="411">
        <f t="shared" si="7"/>
        <v>3846777.7600000002</v>
      </c>
      <c r="M185" s="8">
        <f>+Données!F185</f>
        <v>0</v>
      </c>
      <c r="N185" s="8">
        <f>+Données!K185</f>
        <v>6086.2</v>
      </c>
      <c r="O185" s="8">
        <f>(Données!L185/Données!Y185)*1</f>
        <v>305025.65000000002</v>
      </c>
      <c r="P185" s="411">
        <f t="shared" si="8"/>
        <v>4157889.6100000003</v>
      </c>
      <c r="Q185" s="223">
        <f>+Données!X185</f>
        <v>66.5</v>
      </c>
      <c r="R185" s="411">
        <f t="shared" si="9"/>
        <v>62524.655789473691</v>
      </c>
    </row>
    <row r="186" spans="1:18" x14ac:dyDescent="0.25">
      <c r="A186" s="7">
        <f>Données!A186</f>
        <v>5715</v>
      </c>
      <c r="B186" s="27" t="str">
        <f>Données!B186</f>
        <v>Duillier</v>
      </c>
      <c r="C186" s="8">
        <f>Données!C186+Données!D186</f>
        <v>3623699.96</v>
      </c>
      <c r="D186" s="8">
        <f>+Données!G186+Données!H186+Données!S186</f>
        <v>50445.46</v>
      </c>
      <c r="E186" s="8">
        <f>+Données!E186</f>
        <v>0</v>
      </c>
      <c r="F186" s="8">
        <f>+Données!I186</f>
        <v>0</v>
      </c>
      <c r="G186" s="8">
        <f>+Données!J186</f>
        <v>49327.61</v>
      </c>
      <c r="H186" s="8">
        <f>Données!U186</f>
        <v>-27142.51</v>
      </c>
      <c r="I186" s="198">
        <f>Données!V186</f>
        <v>0</v>
      </c>
      <c r="J186" s="198">
        <f>Données!W186</f>
        <v>-2589</v>
      </c>
      <c r="K186" s="8">
        <f>+Données!Q186</f>
        <v>260.89</v>
      </c>
      <c r="L186" s="411">
        <f t="shared" si="7"/>
        <v>3694002.41</v>
      </c>
      <c r="M186" s="8">
        <f>+Données!F186</f>
        <v>0</v>
      </c>
      <c r="N186" s="8">
        <f>+Données!K186</f>
        <v>7927.5</v>
      </c>
      <c r="O186" s="8">
        <f>(Données!L186/Données!Y186)*1</f>
        <v>294377.59999999998</v>
      </c>
      <c r="P186" s="411">
        <f t="shared" si="8"/>
        <v>3996307.5100000002</v>
      </c>
      <c r="Q186" s="223">
        <f>+Données!X186</f>
        <v>66</v>
      </c>
      <c r="R186" s="411">
        <f t="shared" si="9"/>
        <v>60550.113787878792</v>
      </c>
    </row>
    <row r="187" spans="1:18" x14ac:dyDescent="0.25">
      <c r="A187" s="7">
        <f>Données!A187</f>
        <v>5716</v>
      </c>
      <c r="B187" s="27" t="str">
        <f>Données!B187</f>
        <v>Eysins</v>
      </c>
      <c r="C187" s="8">
        <f>Données!C187+Données!D187</f>
        <v>4717786.7699999996</v>
      </c>
      <c r="D187" s="8">
        <f>+Données!G187+Données!H187+Données!S187</f>
        <v>8023623.3099999996</v>
      </c>
      <c r="E187" s="8">
        <f>+Données!E187</f>
        <v>0</v>
      </c>
      <c r="F187" s="8">
        <f>+Données!I187</f>
        <v>0</v>
      </c>
      <c r="G187" s="8">
        <f>+Données!J187</f>
        <v>228445.41</v>
      </c>
      <c r="H187" s="8">
        <f>Données!U187</f>
        <v>-44876.97</v>
      </c>
      <c r="I187" s="198">
        <f>Données!V187</f>
        <v>0</v>
      </c>
      <c r="J187" s="198">
        <f>Données!W187</f>
        <v>-10034.41</v>
      </c>
      <c r="K187" s="8">
        <f>+Données!Q187</f>
        <v>29452.22</v>
      </c>
      <c r="L187" s="411">
        <f t="shared" si="7"/>
        <v>12944396.329999998</v>
      </c>
      <c r="M187" s="8">
        <f>+Données!F187</f>
        <v>0</v>
      </c>
      <c r="N187" s="8">
        <f>+Données!K187</f>
        <v>177434.5</v>
      </c>
      <c r="O187" s="8">
        <f>(Données!L187/Données!Y187)*1</f>
        <v>715313.1</v>
      </c>
      <c r="P187" s="411">
        <f t="shared" si="8"/>
        <v>13837143.929999998</v>
      </c>
      <c r="Q187" s="223">
        <f>+Données!X187</f>
        <v>59.5</v>
      </c>
      <c r="R187" s="411">
        <f t="shared" si="9"/>
        <v>232557.04084033609</v>
      </c>
    </row>
    <row r="188" spans="1:18" x14ac:dyDescent="0.25">
      <c r="A188" s="7">
        <f>Données!A188</f>
        <v>5717</v>
      </c>
      <c r="B188" s="27" t="str">
        <f>Données!B188</f>
        <v>Founex</v>
      </c>
      <c r="C188" s="8">
        <f>Données!C188+Données!D188</f>
        <v>17801491.510000002</v>
      </c>
      <c r="D188" s="8">
        <f>+Données!G188+Données!H188+Données!S188</f>
        <v>168710.67</v>
      </c>
      <c r="E188" s="8">
        <f>+Données!E188</f>
        <v>0</v>
      </c>
      <c r="F188" s="8">
        <f>+Données!I188</f>
        <v>914819</v>
      </c>
      <c r="G188" s="8">
        <f>+Données!J188</f>
        <v>436267.91</v>
      </c>
      <c r="H188" s="8">
        <f>Données!U188</f>
        <v>-84608.59</v>
      </c>
      <c r="I188" s="198">
        <f>Données!V188</f>
        <v>0</v>
      </c>
      <c r="J188" s="198">
        <f>Données!W188</f>
        <v>-69241.279999999999</v>
      </c>
      <c r="K188" s="8">
        <f>+Données!Q188</f>
        <v>2961.22</v>
      </c>
      <c r="L188" s="411">
        <f t="shared" si="7"/>
        <v>19170400.440000001</v>
      </c>
      <c r="M188" s="8">
        <f>+Données!F188</f>
        <v>0</v>
      </c>
      <c r="N188" s="8">
        <f>+Données!K188</f>
        <v>47285.5</v>
      </c>
      <c r="O188" s="8">
        <f>(Données!L188/Données!Y188)*1</f>
        <v>1392543.4</v>
      </c>
      <c r="P188" s="411">
        <f t="shared" si="8"/>
        <v>20610229.34</v>
      </c>
      <c r="Q188" s="223">
        <f>+Données!X188</f>
        <v>57</v>
      </c>
      <c r="R188" s="411">
        <f t="shared" si="9"/>
        <v>361582.97087719297</v>
      </c>
    </row>
    <row r="189" spans="1:18" x14ac:dyDescent="0.25">
      <c r="A189" s="7">
        <f>Données!A189</f>
        <v>5718</v>
      </c>
      <c r="B189" s="27" t="str">
        <f>Données!B189</f>
        <v>Genolier</v>
      </c>
      <c r="C189" s="8">
        <f>Données!C189+Données!D189</f>
        <v>9825120.8599999994</v>
      </c>
      <c r="D189" s="8">
        <f>+Données!G189+Données!H189+Données!S189</f>
        <v>620088.17999999993</v>
      </c>
      <c r="E189" s="8">
        <f>+Données!E189</f>
        <v>0</v>
      </c>
      <c r="F189" s="8">
        <f>+Données!I189</f>
        <v>371967.78</v>
      </c>
      <c r="G189" s="8">
        <f>+Données!J189</f>
        <v>229837.45</v>
      </c>
      <c r="H189" s="8">
        <f>Données!U189</f>
        <v>-96453.06</v>
      </c>
      <c r="I189" s="198">
        <f>Données!V189</f>
        <v>0</v>
      </c>
      <c r="J189" s="198">
        <f>Données!W189</f>
        <v>-11514.28</v>
      </c>
      <c r="K189" s="8">
        <f>+Données!Q189</f>
        <v>508.93</v>
      </c>
      <c r="L189" s="411">
        <f t="shared" si="7"/>
        <v>10939555.859999998</v>
      </c>
      <c r="M189" s="8">
        <f>+Données!F189</f>
        <v>0</v>
      </c>
      <c r="N189" s="8">
        <f>+Données!K189</f>
        <v>44941.65</v>
      </c>
      <c r="O189" s="8">
        <f>(Données!L189/Données!Y189)*1</f>
        <v>713959.95</v>
      </c>
      <c r="P189" s="411">
        <f t="shared" si="8"/>
        <v>11698457.459999997</v>
      </c>
      <c r="Q189" s="223">
        <f>+Données!X189</f>
        <v>55</v>
      </c>
      <c r="R189" s="411">
        <f t="shared" si="9"/>
        <v>212699.2265454545</v>
      </c>
    </row>
    <row r="190" spans="1:18" x14ac:dyDescent="0.25">
      <c r="A190" s="7">
        <f>Données!A190</f>
        <v>5719</v>
      </c>
      <c r="B190" s="27" t="str">
        <f>Données!B190</f>
        <v>Gingins</v>
      </c>
      <c r="C190" s="8">
        <f>Données!C190+Données!D190</f>
        <v>6434448.25</v>
      </c>
      <c r="D190" s="8">
        <f>+Données!G190+Données!H190+Données!S190</f>
        <v>63204.639999999999</v>
      </c>
      <c r="E190" s="8">
        <f>+Données!E190</f>
        <v>0</v>
      </c>
      <c r="F190" s="8">
        <f>+Données!I190</f>
        <v>241425.51</v>
      </c>
      <c r="G190" s="8">
        <f>+Données!J190</f>
        <v>61880.14</v>
      </c>
      <c r="H190" s="8">
        <f>Données!U190</f>
        <v>-51834.44</v>
      </c>
      <c r="I190" s="198">
        <f>Données!V190</f>
        <v>0</v>
      </c>
      <c r="J190" s="198">
        <f>Données!W190</f>
        <v>-6168.34</v>
      </c>
      <c r="K190" s="8">
        <f>+Données!Q190</f>
        <v>335.72</v>
      </c>
      <c r="L190" s="411">
        <f t="shared" si="7"/>
        <v>6743291.4799999986</v>
      </c>
      <c r="M190" s="8">
        <f>+Données!F190</f>
        <v>0</v>
      </c>
      <c r="N190" s="8">
        <f>+Données!K190</f>
        <v>14154.3</v>
      </c>
      <c r="O190" s="8">
        <f>(Données!L190/Données!Y190)*1</f>
        <v>439152.16666666669</v>
      </c>
      <c r="P190" s="411">
        <f t="shared" si="8"/>
        <v>7196597.9466666654</v>
      </c>
      <c r="Q190" s="223">
        <f>+Données!X190</f>
        <v>60</v>
      </c>
      <c r="R190" s="411">
        <f t="shared" si="9"/>
        <v>119943.29911111109</v>
      </c>
    </row>
    <row r="191" spans="1:18" x14ac:dyDescent="0.25">
      <c r="A191" s="7">
        <f>Données!A191</f>
        <v>5720</v>
      </c>
      <c r="B191" s="27" t="str">
        <f>Données!B191</f>
        <v>Givrins</v>
      </c>
      <c r="C191" s="8">
        <f>Données!C191+Données!D191</f>
        <v>4799685.29</v>
      </c>
      <c r="D191" s="8">
        <f>+Données!G191+Données!H191+Données!S191</f>
        <v>106273.32999999999</v>
      </c>
      <c r="E191" s="8">
        <f>+Données!E191</f>
        <v>0</v>
      </c>
      <c r="F191" s="8">
        <f>+Données!I191</f>
        <v>408093.5</v>
      </c>
      <c r="G191" s="8">
        <f>+Données!J191</f>
        <v>60011.1</v>
      </c>
      <c r="H191" s="8">
        <f>Données!U191</f>
        <v>-5671.59</v>
      </c>
      <c r="I191" s="198">
        <f>Données!V191</f>
        <v>0</v>
      </c>
      <c r="J191" s="198">
        <f>Données!W191</f>
        <v>-11420.29</v>
      </c>
      <c r="K191" s="8">
        <f>+Données!Q191</f>
        <v>291.77999999999997</v>
      </c>
      <c r="L191" s="411">
        <f t="shared" si="7"/>
        <v>5357263.12</v>
      </c>
      <c r="M191" s="8">
        <f>+Données!F191</f>
        <v>0</v>
      </c>
      <c r="N191" s="8">
        <f>+Données!K191</f>
        <v>0</v>
      </c>
      <c r="O191" s="8">
        <f>(Données!L191/Données!Y191)*1</f>
        <v>328921.83333333337</v>
      </c>
      <c r="P191" s="411">
        <f t="shared" si="8"/>
        <v>5686184.9533333331</v>
      </c>
      <c r="Q191" s="223">
        <f>+Données!X191</f>
        <v>67</v>
      </c>
      <c r="R191" s="411">
        <f t="shared" si="9"/>
        <v>84868.432139303477</v>
      </c>
    </row>
    <row r="192" spans="1:18" x14ac:dyDescent="0.25">
      <c r="A192" s="7">
        <f>Données!A192</f>
        <v>5721</v>
      </c>
      <c r="B192" s="27" t="str">
        <f>Données!B192</f>
        <v>Gland</v>
      </c>
      <c r="C192" s="8">
        <f>Données!C192+Données!D192</f>
        <v>30859380.539999999</v>
      </c>
      <c r="D192" s="8">
        <f>+Données!G192+Données!H192+Données!S192</f>
        <v>6121033.5900000008</v>
      </c>
      <c r="E192" s="8">
        <f>+Données!E192</f>
        <v>0</v>
      </c>
      <c r="F192" s="8">
        <f>+Données!I192</f>
        <v>704264.29</v>
      </c>
      <c r="G192" s="8">
        <f>+Données!J192</f>
        <v>1106072.03</v>
      </c>
      <c r="H192" s="8">
        <f>Données!U192</f>
        <v>-394646.63</v>
      </c>
      <c r="I192" s="198">
        <f>Données!V192</f>
        <v>0</v>
      </c>
      <c r="J192" s="198">
        <f>Données!W192</f>
        <v>-82432.990000000005</v>
      </c>
      <c r="K192" s="8">
        <f>+Données!Q192</f>
        <v>72861.02</v>
      </c>
      <c r="L192" s="411">
        <f t="shared" si="7"/>
        <v>38386531.850000001</v>
      </c>
      <c r="M192" s="8">
        <f>+Données!F192</f>
        <v>0</v>
      </c>
      <c r="N192" s="8">
        <f>+Données!K192</f>
        <v>549055.4</v>
      </c>
      <c r="O192" s="8">
        <f>(Données!L192/Données!Y192)*1</f>
        <v>3092516.35</v>
      </c>
      <c r="P192" s="411">
        <f t="shared" si="8"/>
        <v>42028103.600000001</v>
      </c>
      <c r="Q192" s="223">
        <f>+Données!X192</f>
        <v>61</v>
      </c>
      <c r="R192" s="411">
        <f t="shared" si="9"/>
        <v>688985.30491803284</v>
      </c>
    </row>
    <row r="193" spans="1:18" x14ac:dyDescent="0.25">
      <c r="A193" s="7">
        <f>Données!A193</f>
        <v>5722</v>
      </c>
      <c r="B193" s="27" t="str">
        <f>Données!B193</f>
        <v>Grens</v>
      </c>
      <c r="C193" s="8">
        <f>Données!C193+Données!D193</f>
        <v>1180107.9099999999</v>
      </c>
      <c r="D193" s="8">
        <f>+Données!G193+Données!H193+Données!S193</f>
        <v>9482.5600000000013</v>
      </c>
      <c r="E193" s="8">
        <f>+Données!E193</f>
        <v>0</v>
      </c>
      <c r="F193" s="8">
        <f>+Données!I193</f>
        <v>0</v>
      </c>
      <c r="G193" s="8">
        <f>+Données!J193</f>
        <v>14617.75</v>
      </c>
      <c r="H193" s="8">
        <f>Données!U193</f>
        <v>-10329.219999999999</v>
      </c>
      <c r="I193" s="198">
        <f>Données!V193</f>
        <v>0</v>
      </c>
      <c r="J193" s="198">
        <f>Données!W193</f>
        <v>-1074.82</v>
      </c>
      <c r="K193" s="8">
        <f>+Données!Q193</f>
        <v>2111.5100000000002</v>
      </c>
      <c r="L193" s="411">
        <f t="shared" si="7"/>
        <v>1194915.69</v>
      </c>
      <c r="M193" s="8">
        <f>+Données!F193</f>
        <v>0</v>
      </c>
      <c r="N193" s="8">
        <f>+Données!K193</f>
        <v>7610.1</v>
      </c>
      <c r="O193" s="8">
        <f>(Données!L193/Données!Y193)*1</f>
        <v>94063.05</v>
      </c>
      <c r="P193" s="411">
        <f t="shared" si="8"/>
        <v>1296588.8400000001</v>
      </c>
      <c r="Q193" s="223">
        <f>+Données!X193</f>
        <v>62</v>
      </c>
      <c r="R193" s="411">
        <f t="shared" si="9"/>
        <v>20912.723225806454</v>
      </c>
    </row>
    <row r="194" spans="1:18" x14ac:dyDescent="0.25">
      <c r="A194" s="7">
        <f>Données!A194</f>
        <v>5723</v>
      </c>
      <c r="B194" s="27" t="str">
        <f>Données!B194</f>
        <v>Mies</v>
      </c>
      <c r="C194" s="8">
        <f>Données!C194+Données!D194</f>
        <v>11133994.670000002</v>
      </c>
      <c r="D194" s="8">
        <f>+Données!G194+Données!H194+Données!S194</f>
        <v>203471.44</v>
      </c>
      <c r="E194" s="8">
        <f>+Données!E194</f>
        <v>0</v>
      </c>
      <c r="F194" s="8">
        <f>+Données!I194</f>
        <v>811487.35</v>
      </c>
      <c r="G194" s="8">
        <f>+Données!J194</f>
        <v>116354.42</v>
      </c>
      <c r="H194" s="8">
        <f>Données!U194</f>
        <v>-19160.009999999998</v>
      </c>
      <c r="I194" s="198">
        <f>Données!V194</f>
        <v>0</v>
      </c>
      <c r="J194" s="198">
        <f>Données!W194</f>
        <v>-12142.06</v>
      </c>
      <c r="K194" s="8">
        <f>+Données!Q194</f>
        <v>1682.14</v>
      </c>
      <c r="L194" s="411">
        <f t="shared" si="7"/>
        <v>12235687.950000001</v>
      </c>
      <c r="M194" s="8">
        <f>+Données!F194</f>
        <v>0</v>
      </c>
      <c r="N194" s="8">
        <f>+Données!K194</f>
        <v>48197.35</v>
      </c>
      <c r="O194" s="8">
        <f>(Données!L194/Données!Y194)*1</f>
        <v>912216.75</v>
      </c>
      <c r="P194" s="411">
        <f t="shared" si="8"/>
        <v>13196102.050000001</v>
      </c>
      <c r="Q194" s="223">
        <f>+Données!X194</f>
        <v>52</v>
      </c>
      <c r="R194" s="411">
        <f t="shared" si="9"/>
        <v>253771.19326923077</v>
      </c>
    </row>
    <row r="195" spans="1:18" x14ac:dyDescent="0.25">
      <c r="A195" s="7">
        <f>Données!A195</f>
        <v>5724</v>
      </c>
      <c r="B195" s="27" t="str">
        <f>Données!B195</f>
        <v>Nyon</v>
      </c>
      <c r="C195" s="8">
        <f>Données!C195+Données!D195</f>
        <v>69089635.100000009</v>
      </c>
      <c r="D195" s="8">
        <f>+Données!G195+Données!H195+Données!S195</f>
        <v>12345392.85</v>
      </c>
      <c r="E195" s="8">
        <f>+Données!E195</f>
        <v>0</v>
      </c>
      <c r="F195" s="8">
        <f>+Données!I195</f>
        <v>1715206.94</v>
      </c>
      <c r="G195" s="8">
        <f>+Données!J195</f>
        <v>3670882.78</v>
      </c>
      <c r="H195" s="8">
        <f>Données!U195</f>
        <v>-715916.12</v>
      </c>
      <c r="I195" s="198">
        <f>Données!V195</f>
        <v>0</v>
      </c>
      <c r="J195" s="198">
        <f>Données!W195</f>
        <v>-313374.37</v>
      </c>
      <c r="K195" s="8">
        <f>+Données!Q195</f>
        <v>96535.7</v>
      </c>
      <c r="L195" s="411">
        <f t="shared" si="7"/>
        <v>85888362.879999995</v>
      </c>
      <c r="M195" s="8">
        <f>+Données!F195</f>
        <v>0</v>
      </c>
      <c r="N195" s="8">
        <f>+Données!K195</f>
        <v>988000.25</v>
      </c>
      <c r="O195" s="8">
        <f>(Données!L195/Données!Y195)*1</f>
        <v>5852701.5</v>
      </c>
      <c r="P195" s="411">
        <f t="shared" si="8"/>
        <v>92729064.629999995</v>
      </c>
      <c r="Q195" s="223">
        <f>+Données!X195</f>
        <v>61</v>
      </c>
      <c r="R195" s="411">
        <f t="shared" si="9"/>
        <v>1520148.6004918031</v>
      </c>
    </row>
    <row r="196" spans="1:18" x14ac:dyDescent="0.25">
      <c r="A196" s="7">
        <f>Données!A196</f>
        <v>5725</v>
      </c>
      <c r="B196" s="27" t="str">
        <f>Données!B196</f>
        <v>Prangins</v>
      </c>
      <c r="C196" s="8">
        <f>Données!C196+Données!D196</f>
        <v>16051041.279999999</v>
      </c>
      <c r="D196" s="8">
        <f>+Données!G196+Données!H196+Données!S196</f>
        <v>3600326.94</v>
      </c>
      <c r="E196" s="8">
        <f>+Données!E196</f>
        <v>0</v>
      </c>
      <c r="F196" s="8">
        <f>+Données!I196</f>
        <v>233253.24</v>
      </c>
      <c r="G196" s="8">
        <f>+Données!J196</f>
        <v>351423.62</v>
      </c>
      <c r="H196" s="8">
        <f>Données!U196</f>
        <v>-56734.69</v>
      </c>
      <c r="I196" s="198">
        <f>Données!V196</f>
        <v>0</v>
      </c>
      <c r="J196" s="198">
        <f>Données!W196</f>
        <v>-31802.03</v>
      </c>
      <c r="K196" s="8">
        <f>+Données!Q196</f>
        <v>14979.36</v>
      </c>
      <c r="L196" s="411">
        <f t="shared" si="7"/>
        <v>20162487.719999995</v>
      </c>
      <c r="M196" s="8">
        <f>+Données!F196</f>
        <v>0</v>
      </c>
      <c r="N196" s="8">
        <f>+Données!K196</f>
        <v>3441.35</v>
      </c>
      <c r="O196" s="8">
        <f>(Données!L196/Données!Y196)*1</f>
        <v>1226815.7142857143</v>
      </c>
      <c r="P196" s="411">
        <f t="shared" si="8"/>
        <v>21392744.784285709</v>
      </c>
      <c r="Q196" s="223">
        <f>+Données!X196</f>
        <v>55</v>
      </c>
      <c r="R196" s="411">
        <f t="shared" si="9"/>
        <v>388958.996077922</v>
      </c>
    </row>
    <row r="197" spans="1:18" x14ac:dyDescent="0.25">
      <c r="A197" s="7">
        <f>Données!A197</f>
        <v>5726</v>
      </c>
      <c r="B197" s="27" t="str">
        <f>Données!B197</f>
        <v>La Rippe</v>
      </c>
      <c r="C197" s="8">
        <f>Données!C197+Données!D197</f>
        <v>4113973.1900000004</v>
      </c>
      <c r="D197" s="8">
        <f>+Données!G197+Données!H197+Données!S197</f>
        <v>61748.240000000005</v>
      </c>
      <c r="E197" s="8">
        <f>+Données!E197</f>
        <v>0</v>
      </c>
      <c r="F197" s="8">
        <f>+Données!I197</f>
        <v>0</v>
      </c>
      <c r="G197" s="8">
        <f>+Données!J197</f>
        <v>22978.07</v>
      </c>
      <c r="H197" s="8">
        <f>Données!U197</f>
        <v>-13878.86</v>
      </c>
      <c r="I197" s="198">
        <f>Données!V197</f>
        <v>0</v>
      </c>
      <c r="J197" s="198">
        <f>Données!W197</f>
        <v>-8116.34</v>
      </c>
      <c r="K197" s="8">
        <f>+Données!Q197</f>
        <v>2449.34</v>
      </c>
      <c r="L197" s="411">
        <f t="shared" si="7"/>
        <v>4179153.6400000011</v>
      </c>
      <c r="M197" s="8">
        <f>+Données!F197</f>
        <v>0</v>
      </c>
      <c r="N197" s="8">
        <f>+Données!K197</f>
        <v>3844.55</v>
      </c>
      <c r="O197" s="8">
        <f>(Données!L197/Données!Y197)*1</f>
        <v>283300.25</v>
      </c>
      <c r="P197" s="411">
        <f t="shared" si="8"/>
        <v>4466298.4400000013</v>
      </c>
      <c r="Q197" s="223">
        <f>+Données!X197</f>
        <v>64</v>
      </c>
      <c r="R197" s="411">
        <f t="shared" si="9"/>
        <v>69785.913125000021</v>
      </c>
    </row>
    <row r="198" spans="1:18" x14ac:dyDescent="0.25">
      <c r="A198" s="7">
        <f>Données!A198</f>
        <v>5727</v>
      </c>
      <c r="B198" s="27" t="str">
        <f>Données!B198</f>
        <v>Saint-Cergue</v>
      </c>
      <c r="C198" s="8">
        <f>Données!C198+Données!D198</f>
        <v>6175671.2600000007</v>
      </c>
      <c r="D198" s="8">
        <f>+Données!G198+Données!H198+Données!S198</f>
        <v>95322.880000000005</v>
      </c>
      <c r="E198" s="8">
        <f>+Données!E198</f>
        <v>0</v>
      </c>
      <c r="F198" s="8">
        <f>+Données!I198</f>
        <v>124144.95</v>
      </c>
      <c r="G198" s="8">
        <f>+Données!J198</f>
        <v>178037.69</v>
      </c>
      <c r="H198" s="8">
        <f>Données!U198</f>
        <v>-103567.36</v>
      </c>
      <c r="I198" s="198">
        <f>Données!V198</f>
        <v>0</v>
      </c>
      <c r="J198" s="198">
        <f>Données!W198</f>
        <v>-2496.9699999999998</v>
      </c>
      <c r="K198" s="8">
        <f>+Données!Q198</f>
        <v>22195.84</v>
      </c>
      <c r="L198" s="411">
        <f t="shared" si="7"/>
        <v>6489308.290000001</v>
      </c>
      <c r="M198" s="8">
        <f>+Données!F198</f>
        <v>0</v>
      </c>
      <c r="N198" s="8">
        <f>+Données!K198</f>
        <v>13925.4</v>
      </c>
      <c r="O198" s="8">
        <f>(Données!L198/Données!Y198)*1</f>
        <v>561945.1</v>
      </c>
      <c r="P198" s="411">
        <f t="shared" si="8"/>
        <v>7065178.790000001</v>
      </c>
      <c r="Q198" s="223">
        <f>+Données!X198</f>
        <v>66</v>
      </c>
      <c r="R198" s="411">
        <f t="shared" si="9"/>
        <v>107048.1634848485</v>
      </c>
    </row>
    <row r="199" spans="1:18" x14ac:dyDescent="0.25">
      <c r="A199" s="7">
        <f>Données!A199</f>
        <v>5728</v>
      </c>
      <c r="B199" s="27" t="str">
        <f>Données!B199</f>
        <v>Signy-Avenex</v>
      </c>
      <c r="C199" s="8">
        <f>Données!C199+Données!D199</f>
        <v>1502929.57</v>
      </c>
      <c r="D199" s="8">
        <f>+Données!G199+Données!H199+Données!S199</f>
        <v>1883708.33</v>
      </c>
      <c r="E199" s="8">
        <f>+Données!E199</f>
        <v>0</v>
      </c>
      <c r="F199" s="8">
        <f>+Données!I199</f>
        <v>31747.15</v>
      </c>
      <c r="G199" s="8">
        <f>+Données!J199</f>
        <v>101609.01</v>
      </c>
      <c r="H199" s="8">
        <f>Données!U199</f>
        <v>-4453.88</v>
      </c>
      <c r="I199" s="198">
        <f>Données!V199</f>
        <v>0</v>
      </c>
      <c r="J199" s="198">
        <f>Données!W199</f>
        <v>-594.04</v>
      </c>
      <c r="K199" s="8">
        <f>+Données!Q199</f>
        <v>0</v>
      </c>
      <c r="L199" s="411">
        <f t="shared" ref="L199:L262" si="10">SUM(C199:K199)</f>
        <v>3514946.14</v>
      </c>
      <c r="M199" s="8">
        <f>+Données!F199</f>
        <v>0</v>
      </c>
      <c r="N199" s="8">
        <f>+Données!K199</f>
        <v>61900.95</v>
      </c>
      <c r="O199" s="8">
        <f>(Données!L199/Données!Y199)*1</f>
        <v>251197</v>
      </c>
      <c r="P199" s="411">
        <f t="shared" ref="P199:P262" si="11">SUM(L199:O199)</f>
        <v>3828044.0900000003</v>
      </c>
      <c r="Q199" s="223">
        <f>+Données!X199</f>
        <v>58</v>
      </c>
      <c r="R199" s="411">
        <f t="shared" ref="R199:R262" si="12">P199/Q199</f>
        <v>66000.760172413793</v>
      </c>
    </row>
    <row r="200" spans="1:18" x14ac:dyDescent="0.25">
      <c r="A200" s="7">
        <f>Données!A200</f>
        <v>5729</v>
      </c>
      <c r="B200" s="27" t="str">
        <f>Données!B200</f>
        <v>Tannay</v>
      </c>
      <c r="C200" s="8">
        <f>Données!C200+Données!D200</f>
        <v>10289444.710000001</v>
      </c>
      <c r="D200" s="8">
        <f>+Données!G200+Données!H200+Données!S200</f>
        <v>151985.87</v>
      </c>
      <c r="E200" s="8">
        <f>+Données!E200</f>
        <v>0</v>
      </c>
      <c r="F200" s="8">
        <f>+Données!I200</f>
        <v>276331.74</v>
      </c>
      <c r="G200" s="8">
        <f>+Données!J200</f>
        <v>116052.55</v>
      </c>
      <c r="H200" s="8">
        <f>Données!U200</f>
        <v>-11869.97</v>
      </c>
      <c r="I200" s="198">
        <f>Données!V200</f>
        <v>0</v>
      </c>
      <c r="J200" s="198">
        <f>Données!W200</f>
        <v>-9829.84</v>
      </c>
      <c r="K200" s="8">
        <f>+Données!Q200</f>
        <v>1976.72</v>
      </c>
      <c r="L200" s="411">
        <f t="shared" si="10"/>
        <v>10814091.780000001</v>
      </c>
      <c r="M200" s="8">
        <f>+Données!F200</f>
        <v>0</v>
      </c>
      <c r="N200" s="8">
        <f>+Données!K200</f>
        <v>4704.75</v>
      </c>
      <c r="O200" s="8">
        <f>(Données!L200/Données!Y200)*1</f>
        <v>620898.46666666667</v>
      </c>
      <c r="P200" s="411">
        <f t="shared" si="11"/>
        <v>11439694.996666668</v>
      </c>
      <c r="Q200" s="223">
        <f>+Données!X200</f>
        <v>60.5</v>
      </c>
      <c r="R200" s="411">
        <f t="shared" si="12"/>
        <v>189085.86771349865</v>
      </c>
    </row>
    <row r="201" spans="1:18" x14ac:dyDescent="0.25">
      <c r="A201" s="7">
        <f>Données!A201</f>
        <v>5730</v>
      </c>
      <c r="B201" s="27" t="str">
        <f>Données!B201</f>
        <v>Trélex</v>
      </c>
      <c r="C201" s="8">
        <f>Données!C201+Données!D201</f>
        <v>6196992.1199999992</v>
      </c>
      <c r="D201" s="8">
        <f>+Données!G201+Données!H201+Données!S201</f>
        <v>52801.25</v>
      </c>
      <c r="E201" s="8">
        <f>+Données!E201</f>
        <v>0</v>
      </c>
      <c r="F201" s="8">
        <f>+Données!I201</f>
        <v>26419.7</v>
      </c>
      <c r="G201" s="8">
        <f>+Données!J201</f>
        <v>45125.73</v>
      </c>
      <c r="H201" s="8">
        <f>Données!U201</f>
        <v>-831.72</v>
      </c>
      <c r="I201" s="198">
        <f>Données!V201</f>
        <v>0</v>
      </c>
      <c r="J201" s="198">
        <f>Données!W201</f>
        <v>-51672.72</v>
      </c>
      <c r="K201" s="8">
        <f>+Données!Q201</f>
        <v>1309.83</v>
      </c>
      <c r="L201" s="411">
        <f t="shared" si="10"/>
        <v>6270144.1900000004</v>
      </c>
      <c r="M201" s="8">
        <f>+Données!F201</f>
        <v>0</v>
      </c>
      <c r="N201" s="8">
        <f>+Données!K201</f>
        <v>-348.5</v>
      </c>
      <c r="O201" s="8">
        <f>(Données!L201/Données!Y201)*1</f>
        <v>468700.27777777775</v>
      </c>
      <c r="P201" s="411">
        <f t="shared" si="11"/>
        <v>6738495.9677777784</v>
      </c>
      <c r="Q201" s="223">
        <f>+Données!X201</f>
        <v>55.5</v>
      </c>
      <c r="R201" s="411">
        <f t="shared" si="12"/>
        <v>121414.34176176177</v>
      </c>
    </row>
    <row r="202" spans="1:18" x14ac:dyDescent="0.25">
      <c r="A202" s="7">
        <f>Données!A202</f>
        <v>5731</v>
      </c>
      <c r="B202" s="27" t="str">
        <f>Données!B202</f>
        <v>Le Vaud</v>
      </c>
      <c r="C202" s="8">
        <f>Données!C202+Données!D202</f>
        <v>4830164.26</v>
      </c>
      <c r="D202" s="8">
        <f>+Données!G202+Données!H202+Données!S202</f>
        <v>25645.39</v>
      </c>
      <c r="E202" s="8">
        <f>+Données!E202</f>
        <v>0</v>
      </c>
      <c r="F202" s="8">
        <f>+Données!I202</f>
        <v>0</v>
      </c>
      <c r="G202" s="8">
        <f>+Données!J202</f>
        <v>25446.400000000001</v>
      </c>
      <c r="H202" s="8">
        <f>Données!U202</f>
        <v>-7219.37</v>
      </c>
      <c r="I202" s="198">
        <f>Données!V202</f>
        <v>0</v>
      </c>
      <c r="J202" s="198">
        <f>Données!W202</f>
        <v>-14946.04</v>
      </c>
      <c r="K202" s="8">
        <f>+Données!Q202</f>
        <v>0</v>
      </c>
      <c r="L202" s="411">
        <f t="shared" si="10"/>
        <v>4859090.6399999997</v>
      </c>
      <c r="M202" s="8">
        <f>+Données!F202</f>
        <v>0</v>
      </c>
      <c r="N202" s="8">
        <f>+Données!K202</f>
        <v>4266.5</v>
      </c>
      <c r="O202" s="8">
        <f>(Données!L202/Données!Y202)*1</f>
        <v>287824.2</v>
      </c>
      <c r="P202" s="411">
        <f t="shared" si="11"/>
        <v>5151181.34</v>
      </c>
      <c r="Q202" s="223">
        <f>+Données!X202</f>
        <v>74</v>
      </c>
      <c r="R202" s="411">
        <f t="shared" si="12"/>
        <v>69610.558648648643</v>
      </c>
    </row>
    <row r="203" spans="1:18" x14ac:dyDescent="0.25">
      <c r="A203" s="7">
        <f>Données!A203</f>
        <v>5732</v>
      </c>
      <c r="B203" s="27" t="str">
        <f>Données!B203</f>
        <v>Vich</v>
      </c>
      <c r="C203" s="8">
        <f>Données!C203+Données!D203</f>
        <v>4249652.82</v>
      </c>
      <c r="D203" s="8">
        <f>+Données!G203+Données!H203+Données!S203</f>
        <v>159511.64000000001</v>
      </c>
      <c r="E203" s="8">
        <f>+Données!E203</f>
        <v>0</v>
      </c>
      <c r="F203" s="8">
        <f>+Données!I203</f>
        <v>192797.15</v>
      </c>
      <c r="G203" s="8">
        <f>+Données!J203</f>
        <v>60315.69</v>
      </c>
      <c r="H203" s="8">
        <f>Données!U203</f>
        <v>-29175.56</v>
      </c>
      <c r="I203" s="198">
        <f>Données!V203</f>
        <v>0</v>
      </c>
      <c r="J203" s="198">
        <f>Données!W203</f>
        <v>-1041.67</v>
      </c>
      <c r="K203" s="8">
        <f>+Données!Q203</f>
        <v>1233.95</v>
      </c>
      <c r="L203" s="411">
        <f t="shared" si="10"/>
        <v>4633294.0200000014</v>
      </c>
      <c r="M203" s="8">
        <f>+Données!F203</f>
        <v>0</v>
      </c>
      <c r="N203" s="8">
        <f>+Données!K203</f>
        <v>21944.799999999999</v>
      </c>
      <c r="O203" s="8">
        <f>(Données!L203/Données!Y203)*1</f>
        <v>376050.75</v>
      </c>
      <c r="P203" s="411">
        <f t="shared" si="11"/>
        <v>5031289.5700000012</v>
      </c>
      <c r="Q203" s="223">
        <f>+Données!X203</f>
        <v>63</v>
      </c>
      <c r="R203" s="411">
        <f t="shared" si="12"/>
        <v>79861.73920634923</v>
      </c>
    </row>
    <row r="204" spans="1:18" x14ac:dyDescent="0.25">
      <c r="A204" s="7">
        <f>Données!A204</f>
        <v>5741</v>
      </c>
      <c r="B204" s="27" t="str">
        <f>Données!B204</f>
        <v>L'Abergement</v>
      </c>
      <c r="C204" s="8">
        <f>Données!C204+Données!D204</f>
        <v>806310.97</v>
      </c>
      <c r="D204" s="8">
        <f>+Données!G204+Données!H204+Données!S204</f>
        <v>13705.029999999999</v>
      </c>
      <c r="E204" s="8">
        <f>+Données!E204</f>
        <v>0</v>
      </c>
      <c r="F204" s="8">
        <f>+Données!I204</f>
        <v>0</v>
      </c>
      <c r="G204" s="8">
        <f>+Données!J204</f>
        <v>4048.32</v>
      </c>
      <c r="H204" s="8">
        <f>Données!U204</f>
        <v>-1035.76</v>
      </c>
      <c r="I204" s="198">
        <f>Données!V204</f>
        <v>0</v>
      </c>
      <c r="J204" s="198">
        <f>Données!W204</f>
        <v>0</v>
      </c>
      <c r="K204" s="8">
        <f>+Données!Q204</f>
        <v>0</v>
      </c>
      <c r="L204" s="411">
        <f t="shared" si="10"/>
        <v>823028.55999999994</v>
      </c>
      <c r="M204" s="8">
        <f>+Données!F204</f>
        <v>1460</v>
      </c>
      <c r="N204" s="8">
        <f>+Données!K204</f>
        <v>0</v>
      </c>
      <c r="O204" s="8">
        <f>(Données!L204/Données!Y204)*1</f>
        <v>42223.791666666672</v>
      </c>
      <c r="P204" s="411">
        <f t="shared" si="11"/>
        <v>866712.35166666657</v>
      </c>
      <c r="Q204" s="223">
        <f>+Données!X204</f>
        <v>80</v>
      </c>
      <c r="R204" s="411">
        <f t="shared" si="12"/>
        <v>10833.904395833331</v>
      </c>
    </row>
    <row r="205" spans="1:18" x14ac:dyDescent="0.25">
      <c r="A205" s="7">
        <f>Données!A205</f>
        <v>5742</v>
      </c>
      <c r="B205" s="27" t="str">
        <f>Données!B205</f>
        <v>Agiez</v>
      </c>
      <c r="C205" s="8">
        <f>Données!C205+Données!D205</f>
        <v>620500</v>
      </c>
      <c r="D205" s="8">
        <f>+Données!G205+Données!H205+Données!S205</f>
        <v>1565.8000000000002</v>
      </c>
      <c r="E205" s="8">
        <f>+Données!E205</f>
        <v>0</v>
      </c>
      <c r="F205" s="8">
        <f>+Données!I205</f>
        <v>0</v>
      </c>
      <c r="G205" s="8">
        <f>+Données!J205</f>
        <v>10294.01</v>
      </c>
      <c r="H205" s="8">
        <f>Données!U205</f>
        <v>-7228.01</v>
      </c>
      <c r="I205" s="198">
        <f>Données!V205</f>
        <v>0</v>
      </c>
      <c r="J205" s="198">
        <f>Données!W205</f>
        <v>0</v>
      </c>
      <c r="K205" s="8">
        <f>+Données!Q205</f>
        <v>-102.83</v>
      </c>
      <c r="L205" s="411">
        <f t="shared" si="10"/>
        <v>625028.97000000009</v>
      </c>
      <c r="M205" s="8">
        <f>+Données!F205</f>
        <v>0</v>
      </c>
      <c r="N205" s="8">
        <f>+Données!K205</f>
        <v>2503.8000000000002</v>
      </c>
      <c r="O205" s="8">
        <f>(Données!L205/Données!Y205)*1</f>
        <v>60194</v>
      </c>
      <c r="P205" s="411">
        <f t="shared" si="11"/>
        <v>687726.77000000014</v>
      </c>
      <c r="Q205" s="223">
        <f>+Données!X205</f>
        <v>76</v>
      </c>
      <c r="R205" s="411">
        <f t="shared" si="12"/>
        <v>9049.0364473684222</v>
      </c>
    </row>
    <row r="206" spans="1:18" x14ac:dyDescent="0.25">
      <c r="A206" s="7">
        <f>Données!A206</f>
        <v>5743</v>
      </c>
      <c r="B206" s="27" t="str">
        <f>Données!B206</f>
        <v>Arnex-sur-Orbe</v>
      </c>
      <c r="C206" s="8">
        <f>Données!C206+Données!D206</f>
        <v>1283235.48</v>
      </c>
      <c r="D206" s="8">
        <f>+Données!G206+Données!H206+Données!S206</f>
        <v>9779.84</v>
      </c>
      <c r="E206" s="8">
        <f>+Données!E206</f>
        <v>0</v>
      </c>
      <c r="F206" s="8">
        <f>+Données!I206</f>
        <v>0</v>
      </c>
      <c r="G206" s="8">
        <f>+Données!J206</f>
        <v>10409.280000000001</v>
      </c>
      <c r="H206" s="8">
        <f>Données!U206</f>
        <v>-15848.19</v>
      </c>
      <c r="I206" s="198">
        <f>Données!V206</f>
        <v>0</v>
      </c>
      <c r="J206" s="198">
        <f>Données!W206</f>
        <v>-254.75</v>
      </c>
      <c r="K206" s="8">
        <f>+Données!Q206</f>
        <v>0</v>
      </c>
      <c r="L206" s="411">
        <f t="shared" si="10"/>
        <v>1287321.6600000001</v>
      </c>
      <c r="M206" s="8">
        <f>+Données!F206</f>
        <v>0</v>
      </c>
      <c r="N206" s="8">
        <f>+Données!K206</f>
        <v>0</v>
      </c>
      <c r="O206" s="8">
        <f>(Données!L206/Données!Y206)*1</f>
        <v>91750</v>
      </c>
      <c r="P206" s="411">
        <f t="shared" si="11"/>
        <v>1379071.6600000001</v>
      </c>
      <c r="Q206" s="223">
        <f>+Données!X206</f>
        <v>71</v>
      </c>
      <c r="R206" s="411">
        <f t="shared" si="12"/>
        <v>19423.544507042254</v>
      </c>
    </row>
    <row r="207" spans="1:18" x14ac:dyDescent="0.25">
      <c r="A207" s="7">
        <f>Données!A207</f>
        <v>5744</v>
      </c>
      <c r="B207" s="27" t="str">
        <f>Données!B207</f>
        <v>Ballaigues</v>
      </c>
      <c r="C207" s="8">
        <f>Données!C207+Données!D207</f>
        <v>1563067.19</v>
      </c>
      <c r="D207" s="8">
        <f>+Données!G207+Données!H207+Données!S207</f>
        <v>1741112.95</v>
      </c>
      <c r="E207" s="8">
        <f>+Données!E207</f>
        <v>0</v>
      </c>
      <c r="F207" s="8">
        <f>+Données!I207</f>
        <v>0</v>
      </c>
      <c r="G207" s="8">
        <f>+Données!J207</f>
        <v>113583.97</v>
      </c>
      <c r="H207" s="8">
        <f>Données!U207</f>
        <v>-160539.53</v>
      </c>
      <c r="I207" s="198">
        <f>Données!V207</f>
        <v>0</v>
      </c>
      <c r="J207" s="198">
        <f>Données!W207</f>
        <v>-296.76</v>
      </c>
      <c r="K207" s="8">
        <f>+Données!Q207</f>
        <v>65903.78</v>
      </c>
      <c r="L207" s="411">
        <f t="shared" si="10"/>
        <v>3322831.6</v>
      </c>
      <c r="M207" s="8">
        <f>+Données!F207</f>
        <v>0</v>
      </c>
      <c r="N207" s="8">
        <f>+Données!K207</f>
        <v>-48.5</v>
      </c>
      <c r="O207" s="8">
        <f>(Données!L207/Données!Y207)*1</f>
        <v>194048.5</v>
      </c>
      <c r="P207" s="411">
        <f t="shared" si="11"/>
        <v>3516831.6</v>
      </c>
      <c r="Q207" s="223">
        <f>+Données!X207</f>
        <v>65</v>
      </c>
      <c r="R207" s="411">
        <f t="shared" si="12"/>
        <v>54105.101538461538</v>
      </c>
    </row>
    <row r="208" spans="1:18" x14ac:dyDescent="0.25">
      <c r="A208" s="7">
        <f>Données!A208</f>
        <v>5745</v>
      </c>
      <c r="B208" s="27" t="str">
        <f>Données!B208</f>
        <v>Baulmes</v>
      </c>
      <c r="C208" s="8">
        <f>Données!C208+Données!D208</f>
        <v>1876738.7</v>
      </c>
      <c r="D208" s="8">
        <f>+Données!G208+Données!H208+Données!S208</f>
        <v>46428.59</v>
      </c>
      <c r="E208" s="8">
        <f>+Données!E208</f>
        <v>0</v>
      </c>
      <c r="F208" s="8">
        <f>+Données!I208</f>
        <v>0</v>
      </c>
      <c r="G208" s="8">
        <f>+Données!J208</f>
        <v>55170.58</v>
      </c>
      <c r="H208" s="8">
        <f>Données!U208</f>
        <v>-31362.83</v>
      </c>
      <c r="I208" s="198">
        <f>Données!V208</f>
        <v>0</v>
      </c>
      <c r="J208" s="198">
        <f>Données!W208</f>
        <v>-7.67</v>
      </c>
      <c r="K208" s="8">
        <f>+Données!Q208</f>
        <v>14956.61</v>
      </c>
      <c r="L208" s="411">
        <f t="shared" si="10"/>
        <v>1961923.9800000002</v>
      </c>
      <c r="M208" s="8">
        <f>+Données!F208</f>
        <v>0</v>
      </c>
      <c r="N208" s="8">
        <f>+Données!K208</f>
        <v>0</v>
      </c>
      <c r="O208" s="8">
        <f>(Données!L208/Données!Y208)*1</f>
        <v>157516.54999999999</v>
      </c>
      <c r="P208" s="411">
        <f t="shared" si="11"/>
        <v>2119440.5300000003</v>
      </c>
      <c r="Q208" s="223">
        <f>+Données!X208</f>
        <v>76.5</v>
      </c>
      <c r="R208" s="411">
        <f t="shared" si="12"/>
        <v>27705.104967320265</v>
      </c>
    </row>
    <row r="209" spans="1:18" x14ac:dyDescent="0.25">
      <c r="A209" s="7">
        <f>Données!A209</f>
        <v>5746</v>
      </c>
      <c r="B209" s="27" t="str">
        <f>Données!B209</f>
        <v>Bavois</v>
      </c>
      <c r="C209" s="8">
        <f>Données!C209+Données!D209</f>
        <v>1854266.94</v>
      </c>
      <c r="D209" s="8">
        <f>+Données!G209+Données!H209+Données!S209</f>
        <v>47196.33</v>
      </c>
      <c r="E209" s="8">
        <f>+Données!E209</f>
        <v>0</v>
      </c>
      <c r="F209" s="8">
        <f>+Données!I209</f>
        <v>0</v>
      </c>
      <c r="G209" s="8">
        <f>+Données!J209</f>
        <v>23610.65</v>
      </c>
      <c r="H209" s="8">
        <f>Données!U209</f>
        <v>-26059.63</v>
      </c>
      <c r="I209" s="198">
        <f>Données!V209</f>
        <v>0</v>
      </c>
      <c r="J209" s="198">
        <f>Données!W209</f>
        <v>-82.3</v>
      </c>
      <c r="K209" s="8">
        <f>+Données!Q209</f>
        <v>12580.98</v>
      </c>
      <c r="L209" s="411">
        <f t="shared" si="10"/>
        <v>1911512.97</v>
      </c>
      <c r="M209" s="8">
        <f>+Données!F209</f>
        <v>0</v>
      </c>
      <c r="N209" s="8">
        <f>+Données!K209</f>
        <v>18702.25</v>
      </c>
      <c r="O209" s="8">
        <f>(Données!L209/Données!Y209)*1</f>
        <v>194763.45833333334</v>
      </c>
      <c r="P209" s="411">
        <f t="shared" si="11"/>
        <v>2124978.6783333332</v>
      </c>
      <c r="Q209" s="223">
        <f>+Données!X209</f>
        <v>72</v>
      </c>
      <c r="R209" s="411">
        <f t="shared" si="12"/>
        <v>29513.59275462963</v>
      </c>
    </row>
    <row r="210" spans="1:18" x14ac:dyDescent="0.25">
      <c r="A210" s="7">
        <f>Données!A210</f>
        <v>5747</v>
      </c>
      <c r="B210" s="27" t="str">
        <f>Données!B210</f>
        <v>Bofflens</v>
      </c>
      <c r="C210" s="8">
        <f>Données!C210+Données!D210</f>
        <v>358318.95999999996</v>
      </c>
      <c r="D210" s="8">
        <f>+Données!G210+Données!H210+Données!S210</f>
        <v>6565.0099999999993</v>
      </c>
      <c r="E210" s="8">
        <f>+Données!E210</f>
        <v>0</v>
      </c>
      <c r="F210" s="8">
        <f>+Données!I210</f>
        <v>0</v>
      </c>
      <c r="G210" s="8">
        <f>+Données!J210</f>
        <v>1547.98</v>
      </c>
      <c r="H210" s="8">
        <f>Données!U210</f>
        <v>-3404.14</v>
      </c>
      <c r="I210" s="198">
        <f>Données!V210</f>
        <v>0</v>
      </c>
      <c r="J210" s="198">
        <f>Données!W210</f>
        <v>-21.65</v>
      </c>
      <c r="K210" s="8">
        <f>+Données!Q210</f>
        <v>1379.35</v>
      </c>
      <c r="L210" s="411">
        <f t="shared" si="10"/>
        <v>364385.50999999989</v>
      </c>
      <c r="M210" s="8">
        <f>+Données!F210</f>
        <v>0</v>
      </c>
      <c r="N210" s="8">
        <f>+Données!K210</f>
        <v>0</v>
      </c>
      <c r="O210" s="8">
        <f>(Données!L210/Données!Y210)*1</f>
        <v>34299.1</v>
      </c>
      <c r="P210" s="411">
        <f t="shared" si="11"/>
        <v>398684.60999999987</v>
      </c>
      <c r="Q210" s="223">
        <f>+Données!X210</f>
        <v>69</v>
      </c>
      <c r="R210" s="411">
        <f t="shared" si="12"/>
        <v>5778.0378260869547</v>
      </c>
    </row>
    <row r="211" spans="1:18" x14ac:dyDescent="0.25">
      <c r="A211" s="7">
        <f>Données!A211</f>
        <v>5748</v>
      </c>
      <c r="B211" s="27" t="str">
        <f>Données!B211</f>
        <v>Bretonnières</v>
      </c>
      <c r="C211" s="8">
        <f>Données!C211+Données!D211</f>
        <v>433032.94</v>
      </c>
      <c r="D211" s="8">
        <f>+Données!G211+Données!H211+Données!S211</f>
        <v>3046.34</v>
      </c>
      <c r="E211" s="8">
        <f>+Données!E211</f>
        <v>0</v>
      </c>
      <c r="F211" s="8">
        <f>+Données!I211</f>
        <v>0</v>
      </c>
      <c r="G211" s="8">
        <f>+Données!J211</f>
        <v>407.17</v>
      </c>
      <c r="H211" s="8">
        <f>Données!U211</f>
        <v>-1012</v>
      </c>
      <c r="I211" s="198">
        <f>Données!V211</f>
        <v>0</v>
      </c>
      <c r="J211" s="198">
        <f>Données!W211</f>
        <v>0</v>
      </c>
      <c r="K211" s="8">
        <f>+Données!Q211</f>
        <v>706.77</v>
      </c>
      <c r="L211" s="411">
        <f t="shared" si="10"/>
        <v>436181.22000000003</v>
      </c>
      <c r="M211" s="8">
        <f>+Données!F211</f>
        <v>2100</v>
      </c>
      <c r="N211" s="8">
        <f>+Données!K211</f>
        <v>0</v>
      </c>
      <c r="O211" s="8">
        <f>(Données!L211/Données!Y211)*1</f>
        <v>38473.333333333336</v>
      </c>
      <c r="P211" s="411">
        <f t="shared" si="11"/>
        <v>476754.55333333334</v>
      </c>
      <c r="Q211" s="223">
        <f>+Données!X211</f>
        <v>70.5</v>
      </c>
      <c r="R211" s="411">
        <f t="shared" si="12"/>
        <v>6762.4759338061467</v>
      </c>
    </row>
    <row r="212" spans="1:18" x14ac:dyDescent="0.25">
      <c r="A212" s="7">
        <f>Données!A212</f>
        <v>5749</v>
      </c>
      <c r="B212" s="27" t="str">
        <f>Données!B212</f>
        <v>Chavornay</v>
      </c>
      <c r="C212" s="8">
        <f>Données!C212+Données!D212</f>
        <v>8855848.0199999996</v>
      </c>
      <c r="D212" s="8">
        <f>+Données!G212+Données!H212+Données!S212</f>
        <v>348484.9</v>
      </c>
      <c r="E212" s="8">
        <f>+Données!E212</f>
        <v>0</v>
      </c>
      <c r="F212" s="8">
        <f>+Données!I212</f>
        <v>0</v>
      </c>
      <c r="G212" s="8">
        <f>+Données!J212</f>
        <v>239200.22</v>
      </c>
      <c r="H212" s="8">
        <f>Données!U212</f>
        <v>-215484.9</v>
      </c>
      <c r="I212" s="198">
        <f>Données!V212</f>
        <v>0</v>
      </c>
      <c r="J212" s="198">
        <f>Données!W212</f>
        <v>-1707.14</v>
      </c>
      <c r="K212" s="8">
        <f>+Données!Q212</f>
        <v>31539.69</v>
      </c>
      <c r="L212" s="411">
        <f t="shared" si="10"/>
        <v>9257880.7899999991</v>
      </c>
      <c r="M212" s="8">
        <f>+Données!F212</f>
        <v>0</v>
      </c>
      <c r="N212" s="8">
        <f>+Données!K212</f>
        <v>56988.7</v>
      </c>
      <c r="O212" s="8">
        <f>(Données!L212/Données!Y212)*1</f>
        <v>885922.05</v>
      </c>
      <c r="P212" s="411">
        <f t="shared" si="11"/>
        <v>10200791.539999999</v>
      </c>
      <c r="Q212" s="223">
        <f>+Données!X212</f>
        <v>70.5</v>
      </c>
      <c r="R212" s="411">
        <f t="shared" si="12"/>
        <v>144692.07858156026</v>
      </c>
    </row>
    <row r="213" spans="1:18" x14ac:dyDescent="0.25">
      <c r="A213" s="7">
        <f>Données!A213</f>
        <v>5750</v>
      </c>
      <c r="B213" s="27" t="str">
        <f>Données!B213</f>
        <v>Les Clées</v>
      </c>
      <c r="C213" s="8">
        <f>Données!C213+Données!D213</f>
        <v>424767.51999999996</v>
      </c>
      <c r="D213" s="8">
        <f>+Données!G213+Données!H213+Données!S213</f>
        <v>688.76999999999987</v>
      </c>
      <c r="E213" s="8">
        <f>+Données!E213</f>
        <v>0</v>
      </c>
      <c r="F213" s="8">
        <f>+Données!I213</f>
        <v>0</v>
      </c>
      <c r="G213" s="8">
        <f>+Données!J213</f>
        <v>-2907.97</v>
      </c>
      <c r="H213" s="8">
        <f>Données!U213</f>
        <v>-9619.86</v>
      </c>
      <c r="I213" s="198">
        <f>Données!V213</f>
        <v>0</v>
      </c>
      <c r="J213" s="198">
        <f>Données!W213</f>
        <v>-49.35</v>
      </c>
      <c r="K213" s="8">
        <f>+Données!Q213</f>
        <v>0</v>
      </c>
      <c r="L213" s="411">
        <f t="shared" si="10"/>
        <v>412879.11000000004</v>
      </c>
      <c r="M213" s="8">
        <f>+Données!F213</f>
        <v>1090</v>
      </c>
      <c r="N213" s="8">
        <f>+Données!K213</f>
        <v>-1065.55</v>
      </c>
      <c r="O213" s="8">
        <f>(Données!L213/Données!Y213)*1</f>
        <v>23932.166666666668</v>
      </c>
      <c r="P213" s="411">
        <f t="shared" si="11"/>
        <v>436835.72666666674</v>
      </c>
      <c r="Q213" s="223">
        <f>+Données!X213</f>
        <v>80</v>
      </c>
      <c r="R213" s="411">
        <f t="shared" si="12"/>
        <v>5460.4465833333343</v>
      </c>
    </row>
    <row r="214" spans="1:18" x14ac:dyDescent="0.25">
      <c r="A214" s="7">
        <f>Données!A214</f>
        <v>5752</v>
      </c>
      <c r="B214" s="27" t="str">
        <f>Données!B214</f>
        <v>Croy</v>
      </c>
      <c r="C214" s="8">
        <f>Données!C214+Données!D214</f>
        <v>690726.8</v>
      </c>
      <c r="D214" s="8">
        <f>+Données!G214+Données!H214+Données!S214</f>
        <v>4520.46</v>
      </c>
      <c r="E214" s="8">
        <f>+Données!E214</f>
        <v>0</v>
      </c>
      <c r="F214" s="8">
        <f>+Données!I214</f>
        <v>0</v>
      </c>
      <c r="G214" s="8">
        <f>+Données!J214</f>
        <v>10304.99</v>
      </c>
      <c r="H214" s="8">
        <f>Données!U214</f>
        <v>-7135.64</v>
      </c>
      <c r="I214" s="198">
        <f>Données!V214</f>
        <v>0</v>
      </c>
      <c r="J214" s="198">
        <f>Données!W214</f>
        <v>-8274.6</v>
      </c>
      <c r="K214" s="8">
        <f>+Données!Q214</f>
        <v>1915.96</v>
      </c>
      <c r="L214" s="411">
        <f t="shared" si="10"/>
        <v>692057.97</v>
      </c>
      <c r="M214" s="8">
        <f>+Données!F214</f>
        <v>0</v>
      </c>
      <c r="N214" s="8">
        <f>+Données!K214</f>
        <v>833.4</v>
      </c>
      <c r="O214" s="8">
        <f>(Données!L214/Données!Y214)*1</f>
        <v>62223.42857142858</v>
      </c>
      <c r="P214" s="411">
        <f t="shared" si="11"/>
        <v>755114.79857142852</v>
      </c>
      <c r="Q214" s="223">
        <f>+Données!X214</f>
        <v>74</v>
      </c>
      <c r="R214" s="411">
        <f t="shared" si="12"/>
        <v>10204.254034749034</v>
      </c>
    </row>
    <row r="215" spans="1:18" x14ac:dyDescent="0.25">
      <c r="A215" s="7">
        <f>Données!A215</f>
        <v>5754</v>
      </c>
      <c r="B215" s="27" t="str">
        <f>Données!B215</f>
        <v>Juriens</v>
      </c>
      <c r="C215" s="8">
        <f>Données!C215+Données!D215</f>
        <v>627499.37999999989</v>
      </c>
      <c r="D215" s="8">
        <f>+Données!G215+Données!H215+Données!S215</f>
        <v>2631.32</v>
      </c>
      <c r="E215" s="8">
        <f>+Données!E215</f>
        <v>0</v>
      </c>
      <c r="F215" s="8">
        <f>+Données!I215</f>
        <v>0</v>
      </c>
      <c r="G215" s="8">
        <f>+Données!J215</f>
        <v>-869.9</v>
      </c>
      <c r="H215" s="8">
        <f>Données!U215</f>
        <v>-248.65</v>
      </c>
      <c r="I215" s="198">
        <f>Données!V215</f>
        <v>0</v>
      </c>
      <c r="J215" s="198">
        <f>Données!W215</f>
        <v>-84.8</v>
      </c>
      <c r="K215" s="8">
        <f>+Données!Q215</f>
        <v>3104.67</v>
      </c>
      <c r="L215" s="411">
        <f t="shared" si="10"/>
        <v>632032.01999999979</v>
      </c>
      <c r="M215" s="8">
        <f>+Données!F215</f>
        <v>0</v>
      </c>
      <c r="N215" s="8">
        <f>+Données!K215</f>
        <v>2099.5</v>
      </c>
      <c r="O215" s="8">
        <f>(Données!L215/Données!Y215)*1</f>
        <v>47895.1</v>
      </c>
      <c r="P215" s="411">
        <f t="shared" si="11"/>
        <v>682026.61999999976</v>
      </c>
      <c r="Q215" s="223">
        <f>+Données!X215</f>
        <v>79</v>
      </c>
      <c r="R215" s="411">
        <f t="shared" si="12"/>
        <v>8633.2483544303759</v>
      </c>
    </row>
    <row r="216" spans="1:18" x14ac:dyDescent="0.25">
      <c r="A216" s="7">
        <f>Données!A216</f>
        <v>5755</v>
      </c>
      <c r="B216" s="27" t="str">
        <f>Données!B216</f>
        <v>Lignerolle</v>
      </c>
      <c r="C216" s="8">
        <f>Données!C216+Données!D216</f>
        <v>777704.2300000001</v>
      </c>
      <c r="D216" s="8">
        <f>+Données!G216+Données!H216+Données!S216</f>
        <v>16726.239999999998</v>
      </c>
      <c r="E216" s="8">
        <f>+Données!E216</f>
        <v>0</v>
      </c>
      <c r="F216" s="8">
        <f>+Données!I216</f>
        <v>0</v>
      </c>
      <c r="G216" s="8">
        <f>+Données!J216</f>
        <v>9770.36</v>
      </c>
      <c r="H216" s="8">
        <f>Données!U216</f>
        <v>-15066.55</v>
      </c>
      <c r="I216" s="198">
        <f>Données!V216</f>
        <v>0</v>
      </c>
      <c r="J216" s="198">
        <f>Données!W216</f>
        <v>0</v>
      </c>
      <c r="K216" s="8">
        <f>+Données!Q216</f>
        <v>1010.9</v>
      </c>
      <c r="L216" s="411">
        <f t="shared" si="10"/>
        <v>790145.18</v>
      </c>
      <c r="M216" s="8">
        <f>+Données!F216</f>
        <v>2180</v>
      </c>
      <c r="N216" s="8">
        <f>+Données!K216</f>
        <v>411.1</v>
      </c>
      <c r="O216" s="8">
        <f>(Données!L216/Données!Y216)*1</f>
        <v>64557.71428571429</v>
      </c>
      <c r="P216" s="411">
        <f t="shared" si="11"/>
        <v>857293.99428571435</v>
      </c>
      <c r="Q216" s="223">
        <f>+Données!X216</f>
        <v>78.5</v>
      </c>
      <c r="R216" s="411">
        <f t="shared" si="12"/>
        <v>10920.942602365787</v>
      </c>
    </row>
    <row r="217" spans="1:18" x14ac:dyDescent="0.25">
      <c r="A217" s="7">
        <f>Données!A217</f>
        <v>5756</v>
      </c>
      <c r="B217" s="27" t="str">
        <f>Données!B217</f>
        <v>Montcherand</v>
      </c>
      <c r="C217" s="8">
        <f>Données!C217+Données!D217</f>
        <v>1133613.8900000001</v>
      </c>
      <c r="D217" s="8">
        <f>+Données!G217+Données!H217+Données!S217</f>
        <v>34828.25</v>
      </c>
      <c r="E217" s="8">
        <f>+Données!E217</f>
        <v>0</v>
      </c>
      <c r="F217" s="8">
        <f>+Données!I217</f>
        <v>0</v>
      </c>
      <c r="G217" s="8">
        <f>+Données!J217</f>
        <v>15427.63</v>
      </c>
      <c r="H217" s="8">
        <f>Données!U217</f>
        <v>-13476.54</v>
      </c>
      <c r="I217" s="198">
        <f>Données!V217</f>
        <v>0</v>
      </c>
      <c r="J217" s="198">
        <f>Données!W217</f>
        <v>0</v>
      </c>
      <c r="K217" s="8">
        <f>+Données!Q217</f>
        <v>0</v>
      </c>
      <c r="L217" s="411">
        <f t="shared" si="10"/>
        <v>1170393.23</v>
      </c>
      <c r="M217" s="8">
        <f>+Données!F217</f>
        <v>0</v>
      </c>
      <c r="N217" s="8">
        <f>+Données!K217</f>
        <v>786.4</v>
      </c>
      <c r="O217" s="8">
        <f>(Données!L217/Données!Y217)*1</f>
        <v>89065.2</v>
      </c>
      <c r="P217" s="411">
        <f t="shared" si="11"/>
        <v>1260244.8299999998</v>
      </c>
      <c r="Q217" s="223">
        <f>+Données!X217</f>
        <v>72</v>
      </c>
      <c r="R217" s="411">
        <f t="shared" si="12"/>
        <v>17503.400416666664</v>
      </c>
    </row>
    <row r="218" spans="1:18" x14ac:dyDescent="0.25">
      <c r="A218" s="7">
        <f>Données!A218</f>
        <v>5757</v>
      </c>
      <c r="B218" s="27" t="str">
        <f>Données!B218</f>
        <v>Orbe</v>
      </c>
      <c r="C218" s="8">
        <f>Données!C218+Données!D218</f>
        <v>12872946.25</v>
      </c>
      <c r="D218" s="8">
        <f>+Données!G218+Données!H218+Données!S218</f>
        <v>1503529.0999999999</v>
      </c>
      <c r="E218" s="8">
        <f>+Données!E218</f>
        <v>0</v>
      </c>
      <c r="F218" s="8">
        <f>+Données!I218</f>
        <v>0</v>
      </c>
      <c r="G218" s="8">
        <f>+Données!J218</f>
        <v>567394.02</v>
      </c>
      <c r="H218" s="8">
        <f>Données!U218</f>
        <v>-191657.92</v>
      </c>
      <c r="I218" s="198">
        <f>Données!V218</f>
        <v>0</v>
      </c>
      <c r="J218" s="198">
        <f>Données!W218</f>
        <v>-1222.68</v>
      </c>
      <c r="K218" s="8">
        <f>+Données!Q218</f>
        <v>111662.76</v>
      </c>
      <c r="L218" s="411">
        <f t="shared" si="10"/>
        <v>14862651.529999999</v>
      </c>
      <c r="M218" s="8">
        <f>+Données!F218</f>
        <v>0</v>
      </c>
      <c r="N218" s="8">
        <f>+Données!K218</f>
        <v>66398.850000000006</v>
      </c>
      <c r="O218" s="8">
        <f>(Données!L218/Données!Y218)*1</f>
        <v>1511985.85</v>
      </c>
      <c r="P218" s="411">
        <f t="shared" si="11"/>
        <v>16441036.229999999</v>
      </c>
      <c r="Q218" s="223">
        <f>+Données!X218</f>
        <v>75.5</v>
      </c>
      <c r="R218" s="411">
        <f t="shared" si="12"/>
        <v>217762.06927152316</v>
      </c>
    </row>
    <row r="219" spans="1:18" x14ac:dyDescent="0.25">
      <c r="A219" s="7">
        <f>Données!A219</f>
        <v>5758</v>
      </c>
      <c r="B219" s="27" t="str">
        <f>Données!B219</f>
        <v>La Praz</v>
      </c>
      <c r="C219" s="8">
        <f>Données!C219+Données!D219</f>
        <v>328056.09000000003</v>
      </c>
      <c r="D219" s="8">
        <f>+Données!G219+Données!H219+Données!S219</f>
        <v>3083.01</v>
      </c>
      <c r="E219" s="8">
        <f>+Données!E219</f>
        <v>0</v>
      </c>
      <c r="F219" s="8">
        <f>+Données!I219</f>
        <v>0</v>
      </c>
      <c r="G219" s="8">
        <f>+Données!J219</f>
        <v>13593.09</v>
      </c>
      <c r="H219" s="8">
        <f>Données!U219</f>
        <v>-2515.2600000000002</v>
      </c>
      <c r="I219" s="198">
        <f>Données!V219</f>
        <v>0</v>
      </c>
      <c r="J219" s="198">
        <f>Données!W219</f>
        <v>-9.25</v>
      </c>
      <c r="K219" s="8">
        <f>+Données!Q219</f>
        <v>0</v>
      </c>
      <c r="L219" s="411">
        <f t="shared" si="10"/>
        <v>342207.68000000005</v>
      </c>
      <c r="M219" s="8">
        <f>+Données!F219</f>
        <v>0</v>
      </c>
      <c r="N219" s="8">
        <f>+Données!K219</f>
        <v>0</v>
      </c>
      <c r="O219" s="8">
        <f>(Données!L219/Données!Y219)*1</f>
        <v>31353.200000000001</v>
      </c>
      <c r="P219" s="411">
        <f t="shared" si="11"/>
        <v>373560.88000000006</v>
      </c>
      <c r="Q219" s="223">
        <f>+Données!X219</f>
        <v>83</v>
      </c>
      <c r="R219" s="411">
        <f t="shared" si="12"/>
        <v>4500.7334939759048</v>
      </c>
    </row>
    <row r="220" spans="1:18" x14ac:dyDescent="0.25">
      <c r="A220" s="7">
        <f>Données!A220</f>
        <v>5759</v>
      </c>
      <c r="B220" s="27" t="str">
        <f>Données!B220</f>
        <v>Premier</v>
      </c>
      <c r="C220" s="8">
        <f>Données!C220+Données!D220</f>
        <v>414274.49</v>
      </c>
      <c r="D220" s="8">
        <f>+Données!G220+Données!H220+Données!S220</f>
        <v>1928.74</v>
      </c>
      <c r="E220" s="8">
        <f>+Données!E220</f>
        <v>0</v>
      </c>
      <c r="F220" s="8">
        <f>+Données!I220</f>
        <v>0</v>
      </c>
      <c r="G220" s="8">
        <f>+Données!J220</f>
        <v>1262.19</v>
      </c>
      <c r="H220" s="8">
        <f>Données!U220</f>
        <v>-3557.01</v>
      </c>
      <c r="I220" s="198">
        <f>Données!V220</f>
        <v>0</v>
      </c>
      <c r="J220" s="198">
        <f>Données!W220</f>
        <v>-105.9</v>
      </c>
      <c r="K220" s="8">
        <f>+Données!Q220</f>
        <v>4322.71</v>
      </c>
      <c r="L220" s="411">
        <f t="shared" si="10"/>
        <v>418125.22</v>
      </c>
      <c r="M220" s="8">
        <f>+Données!F220</f>
        <v>0</v>
      </c>
      <c r="N220" s="8">
        <f>+Données!K220</f>
        <v>242.95</v>
      </c>
      <c r="O220" s="8">
        <f>(Données!L220/Données!Y220)*1</f>
        <v>32163.7</v>
      </c>
      <c r="P220" s="411">
        <f t="shared" si="11"/>
        <v>450531.87</v>
      </c>
      <c r="Q220" s="223">
        <f>+Données!X220</f>
        <v>79.5</v>
      </c>
      <c r="R220" s="411">
        <f t="shared" si="12"/>
        <v>5667.0675471698114</v>
      </c>
    </row>
    <row r="221" spans="1:18" x14ac:dyDescent="0.25">
      <c r="A221" s="7">
        <f>Données!A221</f>
        <v>5760</v>
      </c>
      <c r="B221" s="27" t="str">
        <f>Données!B221</f>
        <v>Rances</v>
      </c>
      <c r="C221" s="8">
        <f>Données!C221+Données!D221</f>
        <v>1148228.75</v>
      </c>
      <c r="D221" s="8">
        <f>+Données!G221+Données!H221+Données!S221</f>
        <v>6562.3099999999995</v>
      </c>
      <c r="E221" s="8">
        <f>+Données!E221</f>
        <v>0</v>
      </c>
      <c r="F221" s="8">
        <f>+Données!I221</f>
        <v>0</v>
      </c>
      <c r="G221" s="8">
        <f>+Données!J221</f>
        <v>4161.78</v>
      </c>
      <c r="H221" s="8">
        <f>Données!U221</f>
        <v>-18801.09</v>
      </c>
      <c r="I221" s="198">
        <f>Données!V221</f>
        <v>0</v>
      </c>
      <c r="J221" s="198">
        <f>Données!W221</f>
        <v>-1747.1</v>
      </c>
      <c r="K221" s="8">
        <f>+Données!Q221</f>
        <v>24041.63</v>
      </c>
      <c r="L221" s="411">
        <f t="shared" si="10"/>
        <v>1162446.2799999998</v>
      </c>
      <c r="M221" s="8">
        <f>+Données!F221</f>
        <v>0</v>
      </c>
      <c r="N221" s="8">
        <f>+Données!K221</f>
        <v>0</v>
      </c>
      <c r="O221" s="8">
        <f>(Données!L221/Données!Y221)*1</f>
        <v>85172</v>
      </c>
      <c r="P221" s="411">
        <f t="shared" si="11"/>
        <v>1247618.2799999998</v>
      </c>
      <c r="Q221" s="223">
        <f>+Données!X221</f>
        <v>76.5</v>
      </c>
      <c r="R221" s="411">
        <f t="shared" si="12"/>
        <v>16308.735686274507</v>
      </c>
    </row>
    <row r="222" spans="1:18" x14ac:dyDescent="0.25">
      <c r="A222" s="7">
        <f>Données!A222</f>
        <v>5761</v>
      </c>
      <c r="B222" s="27" t="str">
        <f>Données!B222</f>
        <v>Romainmôtier-Envy</v>
      </c>
      <c r="C222" s="8">
        <f>Données!C222+Données!D222</f>
        <v>1064386.6499999999</v>
      </c>
      <c r="D222" s="8">
        <f>+Données!G222+Données!H222+Données!S222</f>
        <v>3458.8100000000004</v>
      </c>
      <c r="E222" s="8">
        <f>+Données!E222</f>
        <v>0</v>
      </c>
      <c r="F222" s="8">
        <f>+Données!I222</f>
        <v>0</v>
      </c>
      <c r="G222" s="8">
        <f>+Données!J222</f>
        <v>14530.58</v>
      </c>
      <c r="H222" s="8">
        <f>Données!U222</f>
        <v>-6622.79</v>
      </c>
      <c r="I222" s="198">
        <f>Données!V222</f>
        <v>0</v>
      </c>
      <c r="J222" s="198">
        <f>Données!W222</f>
        <v>-32.03</v>
      </c>
      <c r="K222" s="8">
        <f>+Données!Q222</f>
        <v>0</v>
      </c>
      <c r="L222" s="411">
        <f t="shared" si="10"/>
        <v>1075721.22</v>
      </c>
      <c r="M222" s="8">
        <f>+Données!F222</f>
        <v>0</v>
      </c>
      <c r="N222" s="8">
        <f>+Données!K222</f>
        <v>810.8</v>
      </c>
      <c r="O222" s="8">
        <f>(Données!L222/Données!Y222)*1</f>
        <v>90498.090909090897</v>
      </c>
      <c r="P222" s="411">
        <f t="shared" si="11"/>
        <v>1167030.1109090908</v>
      </c>
      <c r="Q222" s="223">
        <f>+Données!X222</f>
        <v>81</v>
      </c>
      <c r="R222" s="411">
        <f t="shared" si="12"/>
        <v>14407.779147025813</v>
      </c>
    </row>
    <row r="223" spans="1:18" x14ac:dyDescent="0.25">
      <c r="A223" s="7">
        <f>Données!A223</f>
        <v>5762</v>
      </c>
      <c r="B223" s="27" t="str">
        <f>Données!B223</f>
        <v>Sergey</v>
      </c>
      <c r="C223" s="8">
        <f>Données!C223+Données!D223</f>
        <v>265603.74</v>
      </c>
      <c r="D223" s="8">
        <f>+Données!G223+Données!H223+Données!S223</f>
        <v>5230.16</v>
      </c>
      <c r="E223" s="8">
        <f>+Données!E223</f>
        <v>0</v>
      </c>
      <c r="F223" s="8">
        <f>+Données!I223</f>
        <v>0</v>
      </c>
      <c r="G223" s="8">
        <f>+Données!J223</f>
        <v>118.84</v>
      </c>
      <c r="H223" s="8">
        <f>Données!U223</f>
        <v>-41.65</v>
      </c>
      <c r="I223" s="198">
        <f>Données!V223</f>
        <v>0</v>
      </c>
      <c r="J223" s="198">
        <f>Données!W223</f>
        <v>0</v>
      </c>
      <c r="K223" s="8">
        <f>+Données!Q223</f>
        <v>0</v>
      </c>
      <c r="L223" s="411">
        <f t="shared" si="10"/>
        <v>270911.08999999997</v>
      </c>
      <c r="M223" s="8">
        <f>+Données!F223</f>
        <v>0</v>
      </c>
      <c r="N223" s="8">
        <f>+Données!K223</f>
        <v>-416.55</v>
      </c>
      <c r="O223" s="8">
        <f>(Données!L223/Données!Y223)*1</f>
        <v>21338.6</v>
      </c>
      <c r="P223" s="411">
        <f t="shared" si="11"/>
        <v>291833.13999999996</v>
      </c>
      <c r="Q223" s="223">
        <f>+Données!X223</f>
        <v>78</v>
      </c>
      <c r="R223" s="411">
        <f t="shared" si="12"/>
        <v>3741.4505128205124</v>
      </c>
    </row>
    <row r="224" spans="1:18" x14ac:dyDescent="0.25">
      <c r="A224" s="7">
        <f>Données!A224</f>
        <v>5763</v>
      </c>
      <c r="B224" s="27" t="str">
        <f>Données!B224</f>
        <v>Valeyres-sous-Rances</v>
      </c>
      <c r="C224" s="8">
        <f>Données!C224+Données!D224</f>
        <v>1409195.85</v>
      </c>
      <c r="D224" s="8">
        <f>+Données!G224+Données!H224+Données!S224</f>
        <v>35955.51</v>
      </c>
      <c r="E224" s="8">
        <f>+Données!E224</f>
        <v>0</v>
      </c>
      <c r="F224" s="8">
        <f>+Données!I224</f>
        <v>0</v>
      </c>
      <c r="G224" s="8">
        <f>+Données!J224</f>
        <v>37540.949999999997</v>
      </c>
      <c r="H224" s="8">
        <f>Données!U224</f>
        <v>-1635.89</v>
      </c>
      <c r="I224" s="198">
        <f>Données!V224</f>
        <v>0</v>
      </c>
      <c r="J224" s="198">
        <f>Données!W224</f>
        <v>-316.05</v>
      </c>
      <c r="K224" s="8">
        <f>+Données!Q224</f>
        <v>2712.46</v>
      </c>
      <c r="L224" s="411">
        <f t="shared" si="10"/>
        <v>1483452.83</v>
      </c>
      <c r="M224" s="8">
        <f>+Données!F224</f>
        <v>3480</v>
      </c>
      <c r="N224" s="8">
        <f>+Données!K224</f>
        <v>4048.65</v>
      </c>
      <c r="O224" s="8">
        <f>(Données!L224/Données!Y224)*1</f>
        <v>92119</v>
      </c>
      <c r="P224" s="411">
        <f t="shared" si="11"/>
        <v>1583100.48</v>
      </c>
      <c r="Q224" s="223">
        <f>+Données!X224</f>
        <v>71</v>
      </c>
      <c r="R224" s="411">
        <f t="shared" si="12"/>
        <v>22297.189859154929</v>
      </c>
    </row>
    <row r="225" spans="1:18" x14ac:dyDescent="0.25">
      <c r="A225" s="7">
        <f>Données!A225</f>
        <v>5764</v>
      </c>
      <c r="B225" s="27" t="str">
        <f>Données!B225</f>
        <v>Vallorbe</v>
      </c>
      <c r="C225" s="8">
        <f>Données!C225+Données!D225</f>
        <v>5071648</v>
      </c>
      <c r="D225" s="8">
        <f>+Données!G225+Données!H225+Données!S225</f>
        <v>256144.85</v>
      </c>
      <c r="E225" s="8">
        <f>+Données!E225</f>
        <v>0</v>
      </c>
      <c r="F225" s="8">
        <f>+Données!I225</f>
        <v>0</v>
      </c>
      <c r="G225" s="8">
        <f>+Données!J225</f>
        <v>260379.88</v>
      </c>
      <c r="H225" s="8">
        <f>Données!U225</f>
        <v>-260287.12</v>
      </c>
      <c r="I225" s="198">
        <f>Données!V225</f>
        <v>0</v>
      </c>
      <c r="J225" s="198">
        <f>Données!W225</f>
        <v>-482.6</v>
      </c>
      <c r="K225" s="8">
        <f>+Données!Q225</f>
        <v>105396.26</v>
      </c>
      <c r="L225" s="411">
        <f t="shared" si="10"/>
        <v>5432799.2699999996</v>
      </c>
      <c r="M225" s="8">
        <f>+Données!F225</f>
        <v>0</v>
      </c>
      <c r="N225" s="8">
        <f>+Données!K225</f>
        <v>37379.1</v>
      </c>
      <c r="O225" s="8">
        <f>(Données!L225/Données!Y225)*1</f>
        <v>515595.35</v>
      </c>
      <c r="P225" s="411">
        <f t="shared" si="11"/>
        <v>5985773.7199999988</v>
      </c>
      <c r="Q225" s="223">
        <f>+Données!X225</f>
        <v>71.5</v>
      </c>
      <c r="R225" s="411">
        <f t="shared" si="12"/>
        <v>83717.114965034954</v>
      </c>
    </row>
    <row r="226" spans="1:18" x14ac:dyDescent="0.25">
      <c r="A226" s="7">
        <f>Données!A226</f>
        <v>5765</v>
      </c>
      <c r="B226" s="27" t="str">
        <f>Données!B226</f>
        <v>Vaulion</v>
      </c>
      <c r="C226" s="8">
        <f>Données!C226+Données!D226</f>
        <v>687050.85</v>
      </c>
      <c r="D226" s="8">
        <f>+Données!G226+Données!H226+Données!S226</f>
        <v>23539.659999999996</v>
      </c>
      <c r="E226" s="8">
        <f>+Données!E226</f>
        <v>0</v>
      </c>
      <c r="F226" s="8">
        <f>+Données!I226</f>
        <v>0</v>
      </c>
      <c r="G226" s="8">
        <f>+Données!J226</f>
        <v>20240.09</v>
      </c>
      <c r="H226" s="8">
        <f>Données!U226</f>
        <v>-19249.3</v>
      </c>
      <c r="I226" s="198">
        <f>Données!V226</f>
        <v>0</v>
      </c>
      <c r="J226" s="198">
        <f>Données!W226</f>
        <v>0</v>
      </c>
      <c r="K226" s="8">
        <f>+Données!Q226</f>
        <v>1242.99</v>
      </c>
      <c r="L226" s="411">
        <f t="shared" si="10"/>
        <v>712824.28999999992</v>
      </c>
      <c r="M226" s="8">
        <f>+Données!F226</f>
        <v>0</v>
      </c>
      <c r="N226" s="8">
        <f>+Données!K226</f>
        <v>0</v>
      </c>
      <c r="O226" s="8">
        <f>(Données!L226/Données!Y226)*1</f>
        <v>67047.8</v>
      </c>
      <c r="P226" s="411">
        <f t="shared" si="11"/>
        <v>779872.09</v>
      </c>
      <c r="Q226" s="223">
        <f>+Données!X226</f>
        <v>81</v>
      </c>
      <c r="R226" s="411">
        <f t="shared" si="12"/>
        <v>9628.0504938271606</v>
      </c>
    </row>
    <row r="227" spans="1:18" x14ac:dyDescent="0.25">
      <c r="A227" s="7">
        <f>Données!A227</f>
        <v>5766</v>
      </c>
      <c r="B227" s="27" t="str">
        <f>Données!B227</f>
        <v>Vuiteboeuf</v>
      </c>
      <c r="C227" s="8">
        <f>Données!C227+Données!D227</f>
        <v>997865.33000000007</v>
      </c>
      <c r="D227" s="8">
        <f>+Données!G227+Données!H227+Données!S227</f>
        <v>59258.14</v>
      </c>
      <c r="E227" s="8">
        <f>+Données!E227</f>
        <v>0</v>
      </c>
      <c r="F227" s="8">
        <f>+Données!I227</f>
        <v>0</v>
      </c>
      <c r="G227" s="8">
        <f>+Données!J227</f>
        <v>29025.47</v>
      </c>
      <c r="H227" s="8">
        <f>Données!U227</f>
        <v>-17642.419999999998</v>
      </c>
      <c r="I227" s="198">
        <f>Données!V227</f>
        <v>0</v>
      </c>
      <c r="J227" s="198">
        <f>Données!W227</f>
        <v>-16.63</v>
      </c>
      <c r="K227" s="8">
        <f>+Données!Q227</f>
        <v>2160.98</v>
      </c>
      <c r="L227" s="411">
        <f t="shared" si="10"/>
        <v>1070650.8700000001</v>
      </c>
      <c r="M227" s="8">
        <f>+Données!F227</f>
        <v>3670</v>
      </c>
      <c r="N227" s="8">
        <f>+Données!K227</f>
        <v>-11427.7</v>
      </c>
      <c r="O227" s="8">
        <f>(Données!L227/Données!Y227)*1</f>
        <v>93813.857142857145</v>
      </c>
      <c r="P227" s="411">
        <f t="shared" si="11"/>
        <v>1156707.0271428572</v>
      </c>
      <c r="Q227" s="223">
        <f>+Données!X227</f>
        <v>75</v>
      </c>
      <c r="R227" s="411">
        <f t="shared" si="12"/>
        <v>15422.760361904762</v>
      </c>
    </row>
    <row r="228" spans="1:18" x14ac:dyDescent="0.25">
      <c r="A228" s="7">
        <f>Données!A228</f>
        <v>5785</v>
      </c>
      <c r="B228" s="27" t="str">
        <f>Données!B228</f>
        <v>Corcelles-le-Jorat</v>
      </c>
      <c r="C228" s="8">
        <f>Données!C228+Données!D228</f>
        <v>1077233.8799999999</v>
      </c>
      <c r="D228" s="8">
        <f>+Données!G228+Données!H228+Données!S228</f>
        <v>16450.330000000002</v>
      </c>
      <c r="E228" s="8">
        <f>+Données!E228</f>
        <v>0</v>
      </c>
      <c r="F228" s="8">
        <f>+Données!I228</f>
        <v>0</v>
      </c>
      <c r="G228" s="8">
        <f>+Données!J228</f>
        <v>26475.4</v>
      </c>
      <c r="H228" s="8">
        <f>Données!U228</f>
        <v>-38928.74</v>
      </c>
      <c r="I228" s="198">
        <f>Données!V228</f>
        <v>0</v>
      </c>
      <c r="J228" s="198">
        <f>Données!W228</f>
        <v>-1826.55</v>
      </c>
      <c r="K228" s="8">
        <f>+Données!Q228</f>
        <v>0</v>
      </c>
      <c r="L228" s="411">
        <f t="shared" si="10"/>
        <v>1079404.3199999998</v>
      </c>
      <c r="M228" s="8">
        <f>+Données!F228</f>
        <v>0</v>
      </c>
      <c r="N228" s="8">
        <f>+Données!K228</f>
        <v>989.6</v>
      </c>
      <c r="O228" s="8">
        <f>(Données!L228/Données!Y228)*1</f>
        <v>79253.75</v>
      </c>
      <c r="P228" s="411">
        <f t="shared" si="11"/>
        <v>1159647.67</v>
      </c>
      <c r="Q228" s="223">
        <f>+Données!X228</f>
        <v>75</v>
      </c>
      <c r="R228" s="411">
        <f t="shared" si="12"/>
        <v>15461.968933333332</v>
      </c>
    </row>
    <row r="229" spans="1:18" x14ac:dyDescent="0.25">
      <c r="A229" s="7">
        <f>Données!A229</f>
        <v>5790</v>
      </c>
      <c r="B229" s="27" t="str">
        <f>Données!B229</f>
        <v>Maracon</v>
      </c>
      <c r="C229" s="8">
        <f>Données!C229+Données!D229</f>
        <v>1054038.76</v>
      </c>
      <c r="D229" s="8">
        <f>+Données!G229+Données!H229+Données!S229</f>
        <v>34639.1</v>
      </c>
      <c r="E229" s="8">
        <f>+Données!E229</f>
        <v>0</v>
      </c>
      <c r="F229" s="8">
        <f>+Données!I229</f>
        <v>0</v>
      </c>
      <c r="G229" s="8">
        <f>+Données!J229</f>
        <v>32004.46</v>
      </c>
      <c r="H229" s="8">
        <f>Données!U229</f>
        <v>-5158.51</v>
      </c>
      <c r="I229" s="198">
        <f>Données!V229</f>
        <v>0</v>
      </c>
      <c r="J229" s="198">
        <f>Données!W229</f>
        <v>-1283.99</v>
      </c>
      <c r="K229" s="8">
        <f>+Données!Q229</f>
        <v>2840.85</v>
      </c>
      <c r="L229" s="411">
        <f t="shared" si="10"/>
        <v>1117080.6700000002</v>
      </c>
      <c r="M229" s="8">
        <f>+Données!F229</f>
        <v>0</v>
      </c>
      <c r="N229" s="8">
        <f>+Données!K229</f>
        <v>923.6</v>
      </c>
      <c r="O229" s="8">
        <f>(Données!L229/Données!Y229)*1</f>
        <v>98334.7</v>
      </c>
      <c r="P229" s="411">
        <f t="shared" si="11"/>
        <v>1216338.9700000002</v>
      </c>
      <c r="Q229" s="223">
        <f>+Données!X229</f>
        <v>74.5</v>
      </c>
      <c r="R229" s="411">
        <f t="shared" si="12"/>
        <v>16326.697583892621</v>
      </c>
    </row>
    <row r="230" spans="1:18" x14ac:dyDescent="0.25">
      <c r="A230" s="7">
        <f>Données!A230</f>
        <v>5792</v>
      </c>
      <c r="B230" s="27" t="str">
        <f>Données!B230</f>
        <v>Montpreveyres</v>
      </c>
      <c r="C230" s="8">
        <f>Données!C230+Données!D230</f>
        <v>1325254.1000000001</v>
      </c>
      <c r="D230" s="8">
        <f>+Données!G230+Données!H230+Données!S230</f>
        <v>14995.149999999998</v>
      </c>
      <c r="E230" s="8">
        <f>+Données!E230</f>
        <v>0</v>
      </c>
      <c r="F230" s="8">
        <f>+Données!I230</f>
        <v>0</v>
      </c>
      <c r="G230" s="8">
        <f>+Données!J230</f>
        <v>4966.45</v>
      </c>
      <c r="H230" s="8">
        <f>Données!U230</f>
        <v>-17354.32</v>
      </c>
      <c r="I230" s="198">
        <f>Données!V230</f>
        <v>0</v>
      </c>
      <c r="J230" s="198">
        <f>Données!W230</f>
        <v>0</v>
      </c>
      <c r="K230" s="8">
        <f>+Données!Q230</f>
        <v>6827.94</v>
      </c>
      <c r="L230" s="411">
        <f t="shared" si="10"/>
        <v>1334689.3199999998</v>
      </c>
      <c r="M230" s="8">
        <f>+Données!F230</f>
        <v>0</v>
      </c>
      <c r="N230" s="8">
        <f>+Données!K230</f>
        <v>3467.5</v>
      </c>
      <c r="O230" s="8">
        <f>(Données!L230/Données!Y230)*1</f>
        <v>123761.9</v>
      </c>
      <c r="P230" s="411">
        <f t="shared" si="11"/>
        <v>1461918.7199999997</v>
      </c>
      <c r="Q230" s="223">
        <f>+Données!X230</f>
        <v>75.5</v>
      </c>
      <c r="R230" s="411">
        <f t="shared" si="12"/>
        <v>19363.161854304632</v>
      </c>
    </row>
    <row r="231" spans="1:18" x14ac:dyDescent="0.25">
      <c r="A231" s="7">
        <f>Données!A231</f>
        <v>5798</v>
      </c>
      <c r="B231" s="27" t="str">
        <f>Données!B231</f>
        <v>Ropraz</v>
      </c>
      <c r="C231" s="8">
        <f>Données!C231+Données!D231</f>
        <v>1150069.02</v>
      </c>
      <c r="D231" s="8">
        <f>+Données!G231+Données!H231+Données!S231</f>
        <v>24827.4</v>
      </c>
      <c r="E231" s="8">
        <f>+Données!E231</f>
        <v>0</v>
      </c>
      <c r="F231" s="8">
        <f>+Données!I231</f>
        <v>0</v>
      </c>
      <c r="G231" s="8">
        <f>+Données!J231</f>
        <v>13253.26</v>
      </c>
      <c r="H231" s="8">
        <f>Données!U231</f>
        <v>-11912.48</v>
      </c>
      <c r="I231" s="198">
        <f>Données!V231</f>
        <v>-29696.85</v>
      </c>
      <c r="J231" s="198">
        <f>Données!W231</f>
        <v>0</v>
      </c>
      <c r="K231" s="8">
        <f>+Données!Q231</f>
        <v>3880.81</v>
      </c>
      <c r="L231" s="411">
        <f t="shared" si="10"/>
        <v>1150421.1599999999</v>
      </c>
      <c r="M231" s="8">
        <f>+Données!F231</f>
        <v>0</v>
      </c>
      <c r="N231" s="8">
        <f>+Données!K231</f>
        <v>6916.55</v>
      </c>
      <c r="O231" s="8">
        <f>(Données!L231/Données!Y231)*1</f>
        <v>98809.5</v>
      </c>
      <c r="P231" s="411">
        <f t="shared" si="11"/>
        <v>1256147.21</v>
      </c>
      <c r="Q231" s="223">
        <f>+Données!X231</f>
        <v>77.5</v>
      </c>
      <c r="R231" s="411">
        <f t="shared" si="12"/>
        <v>16208.351096774193</v>
      </c>
    </row>
    <row r="232" spans="1:18" x14ac:dyDescent="0.25">
      <c r="A232" s="7">
        <f>Données!A232</f>
        <v>5799</v>
      </c>
      <c r="B232" s="27" t="str">
        <f>Données!B232</f>
        <v>Servion</v>
      </c>
      <c r="C232" s="8">
        <f>Données!C232+Données!D232</f>
        <v>4503428.59</v>
      </c>
      <c r="D232" s="8">
        <f>+Données!G232+Données!H232+Données!S232</f>
        <v>61525.63</v>
      </c>
      <c r="E232" s="8">
        <f>+Données!E232</f>
        <v>0</v>
      </c>
      <c r="F232" s="8">
        <f>+Données!I232</f>
        <v>0</v>
      </c>
      <c r="G232" s="8">
        <f>+Données!J232</f>
        <v>58215.24</v>
      </c>
      <c r="H232" s="8">
        <f>Données!U232</f>
        <v>-29334.799999999999</v>
      </c>
      <c r="I232" s="198">
        <f>Données!V232</f>
        <v>0</v>
      </c>
      <c r="J232" s="198">
        <f>Données!W232</f>
        <v>-233.5</v>
      </c>
      <c r="K232" s="8">
        <f>+Données!Q232</f>
        <v>4516.9399999999996</v>
      </c>
      <c r="L232" s="411">
        <f t="shared" si="10"/>
        <v>4598118.1000000006</v>
      </c>
      <c r="M232" s="8">
        <f>+Données!F232</f>
        <v>0</v>
      </c>
      <c r="N232" s="8">
        <f>+Données!K232</f>
        <v>11166.75</v>
      </c>
      <c r="O232" s="8">
        <f>(Données!L232/Données!Y232)*1</f>
        <v>439494.7</v>
      </c>
      <c r="P232" s="411">
        <f t="shared" si="11"/>
        <v>5048779.5500000007</v>
      </c>
      <c r="Q232" s="223">
        <f>+Données!X232</f>
        <v>69</v>
      </c>
      <c r="R232" s="411">
        <f t="shared" si="12"/>
        <v>73170.718115942043</v>
      </c>
    </row>
    <row r="233" spans="1:18" x14ac:dyDescent="0.25">
      <c r="A233" s="7">
        <f>Données!A233</f>
        <v>5803</v>
      </c>
      <c r="B233" s="27" t="str">
        <f>Données!B233</f>
        <v>Vulliens</v>
      </c>
      <c r="C233" s="8">
        <f>Données!C233+Données!D233</f>
        <v>1107174.5</v>
      </c>
      <c r="D233" s="8">
        <f>+Données!G233+Données!H233+Données!S233</f>
        <v>7264.7699999999995</v>
      </c>
      <c r="E233" s="8">
        <f>+Données!E233</f>
        <v>0</v>
      </c>
      <c r="F233" s="8">
        <f>+Données!I233</f>
        <v>0</v>
      </c>
      <c r="G233" s="8">
        <f>+Données!J233</f>
        <v>25407.47</v>
      </c>
      <c r="H233" s="8">
        <f>Données!U233</f>
        <v>-23277.01</v>
      </c>
      <c r="I233" s="198">
        <f>Données!V233</f>
        <v>0</v>
      </c>
      <c r="J233" s="198">
        <f>Données!W233</f>
        <v>-540.85</v>
      </c>
      <c r="K233" s="8">
        <f>+Données!Q233</f>
        <v>-336.85</v>
      </c>
      <c r="L233" s="411">
        <f t="shared" si="10"/>
        <v>1115692.0299999998</v>
      </c>
      <c r="M233" s="8">
        <f>+Données!F233</f>
        <v>0</v>
      </c>
      <c r="N233" s="8">
        <f>+Données!K233</f>
        <v>0</v>
      </c>
      <c r="O233" s="8">
        <f>(Données!L233/Données!Y233)*1</f>
        <v>111048.45</v>
      </c>
      <c r="P233" s="411">
        <f t="shared" si="11"/>
        <v>1226740.4799999997</v>
      </c>
      <c r="Q233" s="223">
        <f>+Données!X233</f>
        <v>74</v>
      </c>
      <c r="R233" s="411">
        <f t="shared" si="12"/>
        <v>16577.57405405405</v>
      </c>
    </row>
    <row r="234" spans="1:18" x14ac:dyDescent="0.25">
      <c r="A234" s="7">
        <f>Données!A234</f>
        <v>5804</v>
      </c>
      <c r="B234" s="27" t="str">
        <f>Données!B234</f>
        <v>Jorat-Menthue</v>
      </c>
      <c r="C234" s="8">
        <f>Données!C234+Données!D234</f>
        <v>2882487.18</v>
      </c>
      <c r="D234" s="8">
        <f>+Données!G234+Données!H234+Données!S234</f>
        <v>22051.72</v>
      </c>
      <c r="E234" s="8">
        <f>+Données!E234</f>
        <v>0</v>
      </c>
      <c r="F234" s="8">
        <f>+Données!I234</f>
        <v>0</v>
      </c>
      <c r="G234" s="8">
        <f>+Données!J234</f>
        <v>45799.15</v>
      </c>
      <c r="H234" s="8">
        <f>Données!U234</f>
        <v>-57096.959999999999</v>
      </c>
      <c r="I234" s="198">
        <f>Données!V234</f>
        <v>0</v>
      </c>
      <c r="J234" s="198">
        <f>Données!W234</f>
        <v>-1791.86</v>
      </c>
      <c r="K234" s="8">
        <f>+Données!Q234</f>
        <v>3920.01</v>
      </c>
      <c r="L234" s="411">
        <f t="shared" si="10"/>
        <v>2895369.24</v>
      </c>
      <c r="M234" s="8">
        <f>+Données!F234</f>
        <v>0</v>
      </c>
      <c r="N234" s="8">
        <f>+Données!K234</f>
        <v>3988.3</v>
      </c>
      <c r="O234" s="8">
        <f>(Données!L234/Données!Y234)*1</f>
        <v>281979.34999999998</v>
      </c>
      <c r="P234" s="411">
        <f t="shared" si="11"/>
        <v>3181336.89</v>
      </c>
      <c r="Q234" s="223">
        <f>+Données!X234</f>
        <v>70.5</v>
      </c>
      <c r="R234" s="411">
        <f t="shared" si="12"/>
        <v>45125.345957446807</v>
      </c>
    </row>
    <row r="235" spans="1:18" x14ac:dyDescent="0.25">
      <c r="A235" s="7">
        <f>Données!A235</f>
        <v>5805</v>
      </c>
      <c r="B235" s="27" t="str">
        <f>Données!B235</f>
        <v>Oron</v>
      </c>
      <c r="C235" s="8">
        <f>Données!C235+Données!D235</f>
        <v>10205563.369999999</v>
      </c>
      <c r="D235" s="8">
        <f>+Données!G235+Données!H235+Données!S235</f>
        <v>531012.32999999996</v>
      </c>
      <c r="E235" s="8">
        <f>+Données!E235</f>
        <v>0</v>
      </c>
      <c r="F235" s="8">
        <f>+Données!I235</f>
        <v>74370.649999999994</v>
      </c>
      <c r="G235" s="8">
        <f>+Données!J235</f>
        <v>203413.32</v>
      </c>
      <c r="H235" s="8">
        <f>Données!U235</f>
        <v>-118672.78</v>
      </c>
      <c r="I235" s="198">
        <f>Données!V235</f>
        <v>0</v>
      </c>
      <c r="J235" s="198">
        <f>Données!W235</f>
        <v>-4816.6099999999997</v>
      </c>
      <c r="K235" s="8">
        <f>+Données!Q235</f>
        <v>18132.93</v>
      </c>
      <c r="L235" s="411">
        <f t="shared" si="10"/>
        <v>10909003.210000001</v>
      </c>
      <c r="M235" s="8">
        <f>+Données!F235</f>
        <v>0</v>
      </c>
      <c r="N235" s="8">
        <f>+Données!K235</f>
        <v>64003.6</v>
      </c>
      <c r="O235" s="8">
        <f>(Données!L235/Données!Y235)*1</f>
        <v>1068171.5454545454</v>
      </c>
      <c r="P235" s="411">
        <f t="shared" si="11"/>
        <v>12041178.355454545</v>
      </c>
      <c r="Q235" s="223">
        <f>+Données!X235</f>
        <v>69</v>
      </c>
      <c r="R235" s="411">
        <f t="shared" si="12"/>
        <v>174509.83123847167</v>
      </c>
    </row>
    <row r="236" spans="1:18" x14ac:dyDescent="0.25">
      <c r="A236" s="7">
        <f>Données!A236</f>
        <v>5806</v>
      </c>
      <c r="B236" s="27" t="str">
        <f>Données!B236</f>
        <v>Jorat-Mézières</v>
      </c>
      <c r="C236" s="8">
        <f>Données!C236+Données!D236</f>
        <v>6694153.7699999996</v>
      </c>
      <c r="D236" s="8">
        <f>+Données!G236+Données!H236+Données!S236</f>
        <v>116598.47</v>
      </c>
      <c r="E236" s="8">
        <f>+Données!E236</f>
        <v>0</v>
      </c>
      <c r="F236" s="8">
        <f>+Données!I236</f>
        <v>53357.25</v>
      </c>
      <c r="G236" s="8">
        <f>+Données!J236</f>
        <v>100414.72</v>
      </c>
      <c r="H236" s="8">
        <f>Données!U236</f>
        <v>-53150.83</v>
      </c>
      <c r="I236" s="198">
        <f>Données!V236</f>
        <v>0</v>
      </c>
      <c r="J236" s="198">
        <f>Données!W236</f>
        <v>-372.8</v>
      </c>
      <c r="K236" s="8">
        <f>+Données!Q236</f>
        <v>2128.75</v>
      </c>
      <c r="L236" s="411">
        <f t="shared" si="10"/>
        <v>6913129.3299999991</v>
      </c>
      <c r="M236" s="8">
        <f>+Données!F236</f>
        <v>0</v>
      </c>
      <c r="N236" s="8">
        <f>+Données!K236</f>
        <v>25727.55</v>
      </c>
      <c r="O236" s="8">
        <f>(Données!L236/Données!Y236)*1</f>
        <v>578527.15</v>
      </c>
      <c r="P236" s="411">
        <f t="shared" si="11"/>
        <v>7517384.0299999993</v>
      </c>
      <c r="Q236" s="223">
        <f>+Données!X236</f>
        <v>73</v>
      </c>
      <c r="R236" s="411">
        <f t="shared" si="12"/>
        <v>102977.86342465752</v>
      </c>
    </row>
    <row r="237" spans="1:18" x14ac:dyDescent="0.25">
      <c r="A237" s="7">
        <f>Données!A237</f>
        <v>5812</v>
      </c>
      <c r="B237" s="27" t="str">
        <f>Données!B237</f>
        <v>Champtauroz</v>
      </c>
      <c r="C237" s="8">
        <f>Données!C237+Données!D237</f>
        <v>252757.31</v>
      </c>
      <c r="D237" s="8">
        <f>+Données!G237+Données!H237+Données!S237</f>
        <v>1952.99</v>
      </c>
      <c r="E237" s="8">
        <f>+Données!E237</f>
        <v>0</v>
      </c>
      <c r="F237" s="8">
        <f>+Données!I237</f>
        <v>0</v>
      </c>
      <c r="G237" s="8">
        <f>+Données!J237</f>
        <v>3612.06</v>
      </c>
      <c r="H237" s="8">
        <f>Données!U237</f>
        <v>-71.84</v>
      </c>
      <c r="I237" s="198">
        <f>Données!V237</f>
        <v>0</v>
      </c>
      <c r="J237" s="198">
        <f>Données!W237</f>
        <v>-59.45</v>
      </c>
      <c r="K237" s="8">
        <f>+Données!Q237</f>
        <v>0</v>
      </c>
      <c r="L237" s="411">
        <f t="shared" si="10"/>
        <v>258191.06999999998</v>
      </c>
      <c r="M237" s="8">
        <f>+Données!F237</f>
        <v>0</v>
      </c>
      <c r="N237" s="8">
        <f>+Données!K237</f>
        <v>490.75</v>
      </c>
      <c r="O237" s="8">
        <f>(Données!L237/Données!Y237)*1</f>
        <v>23083.75</v>
      </c>
      <c r="P237" s="411">
        <f t="shared" si="11"/>
        <v>281765.56999999995</v>
      </c>
      <c r="Q237" s="223">
        <f>+Données!X237</f>
        <v>77</v>
      </c>
      <c r="R237" s="411">
        <f t="shared" si="12"/>
        <v>3659.293116883116</v>
      </c>
    </row>
    <row r="238" spans="1:18" x14ac:dyDescent="0.25">
      <c r="A238" s="7">
        <f>Données!A238</f>
        <v>5813</v>
      </c>
      <c r="B238" s="27" t="str">
        <f>Données!B238</f>
        <v>Chevroux</v>
      </c>
      <c r="C238" s="8">
        <f>Données!C238+Données!D238</f>
        <v>1005724.8</v>
      </c>
      <c r="D238" s="8">
        <f>+Données!G238+Données!H238+Données!S238</f>
        <v>109950.60999999999</v>
      </c>
      <c r="E238" s="8">
        <f>+Données!E238</f>
        <v>0</v>
      </c>
      <c r="F238" s="8">
        <f>+Données!I238</f>
        <v>0</v>
      </c>
      <c r="G238" s="8">
        <f>+Données!J238</f>
        <v>10013.49</v>
      </c>
      <c r="H238" s="8">
        <f>Données!U238</f>
        <v>-31566.49</v>
      </c>
      <c r="I238" s="198">
        <f>Données!V238</f>
        <v>0</v>
      </c>
      <c r="J238" s="198">
        <f>Données!W238</f>
        <v>0</v>
      </c>
      <c r="K238" s="8">
        <f>+Données!Q238</f>
        <v>5003.75</v>
      </c>
      <c r="L238" s="411">
        <f t="shared" si="10"/>
        <v>1099126.1600000001</v>
      </c>
      <c r="M238" s="8">
        <f>+Données!F238</f>
        <v>3290</v>
      </c>
      <c r="N238" s="8">
        <f>+Données!K238</f>
        <v>0</v>
      </c>
      <c r="O238" s="8">
        <f>(Données!L238/Données!Y238)*1</f>
        <v>96251.833333333328</v>
      </c>
      <c r="P238" s="411">
        <f t="shared" si="11"/>
        <v>1198667.9933333334</v>
      </c>
      <c r="Q238" s="223">
        <f>+Données!X238</f>
        <v>68.5</v>
      </c>
      <c r="R238" s="411">
        <f t="shared" si="12"/>
        <v>17498.80282238443</v>
      </c>
    </row>
    <row r="239" spans="1:18" x14ac:dyDescent="0.25">
      <c r="A239" s="7">
        <f>Données!A239</f>
        <v>5816</v>
      </c>
      <c r="B239" s="27" t="str">
        <f>Données!B239</f>
        <v>Corcelles-près-Payerne</v>
      </c>
      <c r="C239" s="8">
        <f>Données!C239+Données!D239</f>
        <v>3807922.63</v>
      </c>
      <c r="D239" s="8">
        <f>+Données!G239+Données!H239+Données!S239</f>
        <v>188633.63</v>
      </c>
      <c r="E239" s="8">
        <f>+Données!E239</f>
        <v>0</v>
      </c>
      <c r="F239" s="8">
        <f>+Données!I239</f>
        <v>0</v>
      </c>
      <c r="G239" s="8">
        <f>+Données!J239</f>
        <v>167122.35</v>
      </c>
      <c r="H239" s="8">
        <f>Données!U239</f>
        <v>-100909.65</v>
      </c>
      <c r="I239" s="198">
        <f>Données!V239</f>
        <v>0</v>
      </c>
      <c r="J239" s="198">
        <f>Données!W239</f>
        <v>-170.93</v>
      </c>
      <c r="K239" s="8">
        <f>+Données!Q239</f>
        <v>-12056.37</v>
      </c>
      <c r="L239" s="411">
        <f t="shared" si="10"/>
        <v>4050541.6599999997</v>
      </c>
      <c r="M239" s="8">
        <f>+Données!F239</f>
        <v>0</v>
      </c>
      <c r="N239" s="8">
        <f>+Données!K239</f>
        <v>39104.400000000001</v>
      </c>
      <c r="O239" s="8">
        <f>(Données!L239/Données!Y239)*1</f>
        <v>410923.7857142858</v>
      </c>
      <c r="P239" s="411">
        <f t="shared" si="11"/>
        <v>4500569.845714285</v>
      </c>
      <c r="Q239" s="223">
        <f>+Données!X239</f>
        <v>68.5</v>
      </c>
      <c r="R239" s="411">
        <f t="shared" si="12"/>
        <v>65701.749572471308</v>
      </c>
    </row>
    <row r="240" spans="1:18" x14ac:dyDescent="0.25">
      <c r="A240" s="7">
        <f>Données!A240</f>
        <v>5817</v>
      </c>
      <c r="B240" s="27" t="str">
        <f>Données!B240</f>
        <v>Grandcour</v>
      </c>
      <c r="C240" s="8">
        <f>Données!C240+Données!D240</f>
        <v>1701027.11</v>
      </c>
      <c r="D240" s="8">
        <f>+Données!G240+Données!H240+Données!S240</f>
        <v>33478.379999999997</v>
      </c>
      <c r="E240" s="8">
        <f>+Données!E240</f>
        <v>0</v>
      </c>
      <c r="F240" s="8">
        <f>+Données!I240</f>
        <v>0</v>
      </c>
      <c r="G240" s="8">
        <f>+Données!J240</f>
        <v>39594.879999999997</v>
      </c>
      <c r="H240" s="8">
        <f>Données!U240</f>
        <v>-63071.83</v>
      </c>
      <c r="I240" s="198">
        <f>Données!V240</f>
        <v>0</v>
      </c>
      <c r="J240" s="198">
        <f>Données!W240</f>
        <v>-63.3</v>
      </c>
      <c r="K240" s="8">
        <f>+Données!Q240</f>
        <v>47850.87</v>
      </c>
      <c r="L240" s="411">
        <f t="shared" si="10"/>
        <v>1758816.1099999999</v>
      </c>
      <c r="M240" s="8">
        <f>+Données!F240</f>
        <v>5780</v>
      </c>
      <c r="N240" s="8">
        <f>+Données!K240</f>
        <v>4344.6499999999996</v>
      </c>
      <c r="O240" s="8">
        <f>(Données!L240/Données!Y240)*1</f>
        <v>135951.20000000001</v>
      </c>
      <c r="P240" s="411">
        <f t="shared" si="11"/>
        <v>1904891.9599999997</v>
      </c>
      <c r="Q240" s="223">
        <f>+Données!X240</f>
        <v>73.5</v>
      </c>
      <c r="R240" s="411">
        <f t="shared" si="12"/>
        <v>25916.897414965984</v>
      </c>
    </row>
    <row r="241" spans="1:18" x14ac:dyDescent="0.25">
      <c r="A241" s="7">
        <f>Données!A241</f>
        <v>5819</v>
      </c>
      <c r="B241" s="27" t="str">
        <f>Données!B241</f>
        <v>Henniez</v>
      </c>
      <c r="C241" s="8">
        <f>Données!C241+Données!D241</f>
        <v>596768.12</v>
      </c>
      <c r="D241" s="8">
        <f>+Données!G241+Données!H241+Données!S241</f>
        <v>23439.64</v>
      </c>
      <c r="E241" s="8">
        <f>+Données!E241</f>
        <v>0</v>
      </c>
      <c r="F241" s="8">
        <f>+Données!I241</f>
        <v>0</v>
      </c>
      <c r="G241" s="8">
        <f>+Données!J241</f>
        <v>18058.77</v>
      </c>
      <c r="H241" s="8">
        <f>Données!U241</f>
        <v>-24581.52</v>
      </c>
      <c r="I241" s="198">
        <f>Données!V241</f>
        <v>0</v>
      </c>
      <c r="J241" s="198">
        <f>Données!W241</f>
        <v>-0.01</v>
      </c>
      <c r="K241" s="8">
        <f>+Données!Q241</f>
        <v>1369.25</v>
      </c>
      <c r="L241" s="411">
        <f t="shared" si="10"/>
        <v>615054.25</v>
      </c>
      <c r="M241" s="8">
        <f>+Données!F241</f>
        <v>0</v>
      </c>
      <c r="N241" s="8">
        <f>+Données!K241</f>
        <v>2089.35</v>
      </c>
      <c r="O241" s="8">
        <f>(Données!L241/Données!Y241)*1</f>
        <v>91883.55</v>
      </c>
      <c r="P241" s="411">
        <f t="shared" si="11"/>
        <v>709027.15</v>
      </c>
      <c r="Q241" s="223">
        <f>+Données!X241</f>
        <v>69</v>
      </c>
      <c r="R241" s="411">
        <f t="shared" si="12"/>
        <v>10275.75579710145</v>
      </c>
    </row>
    <row r="242" spans="1:18" x14ac:dyDescent="0.25">
      <c r="A242" s="7">
        <f>Données!A242</f>
        <v>5821</v>
      </c>
      <c r="B242" s="27" t="str">
        <f>Données!B242</f>
        <v>Missy</v>
      </c>
      <c r="C242" s="8">
        <f>Données!C242+Données!D242</f>
        <v>537500.08000000007</v>
      </c>
      <c r="D242" s="8">
        <f>+Données!G242+Données!H242+Données!S242</f>
        <v>5515.29</v>
      </c>
      <c r="E242" s="8">
        <f>+Données!E242</f>
        <v>0</v>
      </c>
      <c r="F242" s="8">
        <f>+Données!I242</f>
        <v>0</v>
      </c>
      <c r="G242" s="8">
        <f>+Données!J242</f>
        <v>10203.67</v>
      </c>
      <c r="H242" s="8">
        <f>Données!U242</f>
        <v>-7359.76</v>
      </c>
      <c r="I242" s="198">
        <f>Données!V242</f>
        <v>0</v>
      </c>
      <c r="J242" s="198">
        <f>Données!W242</f>
        <v>0</v>
      </c>
      <c r="K242" s="8">
        <f>+Données!Q242</f>
        <v>0</v>
      </c>
      <c r="L242" s="411">
        <f t="shared" si="10"/>
        <v>545859.28000000014</v>
      </c>
      <c r="M242" s="8">
        <f>+Données!F242</f>
        <v>2190</v>
      </c>
      <c r="N242" s="8">
        <f>+Données!K242</f>
        <v>1305</v>
      </c>
      <c r="O242" s="8">
        <f>(Données!L242/Données!Y242)*1</f>
        <v>53715.199999999997</v>
      </c>
      <c r="P242" s="411">
        <f t="shared" si="11"/>
        <v>603069.4800000001</v>
      </c>
      <c r="Q242" s="223">
        <f>+Données!X242</f>
        <v>72</v>
      </c>
      <c r="R242" s="411">
        <f t="shared" si="12"/>
        <v>8375.965000000002</v>
      </c>
    </row>
    <row r="243" spans="1:18" x14ac:dyDescent="0.25">
      <c r="A243" s="7">
        <f>Données!A243</f>
        <v>5822</v>
      </c>
      <c r="B243" s="27" t="str">
        <f>Données!B243</f>
        <v>Payerne</v>
      </c>
      <c r="C243" s="8">
        <f>Données!C243+Données!D243</f>
        <v>13374395.760000002</v>
      </c>
      <c r="D243" s="8">
        <f>+Données!G243+Données!H243+Données!S243</f>
        <v>1361604.05</v>
      </c>
      <c r="E243" s="8">
        <f>+Données!E243</f>
        <v>0</v>
      </c>
      <c r="F243" s="8">
        <f>+Données!I243</f>
        <v>0</v>
      </c>
      <c r="G243" s="8">
        <f>+Données!J243</f>
        <v>766046.68</v>
      </c>
      <c r="H243" s="8">
        <f>Données!U243</f>
        <v>-818205.67</v>
      </c>
      <c r="I243" s="198">
        <f>Données!V243</f>
        <v>0</v>
      </c>
      <c r="J243" s="198">
        <f>Données!W243</f>
        <v>-1463.71</v>
      </c>
      <c r="K243" s="8">
        <f>+Données!Q243</f>
        <v>127056.52</v>
      </c>
      <c r="L243" s="411">
        <f t="shared" si="10"/>
        <v>14809433.630000001</v>
      </c>
      <c r="M243" s="8">
        <f>+Données!F243</f>
        <v>0</v>
      </c>
      <c r="N243" s="8">
        <f>+Données!K243</f>
        <v>194676.8</v>
      </c>
      <c r="O243" s="8">
        <f>(Données!L243/Données!Y243)*1</f>
        <v>1555520.9</v>
      </c>
      <c r="P243" s="411">
        <f t="shared" si="11"/>
        <v>16559631.330000002</v>
      </c>
      <c r="Q243" s="223">
        <f>+Données!X243</f>
        <v>73</v>
      </c>
      <c r="R243" s="411">
        <f t="shared" si="12"/>
        <v>226844.26479452057</v>
      </c>
    </row>
    <row r="244" spans="1:18" x14ac:dyDescent="0.25">
      <c r="A244" s="7">
        <f>Données!A244</f>
        <v>5827</v>
      </c>
      <c r="B244" s="27" t="str">
        <f>Données!B244</f>
        <v>Trey</v>
      </c>
      <c r="C244" s="8">
        <f>Données!C244+Données!D244</f>
        <v>532111.83000000007</v>
      </c>
      <c r="D244" s="8">
        <f>+Données!G244+Données!H244+Données!S244</f>
        <v>27731.25</v>
      </c>
      <c r="E244" s="8">
        <f>+Données!E244</f>
        <v>0</v>
      </c>
      <c r="F244" s="8">
        <f>+Données!I244</f>
        <v>0</v>
      </c>
      <c r="G244" s="8">
        <f>+Données!J244</f>
        <v>9815.5499999999993</v>
      </c>
      <c r="H244" s="8">
        <f>Données!U244</f>
        <v>-17655.27</v>
      </c>
      <c r="I244" s="198">
        <f>Données!V244</f>
        <v>0</v>
      </c>
      <c r="J244" s="198">
        <f>Données!W244</f>
        <v>0</v>
      </c>
      <c r="K244" s="8">
        <f>+Données!Q244</f>
        <v>0</v>
      </c>
      <c r="L244" s="411">
        <f t="shared" si="10"/>
        <v>552003.3600000001</v>
      </c>
      <c r="M244" s="8">
        <f>+Données!F244</f>
        <v>1500</v>
      </c>
      <c r="N244" s="8">
        <f>+Données!K244</f>
        <v>1522.35</v>
      </c>
      <c r="O244" s="8">
        <f>(Données!L244/Données!Y244)*1</f>
        <v>46764.25</v>
      </c>
      <c r="P244" s="411">
        <f t="shared" si="11"/>
        <v>601789.96000000008</v>
      </c>
      <c r="Q244" s="223">
        <f>+Données!X244</f>
        <v>78</v>
      </c>
      <c r="R244" s="411">
        <f t="shared" si="12"/>
        <v>7715.2558974358981</v>
      </c>
    </row>
    <row r="245" spans="1:18" x14ac:dyDescent="0.25">
      <c r="A245" s="7">
        <f>Données!A245</f>
        <v>5828</v>
      </c>
      <c r="B245" s="27" t="str">
        <f>Données!B245</f>
        <v>Treytorrens (Payerne)</v>
      </c>
      <c r="C245" s="8">
        <f>Données!C245+Données!D245</f>
        <v>220034.63</v>
      </c>
      <c r="D245" s="8">
        <f>+Données!G245+Données!H245+Données!S245</f>
        <v>284.69</v>
      </c>
      <c r="E245" s="8">
        <f>+Données!E245</f>
        <v>0</v>
      </c>
      <c r="F245" s="8">
        <f>+Données!I245</f>
        <v>0</v>
      </c>
      <c r="G245" s="8">
        <f>+Données!J245</f>
        <v>214.17</v>
      </c>
      <c r="H245" s="8">
        <f>Données!U245</f>
        <v>-4867.42</v>
      </c>
      <c r="I245" s="198">
        <f>Données!V245</f>
        <v>0</v>
      </c>
      <c r="J245" s="198">
        <f>Données!W245</f>
        <v>0</v>
      </c>
      <c r="K245" s="8">
        <f>+Données!Q245</f>
        <v>0</v>
      </c>
      <c r="L245" s="411">
        <f t="shared" si="10"/>
        <v>215666.07</v>
      </c>
      <c r="M245" s="8">
        <f>+Données!F245</f>
        <v>0</v>
      </c>
      <c r="N245" s="8">
        <f>+Données!K245</f>
        <v>0</v>
      </c>
      <c r="O245" s="8">
        <f>(Données!L245/Données!Y245)*1</f>
        <v>17815.666666666668</v>
      </c>
      <c r="P245" s="411">
        <f t="shared" si="11"/>
        <v>233481.73666666666</v>
      </c>
      <c r="Q245" s="223">
        <f>+Données!X245</f>
        <v>81.5</v>
      </c>
      <c r="R245" s="411">
        <f t="shared" si="12"/>
        <v>2864.8065848670758</v>
      </c>
    </row>
    <row r="246" spans="1:18" x14ac:dyDescent="0.25">
      <c r="A246" s="7">
        <f>Données!A246</f>
        <v>5830</v>
      </c>
      <c r="B246" s="27" t="str">
        <f>Données!B246</f>
        <v>Villarzel</v>
      </c>
      <c r="C246" s="8">
        <f>Données!C246+Données!D246</f>
        <v>855904.53</v>
      </c>
      <c r="D246" s="8">
        <f>+Données!G246+Données!H246+Données!S246</f>
        <v>10757.38</v>
      </c>
      <c r="E246" s="8">
        <f>+Données!E246</f>
        <v>0</v>
      </c>
      <c r="F246" s="8">
        <f>+Données!I246</f>
        <v>0</v>
      </c>
      <c r="G246" s="8">
        <f>+Données!J246</f>
        <v>11408.04</v>
      </c>
      <c r="H246" s="8">
        <f>Données!U246</f>
        <v>-5927.43</v>
      </c>
      <c r="I246" s="198">
        <f>Données!V246</f>
        <v>0</v>
      </c>
      <c r="J246" s="198">
        <f>Données!W246</f>
        <v>-0.01</v>
      </c>
      <c r="K246" s="8">
        <f>+Données!Q246</f>
        <v>510.34</v>
      </c>
      <c r="L246" s="411">
        <f t="shared" si="10"/>
        <v>872652.85</v>
      </c>
      <c r="M246" s="8">
        <f>+Données!F246</f>
        <v>0</v>
      </c>
      <c r="N246" s="8">
        <f>+Données!K246</f>
        <v>705.4</v>
      </c>
      <c r="O246" s="8">
        <f>(Données!L246/Données!Y246)*1</f>
        <v>62205.3</v>
      </c>
      <c r="P246" s="411">
        <f t="shared" si="11"/>
        <v>935563.55</v>
      </c>
      <c r="Q246" s="223">
        <f>+Données!X246</f>
        <v>75</v>
      </c>
      <c r="R246" s="411">
        <f t="shared" si="12"/>
        <v>12474.180666666667</v>
      </c>
    </row>
    <row r="247" spans="1:18" x14ac:dyDescent="0.25">
      <c r="A247" s="7">
        <f>Données!A247</f>
        <v>5831</v>
      </c>
      <c r="B247" s="27" t="str">
        <f>Données!B247</f>
        <v>Valbroye</v>
      </c>
      <c r="C247" s="8">
        <f>Données!C247+Données!D247</f>
        <v>5028362.3899999997</v>
      </c>
      <c r="D247" s="8">
        <f>+Données!G247+Données!H247+Données!S247</f>
        <v>482835.02999999997</v>
      </c>
      <c r="E247" s="8">
        <f>+Données!E247</f>
        <v>0</v>
      </c>
      <c r="F247" s="8">
        <f>+Données!I247</f>
        <v>0</v>
      </c>
      <c r="G247" s="8">
        <f>+Données!J247</f>
        <v>180872.61</v>
      </c>
      <c r="H247" s="8">
        <f>Données!U247</f>
        <v>-94076.25</v>
      </c>
      <c r="I247" s="198">
        <f>Données!V247</f>
        <v>0</v>
      </c>
      <c r="J247" s="198">
        <f>Données!W247</f>
        <v>-565.36</v>
      </c>
      <c r="K247" s="8">
        <f>+Données!Q247</f>
        <v>22808.86</v>
      </c>
      <c r="L247" s="411">
        <f t="shared" si="10"/>
        <v>5620237.2800000003</v>
      </c>
      <c r="M247" s="8">
        <f>+Données!F247</f>
        <v>0</v>
      </c>
      <c r="N247" s="8">
        <f>+Données!K247</f>
        <v>3858.6</v>
      </c>
      <c r="O247" s="8">
        <f>(Données!L247/Données!Y247)*1</f>
        <v>542578.41666666663</v>
      </c>
      <c r="P247" s="411">
        <f t="shared" si="11"/>
        <v>6166674.2966666669</v>
      </c>
      <c r="Q247" s="223">
        <f>+Données!X247</f>
        <v>70.5</v>
      </c>
      <c r="R247" s="411">
        <f t="shared" si="12"/>
        <v>87470.557399527184</v>
      </c>
    </row>
    <row r="248" spans="1:18" x14ac:dyDescent="0.25">
      <c r="A248" s="7">
        <f>Données!A248</f>
        <v>5841</v>
      </c>
      <c r="B248" s="27" t="str">
        <f>Données!B248</f>
        <v>Château-d'Oex</v>
      </c>
      <c r="C248" s="8">
        <f>Données!C248+Données!D248</f>
        <v>7437954.4899999993</v>
      </c>
      <c r="D248" s="8">
        <f>+Données!G248+Données!H248+Données!S248</f>
        <v>305321.71999999997</v>
      </c>
      <c r="E248" s="8">
        <f>+Données!E248</f>
        <v>0</v>
      </c>
      <c r="F248" s="8">
        <f>+Données!I248</f>
        <v>853965.84</v>
      </c>
      <c r="G248" s="8">
        <f>+Données!J248</f>
        <v>417082.16</v>
      </c>
      <c r="H248" s="8">
        <f>Données!U248</f>
        <v>-45201.77</v>
      </c>
      <c r="I248" s="198">
        <f>Données!V248</f>
        <v>0</v>
      </c>
      <c r="J248" s="198">
        <f>Données!W248</f>
        <v>-17655.37</v>
      </c>
      <c r="K248" s="8">
        <f>+Données!Q248</f>
        <v>78734.740000000005</v>
      </c>
      <c r="L248" s="411">
        <f t="shared" si="10"/>
        <v>9030201.8100000005</v>
      </c>
      <c r="M248" s="8">
        <f>+Données!F248</f>
        <v>0</v>
      </c>
      <c r="N248" s="8">
        <f>+Données!K248</f>
        <v>12287.95</v>
      </c>
      <c r="O248" s="8">
        <f>(Données!L248/Données!Y248)*1</f>
        <v>1049572.7466666668</v>
      </c>
      <c r="P248" s="411">
        <f t="shared" si="11"/>
        <v>10092062.506666666</v>
      </c>
      <c r="Q248" s="223">
        <f>+Données!X248</f>
        <v>81.5</v>
      </c>
      <c r="R248" s="411">
        <f t="shared" si="12"/>
        <v>123828.98781186093</v>
      </c>
    </row>
    <row r="249" spans="1:18" x14ac:dyDescent="0.25">
      <c r="A249" s="7">
        <f>Données!A249</f>
        <v>5842</v>
      </c>
      <c r="B249" s="27" t="str">
        <f>Données!B249</f>
        <v>Rossinière</v>
      </c>
      <c r="C249" s="8">
        <f>Données!C249+Données!D249</f>
        <v>1061928.52</v>
      </c>
      <c r="D249" s="8">
        <f>+Données!G249+Données!H249+Données!S249</f>
        <v>112593.7</v>
      </c>
      <c r="E249" s="8">
        <f>+Données!E249</f>
        <v>0</v>
      </c>
      <c r="F249" s="8">
        <f>+Données!I249</f>
        <v>44271.34</v>
      </c>
      <c r="G249" s="8">
        <f>+Données!J249</f>
        <v>17955.78</v>
      </c>
      <c r="H249" s="8">
        <f>Données!U249</f>
        <v>-2991.73</v>
      </c>
      <c r="I249" s="198">
        <f>Données!V249</f>
        <v>0</v>
      </c>
      <c r="J249" s="198">
        <f>Données!W249</f>
        <v>-49.67</v>
      </c>
      <c r="K249" s="8">
        <f>+Données!Q249</f>
        <v>2762.52</v>
      </c>
      <c r="L249" s="411">
        <f t="shared" si="10"/>
        <v>1236470.4600000002</v>
      </c>
      <c r="M249" s="8">
        <f>+Données!F249</f>
        <v>0</v>
      </c>
      <c r="N249" s="8">
        <f>+Données!K249</f>
        <v>687.35</v>
      </c>
      <c r="O249" s="8">
        <f>(Données!L249/Données!Y249)*1</f>
        <v>97253.933333333334</v>
      </c>
      <c r="P249" s="411">
        <f t="shared" si="11"/>
        <v>1334411.7433333336</v>
      </c>
      <c r="Q249" s="223">
        <f>+Données!X249</f>
        <v>81</v>
      </c>
      <c r="R249" s="411">
        <f t="shared" si="12"/>
        <v>16474.219053497945</v>
      </c>
    </row>
    <row r="250" spans="1:18" x14ac:dyDescent="0.25">
      <c r="A250" s="7">
        <f>Données!A250</f>
        <v>5843</v>
      </c>
      <c r="B250" s="27" t="str">
        <f>Données!B250</f>
        <v>Rougemont</v>
      </c>
      <c r="C250" s="8">
        <f>Données!C250+Données!D250</f>
        <v>4842814.38</v>
      </c>
      <c r="D250" s="8">
        <f>+Données!G250+Données!H250+Données!S250</f>
        <v>156589.12</v>
      </c>
      <c r="E250" s="8">
        <f>+Données!E250</f>
        <v>0</v>
      </c>
      <c r="F250" s="8">
        <f>+Données!I250</f>
        <v>1159560.9099999999</v>
      </c>
      <c r="G250" s="8">
        <f>+Données!J250</f>
        <v>119291.12</v>
      </c>
      <c r="H250" s="8">
        <f>Données!U250</f>
        <v>-18068.29</v>
      </c>
      <c r="I250" s="198">
        <f>Données!V250</f>
        <v>0</v>
      </c>
      <c r="J250" s="198">
        <f>Données!W250</f>
        <v>-19678.599999999999</v>
      </c>
      <c r="K250" s="8">
        <f>+Données!Q250</f>
        <v>0</v>
      </c>
      <c r="L250" s="411">
        <f t="shared" si="10"/>
        <v>6240508.6400000006</v>
      </c>
      <c r="M250" s="8">
        <f>+Données!F250</f>
        <v>0</v>
      </c>
      <c r="N250" s="8">
        <f>+Données!K250</f>
        <v>30953.05</v>
      </c>
      <c r="O250" s="8">
        <f>(Données!L250/Données!Y250)*1</f>
        <v>817747.43333333323</v>
      </c>
      <c r="P250" s="411">
        <f t="shared" si="11"/>
        <v>7089209.123333334</v>
      </c>
      <c r="Q250" s="223">
        <f>+Données!X250</f>
        <v>79</v>
      </c>
      <c r="R250" s="411">
        <f t="shared" si="12"/>
        <v>89736.824345991568</v>
      </c>
    </row>
    <row r="251" spans="1:18" x14ac:dyDescent="0.25">
      <c r="A251" s="7">
        <f>Données!A251</f>
        <v>5851</v>
      </c>
      <c r="B251" s="27" t="str">
        <f>Données!B251</f>
        <v>Allaman</v>
      </c>
      <c r="C251" s="8">
        <f>Données!C251+Données!D251</f>
        <v>1117482.56</v>
      </c>
      <c r="D251" s="8">
        <f>+Données!G251+Données!H251+Données!S251</f>
        <v>123314.63</v>
      </c>
      <c r="E251" s="8">
        <f>+Données!E251</f>
        <v>0</v>
      </c>
      <c r="F251" s="8">
        <f>+Données!I251</f>
        <v>79456.45</v>
      </c>
      <c r="G251" s="8">
        <f>+Données!J251</f>
        <v>70206.69</v>
      </c>
      <c r="H251" s="8">
        <f>Données!U251</f>
        <v>-22469.91</v>
      </c>
      <c r="I251" s="198">
        <f>Données!V251</f>
        <v>0</v>
      </c>
      <c r="J251" s="198">
        <f>Données!W251</f>
        <v>-899.9</v>
      </c>
      <c r="K251" s="8">
        <f>+Données!Q251</f>
        <v>522.39</v>
      </c>
      <c r="L251" s="411">
        <f t="shared" si="10"/>
        <v>1367612.91</v>
      </c>
      <c r="M251" s="8">
        <f>+Données!F251</f>
        <v>0</v>
      </c>
      <c r="N251" s="8">
        <f>+Données!K251</f>
        <v>10918.4</v>
      </c>
      <c r="O251" s="8">
        <f>(Données!L251/Données!Y251)*1</f>
        <v>223833.41666666666</v>
      </c>
      <c r="P251" s="411">
        <f t="shared" si="11"/>
        <v>1602364.7266666666</v>
      </c>
      <c r="Q251" s="223">
        <f>+Données!X251</f>
        <v>65</v>
      </c>
      <c r="R251" s="411">
        <f t="shared" si="12"/>
        <v>24651.765025641023</v>
      </c>
    </row>
    <row r="252" spans="1:18" x14ac:dyDescent="0.25">
      <c r="A252" s="7">
        <f>Données!A252</f>
        <v>5852</v>
      </c>
      <c r="B252" s="27" t="str">
        <f>Données!B252</f>
        <v>Bursinel</v>
      </c>
      <c r="C252" s="8">
        <f>Données!C252+Données!D252</f>
        <v>1729325.43</v>
      </c>
      <c r="D252" s="8">
        <f>+Données!G252+Données!H252+Données!S252</f>
        <v>48750.65</v>
      </c>
      <c r="E252" s="8">
        <f>+Données!E252</f>
        <v>0</v>
      </c>
      <c r="F252" s="8">
        <f>+Données!I252</f>
        <v>249327.18</v>
      </c>
      <c r="G252" s="8">
        <f>+Données!J252</f>
        <v>27293.119999999999</v>
      </c>
      <c r="H252" s="8">
        <f>Données!U252</f>
        <v>-16711.259999999998</v>
      </c>
      <c r="I252" s="198">
        <f>Données!V252</f>
        <v>0</v>
      </c>
      <c r="J252" s="198">
        <f>Données!W252</f>
        <v>-33207.4</v>
      </c>
      <c r="K252" s="8">
        <f>+Données!Q252</f>
        <v>0</v>
      </c>
      <c r="L252" s="411">
        <f t="shared" si="10"/>
        <v>2004777.72</v>
      </c>
      <c r="M252" s="8">
        <f>+Données!F252</f>
        <v>0</v>
      </c>
      <c r="N252" s="8">
        <f>+Données!K252</f>
        <v>11969.35</v>
      </c>
      <c r="O252" s="8">
        <f>(Données!L252/Données!Y252)*1</f>
        <v>193527.80000000002</v>
      </c>
      <c r="P252" s="411">
        <f t="shared" si="11"/>
        <v>2210274.87</v>
      </c>
      <c r="Q252" s="223">
        <f>+Données!X252</f>
        <v>62</v>
      </c>
      <c r="R252" s="411">
        <f t="shared" si="12"/>
        <v>35649.594677419358</v>
      </c>
    </row>
    <row r="253" spans="1:18" x14ac:dyDescent="0.25">
      <c r="A253" s="7">
        <f>Données!A253</f>
        <v>5853</v>
      </c>
      <c r="B253" s="27" t="str">
        <f>Données!B253</f>
        <v>Bursins</v>
      </c>
      <c r="C253" s="8">
        <f>Données!C253+Données!D253</f>
        <v>2809190.6999999997</v>
      </c>
      <c r="D253" s="8">
        <f>+Données!G253+Données!H253+Données!S253</f>
        <v>46073.380000000005</v>
      </c>
      <c r="E253" s="8">
        <f>+Données!E253</f>
        <v>0</v>
      </c>
      <c r="F253" s="8">
        <f>+Données!I253</f>
        <v>323945.40000000002</v>
      </c>
      <c r="G253" s="8">
        <f>+Données!J253</f>
        <v>-18891.330000000002</v>
      </c>
      <c r="H253" s="8">
        <f>Données!U253</f>
        <v>-21887.99</v>
      </c>
      <c r="I253" s="198">
        <f>Données!V253</f>
        <v>0</v>
      </c>
      <c r="J253" s="198">
        <f>Données!W253</f>
        <v>-1991.1</v>
      </c>
      <c r="K253" s="8">
        <f>+Données!Q253</f>
        <v>1673.99</v>
      </c>
      <c r="L253" s="411">
        <f t="shared" si="10"/>
        <v>3138113.0499999993</v>
      </c>
      <c r="M253" s="8">
        <f>+Données!F253</f>
        <v>0</v>
      </c>
      <c r="N253" s="8">
        <f>+Données!K253</f>
        <v>12308.25</v>
      </c>
      <c r="O253" s="8">
        <f>(Données!L253/Données!Y253)*1</f>
        <v>224651.2</v>
      </c>
      <c r="P253" s="411">
        <f t="shared" si="11"/>
        <v>3375072.4999999995</v>
      </c>
      <c r="Q253" s="223">
        <f>+Données!X253</f>
        <v>71</v>
      </c>
      <c r="R253" s="411">
        <f t="shared" si="12"/>
        <v>47536.23239436619</v>
      </c>
    </row>
    <row r="254" spans="1:18" x14ac:dyDescent="0.25">
      <c r="A254" s="7">
        <f>Données!A254</f>
        <v>5854</v>
      </c>
      <c r="B254" s="27" t="str">
        <f>Données!B254</f>
        <v>Burtigny</v>
      </c>
      <c r="C254" s="8">
        <f>Données!C254+Données!D254</f>
        <v>1132330.56</v>
      </c>
      <c r="D254" s="8">
        <f>+Données!G254+Données!H254+Données!S254</f>
        <v>5540.6900000000005</v>
      </c>
      <c r="E254" s="8">
        <f>+Données!E254</f>
        <v>0</v>
      </c>
      <c r="F254" s="8">
        <f>+Données!I254</f>
        <v>0</v>
      </c>
      <c r="G254" s="8">
        <f>+Données!J254</f>
        <v>-5462.51</v>
      </c>
      <c r="H254" s="8">
        <f>Données!U254</f>
        <v>-15984.02</v>
      </c>
      <c r="I254" s="198">
        <f>Données!V254</f>
        <v>0</v>
      </c>
      <c r="J254" s="198">
        <f>Données!W254</f>
        <v>-703.74</v>
      </c>
      <c r="K254" s="8">
        <f>+Données!Q254</f>
        <v>0</v>
      </c>
      <c r="L254" s="411">
        <f t="shared" si="10"/>
        <v>1115720.98</v>
      </c>
      <c r="M254" s="8">
        <f>+Données!F254</f>
        <v>0</v>
      </c>
      <c r="N254" s="8">
        <f>+Données!K254</f>
        <v>3396.9</v>
      </c>
      <c r="O254" s="8">
        <f>(Données!L254/Données!Y254)*1</f>
        <v>78861.46666666666</v>
      </c>
      <c r="P254" s="411">
        <f t="shared" si="11"/>
        <v>1197979.3466666664</v>
      </c>
      <c r="Q254" s="223">
        <f>+Données!X254</f>
        <v>78.5</v>
      </c>
      <c r="R254" s="411">
        <f t="shared" si="12"/>
        <v>15260.883397027597</v>
      </c>
    </row>
    <row r="255" spans="1:18" x14ac:dyDescent="0.25">
      <c r="A255" s="7">
        <f>Données!A255</f>
        <v>5855</v>
      </c>
      <c r="B255" s="27" t="str">
        <f>Données!B255</f>
        <v>Dully</v>
      </c>
      <c r="C255" s="8">
        <f>Données!C255+Données!D255</f>
        <v>3052470.86</v>
      </c>
      <c r="D255" s="8">
        <f>+Données!G255+Données!H255+Données!S255</f>
        <v>38051.31</v>
      </c>
      <c r="E255" s="8">
        <f>+Données!E255</f>
        <v>0</v>
      </c>
      <c r="F255" s="8">
        <f>+Données!I255</f>
        <v>901132.28</v>
      </c>
      <c r="G255" s="8">
        <f>+Données!J255</f>
        <v>-6793.38</v>
      </c>
      <c r="H255" s="8">
        <f>Données!U255</f>
        <v>-1344.77</v>
      </c>
      <c r="I255" s="198">
        <f>Données!V255</f>
        <v>0</v>
      </c>
      <c r="J255" s="198">
        <f>Données!W255</f>
        <v>-18880.830000000002</v>
      </c>
      <c r="K255" s="8">
        <f>+Données!Q255</f>
        <v>0</v>
      </c>
      <c r="L255" s="411">
        <f t="shared" si="10"/>
        <v>3964635.47</v>
      </c>
      <c r="M255" s="8">
        <f>+Données!F255</f>
        <v>0</v>
      </c>
      <c r="N255" s="8">
        <f>+Données!K255</f>
        <v>24306</v>
      </c>
      <c r="O255" s="8">
        <f>(Données!L255/Données!Y255)*1</f>
        <v>387368.7</v>
      </c>
      <c r="P255" s="411">
        <f t="shared" si="11"/>
        <v>4376310.17</v>
      </c>
      <c r="Q255" s="223">
        <f>+Données!X255</f>
        <v>53</v>
      </c>
      <c r="R255" s="411">
        <f t="shared" si="12"/>
        <v>82571.89</v>
      </c>
    </row>
    <row r="256" spans="1:18" x14ac:dyDescent="0.25">
      <c r="A256" s="7">
        <f>Données!A256</f>
        <v>5856</v>
      </c>
      <c r="B256" s="27" t="str">
        <f>Données!B256</f>
        <v>Essertines-sur-Rolle</v>
      </c>
      <c r="C256" s="8">
        <f>Données!C256+Données!D256</f>
        <v>1992218.7400000002</v>
      </c>
      <c r="D256" s="8">
        <f>+Données!G256+Données!H256+Données!S256</f>
        <v>6407.23</v>
      </c>
      <c r="E256" s="8">
        <f>+Données!E256</f>
        <v>0</v>
      </c>
      <c r="F256" s="8">
        <f>+Données!I256</f>
        <v>211283.6</v>
      </c>
      <c r="G256" s="8">
        <f>+Données!J256</f>
        <v>23463.119999999999</v>
      </c>
      <c r="H256" s="8">
        <f>Données!U256</f>
        <v>-10033.66</v>
      </c>
      <c r="I256" s="198">
        <f>Données!V256</f>
        <v>0</v>
      </c>
      <c r="J256" s="198">
        <f>Données!W256</f>
        <v>-1888.65</v>
      </c>
      <c r="K256" s="8">
        <f>+Données!Q256</f>
        <v>0</v>
      </c>
      <c r="L256" s="411">
        <f t="shared" si="10"/>
        <v>2221450.3800000004</v>
      </c>
      <c r="M256" s="8">
        <f>+Données!F256</f>
        <v>0</v>
      </c>
      <c r="N256" s="8">
        <f>+Données!K256</f>
        <v>1841.65</v>
      </c>
      <c r="O256" s="8">
        <f>(Données!L256/Données!Y256)*1</f>
        <v>201352</v>
      </c>
      <c r="P256" s="411">
        <f t="shared" si="11"/>
        <v>2424644.0300000003</v>
      </c>
      <c r="Q256" s="223">
        <f>+Données!X256</f>
        <v>66.5</v>
      </c>
      <c r="R256" s="411">
        <f t="shared" si="12"/>
        <v>36460.812481203015</v>
      </c>
    </row>
    <row r="257" spans="1:18" x14ac:dyDescent="0.25">
      <c r="A257" s="7">
        <f>Données!A257</f>
        <v>5857</v>
      </c>
      <c r="B257" s="27" t="str">
        <f>Données!B257</f>
        <v>Gilly</v>
      </c>
      <c r="C257" s="8">
        <f>Données!C257+Données!D257</f>
        <v>5197056.59</v>
      </c>
      <c r="D257" s="8">
        <f>+Données!G257+Données!H257+Données!S257</f>
        <v>-128263.25</v>
      </c>
      <c r="E257" s="8">
        <f>+Données!E257</f>
        <v>0</v>
      </c>
      <c r="F257" s="8">
        <f>+Données!I257</f>
        <v>0</v>
      </c>
      <c r="G257" s="8">
        <f>+Données!J257</f>
        <v>122367.82</v>
      </c>
      <c r="H257" s="8">
        <f>Données!U257</f>
        <v>-32334.42</v>
      </c>
      <c r="I257" s="198">
        <f>Données!V257</f>
        <v>0</v>
      </c>
      <c r="J257" s="198">
        <f>Données!W257</f>
        <v>-858.55</v>
      </c>
      <c r="K257" s="8">
        <f>+Données!Q257</f>
        <v>13.25</v>
      </c>
      <c r="L257" s="411">
        <f t="shared" si="10"/>
        <v>5157981.4400000004</v>
      </c>
      <c r="M257" s="8">
        <f>+Données!F257</f>
        <v>0</v>
      </c>
      <c r="N257" s="8">
        <f>+Données!K257</f>
        <v>18053.400000000001</v>
      </c>
      <c r="O257" s="8">
        <f>(Données!L257/Données!Y257)*1</f>
        <v>424415.65</v>
      </c>
      <c r="P257" s="411">
        <f t="shared" si="11"/>
        <v>5600450.4900000012</v>
      </c>
      <c r="Q257" s="223">
        <f>+Données!X257</f>
        <v>64.5</v>
      </c>
      <c r="R257" s="411">
        <f t="shared" si="12"/>
        <v>86828.689767441872</v>
      </c>
    </row>
    <row r="258" spans="1:18" x14ac:dyDescent="0.25">
      <c r="A258" s="7">
        <f>Données!A258</f>
        <v>5858</v>
      </c>
      <c r="B258" s="27" t="str">
        <f>Données!B258</f>
        <v>Luins</v>
      </c>
      <c r="C258" s="8">
        <f>Données!C258+Données!D258</f>
        <v>2297225.67</v>
      </c>
      <c r="D258" s="8">
        <f>+Données!G258+Données!H258+Données!S258</f>
        <v>-130.83000000000004</v>
      </c>
      <c r="E258" s="8">
        <f>+Données!E258</f>
        <v>0</v>
      </c>
      <c r="F258" s="8">
        <f>+Données!I258</f>
        <v>9528</v>
      </c>
      <c r="G258" s="8">
        <f>+Données!J258</f>
        <v>-49788.35</v>
      </c>
      <c r="H258" s="8">
        <f>Données!U258</f>
        <v>-7650.13</v>
      </c>
      <c r="I258" s="198">
        <f>Données!V258</f>
        <v>0</v>
      </c>
      <c r="J258" s="198">
        <f>Données!W258</f>
        <v>-2228.8000000000002</v>
      </c>
      <c r="K258" s="8">
        <f>+Données!Q258</f>
        <v>0</v>
      </c>
      <c r="L258" s="411">
        <f t="shared" si="10"/>
        <v>2246955.56</v>
      </c>
      <c r="M258" s="8">
        <f>+Données!F258</f>
        <v>0</v>
      </c>
      <c r="N258" s="8">
        <f>+Données!K258</f>
        <v>1257.9000000000001</v>
      </c>
      <c r="O258" s="8">
        <f>(Données!L258/Données!Y258)*1</f>
        <v>159721.76666666666</v>
      </c>
      <c r="P258" s="411">
        <f t="shared" si="11"/>
        <v>2407935.2266666666</v>
      </c>
      <c r="Q258" s="223">
        <f>+Données!X258</f>
        <v>58.5</v>
      </c>
      <c r="R258" s="411">
        <f t="shared" si="12"/>
        <v>41161.285925925928</v>
      </c>
    </row>
    <row r="259" spans="1:18" x14ac:dyDescent="0.25">
      <c r="A259" s="7">
        <f>Données!A259</f>
        <v>5859</v>
      </c>
      <c r="B259" s="27" t="str">
        <f>Données!B259</f>
        <v>Mont-sur-Rolle</v>
      </c>
      <c r="C259" s="8">
        <f>Données!C259+Données!D259</f>
        <v>8702186.8300000001</v>
      </c>
      <c r="D259" s="8">
        <f>+Données!G259+Données!H259+Données!S259</f>
        <v>313714.07999999996</v>
      </c>
      <c r="E259" s="8">
        <f>+Données!E259</f>
        <v>0</v>
      </c>
      <c r="F259" s="8">
        <f>+Données!I259</f>
        <v>327716.25</v>
      </c>
      <c r="G259" s="8">
        <f>+Données!J259</f>
        <v>65015.519999999997</v>
      </c>
      <c r="H259" s="8">
        <f>Données!U259</f>
        <v>-95986.17</v>
      </c>
      <c r="I259" s="198">
        <f>Données!V259</f>
        <v>0</v>
      </c>
      <c r="J259" s="198">
        <f>Données!W259</f>
        <v>-8201.41</v>
      </c>
      <c r="K259" s="8">
        <f>+Données!Q259</f>
        <v>48842.239999999998</v>
      </c>
      <c r="L259" s="411">
        <f t="shared" si="10"/>
        <v>9353287.3399999999</v>
      </c>
      <c r="M259" s="8">
        <f>+Données!F259</f>
        <v>0</v>
      </c>
      <c r="N259" s="8">
        <f>+Données!K259</f>
        <v>5880.6</v>
      </c>
      <c r="O259" s="8">
        <f>(Données!L259/Données!Y259)*1</f>
        <v>701543.95</v>
      </c>
      <c r="P259" s="411">
        <f t="shared" si="11"/>
        <v>10060711.889999999</v>
      </c>
      <c r="Q259" s="223">
        <f>+Données!X259</f>
        <v>63.5</v>
      </c>
      <c r="R259" s="411">
        <f t="shared" si="12"/>
        <v>158436.40771653541</v>
      </c>
    </row>
    <row r="260" spans="1:18" x14ac:dyDescent="0.25">
      <c r="A260" s="7">
        <f>Données!A260</f>
        <v>5860</v>
      </c>
      <c r="B260" s="27" t="str">
        <f>Données!B260</f>
        <v>Perroy</v>
      </c>
      <c r="C260" s="8">
        <f>Données!C260+Données!D260</f>
        <v>6763611.5099999998</v>
      </c>
      <c r="D260" s="8">
        <f>+Données!G260+Données!H260+Données!S260</f>
        <v>148405.67000000001</v>
      </c>
      <c r="E260" s="8">
        <f>+Données!E260</f>
        <v>0</v>
      </c>
      <c r="F260" s="8">
        <f>+Données!I260</f>
        <v>317639.3</v>
      </c>
      <c r="G260" s="8">
        <f>+Données!J260</f>
        <v>84515.83</v>
      </c>
      <c r="H260" s="8">
        <f>Données!U260</f>
        <v>-111920.79</v>
      </c>
      <c r="I260" s="198">
        <f>Données!V260</f>
        <v>0</v>
      </c>
      <c r="J260" s="198">
        <f>Données!W260</f>
        <v>-36858.93</v>
      </c>
      <c r="K260" s="8">
        <f>+Données!Q260</f>
        <v>0</v>
      </c>
      <c r="L260" s="411">
        <f t="shared" si="10"/>
        <v>7165392.5899999999</v>
      </c>
      <c r="M260" s="8">
        <f>+Données!F260</f>
        <v>0</v>
      </c>
      <c r="N260" s="8">
        <f>+Données!K260</f>
        <v>24838.400000000001</v>
      </c>
      <c r="O260" s="8">
        <f>(Données!L260/Données!Y260)*1</f>
        <v>553705.76923076925</v>
      </c>
      <c r="P260" s="411">
        <f t="shared" si="11"/>
        <v>7743936.7592307692</v>
      </c>
      <c r="Q260" s="223">
        <f>+Données!X260</f>
        <v>58.5</v>
      </c>
      <c r="R260" s="411">
        <f t="shared" si="12"/>
        <v>132374.98733727811</v>
      </c>
    </row>
    <row r="261" spans="1:18" x14ac:dyDescent="0.25">
      <c r="A261" s="7">
        <f>Données!A261</f>
        <v>5861</v>
      </c>
      <c r="B261" s="27" t="str">
        <f>Données!B261</f>
        <v>Rolle</v>
      </c>
      <c r="C261" s="8">
        <f>Données!C261+Données!D261</f>
        <v>18437097.23</v>
      </c>
      <c r="D261" s="8">
        <f>+Données!G261+Données!H261+Données!S261</f>
        <v>31333458.810000002</v>
      </c>
      <c r="E261" s="8">
        <f>+Données!E261</f>
        <v>0</v>
      </c>
      <c r="F261" s="8">
        <f>+Données!I261</f>
        <v>344467.67</v>
      </c>
      <c r="G261" s="8">
        <f>+Données!J261</f>
        <v>1339455.58</v>
      </c>
      <c r="H261" s="8">
        <f>Données!U261</f>
        <v>-97474.64</v>
      </c>
      <c r="I261" s="198">
        <f>Données!V261</f>
        <v>0</v>
      </c>
      <c r="J261" s="198">
        <f>Données!W261</f>
        <v>-228761.65</v>
      </c>
      <c r="K261" s="8">
        <f>+Données!Q261</f>
        <v>10425.290000000001</v>
      </c>
      <c r="L261" s="411">
        <f t="shared" si="10"/>
        <v>51138668.290000007</v>
      </c>
      <c r="M261" s="8">
        <f>+Données!F261</f>
        <v>0</v>
      </c>
      <c r="N261" s="8">
        <f>+Données!K261</f>
        <v>346635.6</v>
      </c>
      <c r="O261" s="8">
        <f>(Données!L261/Données!Y261)*1</f>
        <v>1916767.1</v>
      </c>
      <c r="P261" s="411">
        <f t="shared" si="11"/>
        <v>53402070.99000001</v>
      </c>
      <c r="Q261" s="223">
        <f>+Données!X261</f>
        <v>59.5</v>
      </c>
      <c r="R261" s="411">
        <f t="shared" si="12"/>
        <v>897513.79815126071</v>
      </c>
    </row>
    <row r="262" spans="1:18" x14ac:dyDescent="0.25">
      <c r="A262" s="7">
        <f>Données!A262</f>
        <v>5862</v>
      </c>
      <c r="B262" s="27" t="str">
        <f>Données!B262</f>
        <v>Tartegnin</v>
      </c>
      <c r="C262" s="8">
        <f>Données!C262+Données!D262</f>
        <v>707477.12</v>
      </c>
      <c r="D262" s="8">
        <f>+Données!G262+Données!H262+Données!S262</f>
        <v>11022.96</v>
      </c>
      <c r="E262" s="8">
        <f>+Données!E262</f>
        <v>0</v>
      </c>
      <c r="F262" s="8">
        <f>+Données!I262</f>
        <v>0</v>
      </c>
      <c r="G262" s="8">
        <f>+Données!J262</f>
        <v>56362.67</v>
      </c>
      <c r="H262" s="8">
        <f>Données!U262</f>
        <v>-6136.95</v>
      </c>
      <c r="I262" s="198">
        <f>Données!V262</f>
        <v>0</v>
      </c>
      <c r="J262" s="198">
        <f>Données!W262</f>
        <v>0</v>
      </c>
      <c r="K262" s="8">
        <f>+Données!Q262</f>
        <v>0</v>
      </c>
      <c r="L262" s="411">
        <f t="shared" si="10"/>
        <v>768725.8</v>
      </c>
      <c r="M262" s="8">
        <f>+Données!F262</f>
        <v>0</v>
      </c>
      <c r="N262" s="8">
        <f>+Données!K262</f>
        <v>0</v>
      </c>
      <c r="O262" s="8">
        <f>(Données!L262/Données!Y262)*1</f>
        <v>50622.5</v>
      </c>
      <c r="P262" s="411">
        <f t="shared" si="11"/>
        <v>819348.3</v>
      </c>
      <c r="Q262" s="223">
        <f>+Données!X262</f>
        <v>79</v>
      </c>
      <c r="R262" s="411">
        <f t="shared" si="12"/>
        <v>10371.497468354431</v>
      </c>
    </row>
    <row r="263" spans="1:18" x14ac:dyDescent="0.25">
      <c r="A263" s="7">
        <f>Données!A263</f>
        <v>5863</v>
      </c>
      <c r="B263" s="27" t="str">
        <f>Données!B263</f>
        <v>Vinzel</v>
      </c>
      <c r="C263" s="8">
        <f>Données!C263+Données!D263</f>
        <v>1343478.66</v>
      </c>
      <c r="D263" s="8">
        <f>+Données!G263+Données!H263+Données!S263</f>
        <v>89621.53</v>
      </c>
      <c r="E263" s="8">
        <f>+Données!E263</f>
        <v>0</v>
      </c>
      <c r="F263" s="8">
        <f>+Données!I263</f>
        <v>42873.3</v>
      </c>
      <c r="G263" s="8">
        <f>+Données!J263</f>
        <v>12152.93</v>
      </c>
      <c r="H263" s="8">
        <f>Données!U263</f>
        <v>-1314.72</v>
      </c>
      <c r="I263" s="198">
        <f>Données!V263</f>
        <v>0</v>
      </c>
      <c r="J263" s="198">
        <f>Données!W263</f>
        <v>-1373.95</v>
      </c>
      <c r="K263" s="8">
        <f>+Données!Q263</f>
        <v>1074.53</v>
      </c>
      <c r="L263" s="411">
        <f t="shared" ref="L263:L305" si="13">SUM(C263:K263)</f>
        <v>1486512.28</v>
      </c>
      <c r="M263" s="8">
        <f>+Données!F263</f>
        <v>0</v>
      </c>
      <c r="N263" s="8">
        <f>+Données!K263</f>
        <v>2534.9</v>
      </c>
      <c r="O263" s="8">
        <f>(Données!L263/Données!Y263)*1</f>
        <v>96302.1</v>
      </c>
      <c r="P263" s="411">
        <f t="shared" ref="P263:P305" si="14">SUM(L263:O263)</f>
        <v>1585349.28</v>
      </c>
      <c r="Q263" s="223">
        <f>+Données!X263</f>
        <v>67</v>
      </c>
      <c r="R263" s="411">
        <f t="shared" ref="R263:R305" si="15">P263/Q263</f>
        <v>23661.929552238806</v>
      </c>
    </row>
    <row r="264" spans="1:18" x14ac:dyDescent="0.25">
      <c r="A264" s="7">
        <f>Données!A264</f>
        <v>5871</v>
      </c>
      <c r="B264" s="27" t="str">
        <f>Données!B264</f>
        <v>L'Abbaye</v>
      </c>
      <c r="C264" s="8">
        <f>Données!C264+Données!D264</f>
        <v>3432361.56</v>
      </c>
      <c r="D264" s="8">
        <f>+Données!G264+Données!H264+Données!S264</f>
        <v>90975.71</v>
      </c>
      <c r="E264" s="8">
        <f>+Données!E264</f>
        <v>0</v>
      </c>
      <c r="F264" s="8">
        <f>+Données!I264</f>
        <v>0</v>
      </c>
      <c r="G264" s="8">
        <f>+Données!J264</f>
        <v>114138.05</v>
      </c>
      <c r="H264" s="8">
        <f>Données!U264</f>
        <v>-63747.31</v>
      </c>
      <c r="I264" s="198">
        <f>Données!V264</f>
        <v>0</v>
      </c>
      <c r="J264" s="198">
        <f>Données!W264</f>
        <v>-240.08</v>
      </c>
      <c r="K264" s="8">
        <f>+Données!Q264</f>
        <v>9753.34</v>
      </c>
      <c r="L264" s="411">
        <f t="shared" si="13"/>
        <v>3583241.2699999996</v>
      </c>
      <c r="M264" s="8">
        <f>+Données!F264</f>
        <v>0</v>
      </c>
      <c r="N264" s="8">
        <f>+Données!K264</f>
        <v>5570.65</v>
      </c>
      <c r="O264" s="8">
        <f>(Données!L264/Données!Y264)*1</f>
        <v>294470.8</v>
      </c>
      <c r="P264" s="411">
        <f t="shared" si="14"/>
        <v>3883282.7199999993</v>
      </c>
      <c r="Q264" s="223">
        <f>+Données!X264</f>
        <v>77.3</v>
      </c>
      <c r="R264" s="411">
        <f t="shared" si="15"/>
        <v>50236.516429495467</v>
      </c>
    </row>
    <row r="265" spans="1:18" x14ac:dyDescent="0.25">
      <c r="A265" s="7">
        <f>Données!A265</f>
        <v>5872</v>
      </c>
      <c r="B265" s="27" t="str">
        <f>Données!B265</f>
        <v>Le Chenit</v>
      </c>
      <c r="C265" s="8">
        <f>Données!C265+Données!D265</f>
        <v>7759464.1499999994</v>
      </c>
      <c r="D265" s="8">
        <f>+Données!G265+Données!H265+Données!S265</f>
        <v>12124826.66</v>
      </c>
      <c r="E265" s="8">
        <f>+Données!E265</f>
        <v>0</v>
      </c>
      <c r="F265" s="8">
        <f>+Données!I265</f>
        <v>0</v>
      </c>
      <c r="G265" s="8">
        <f>+Données!J265</f>
        <v>568916.32999999996</v>
      </c>
      <c r="H265" s="8">
        <f>Données!U265</f>
        <v>-132586.73000000001</v>
      </c>
      <c r="I265" s="198">
        <f>Données!V265</f>
        <v>0</v>
      </c>
      <c r="J265" s="198">
        <f>Données!W265</f>
        <v>-8147.58</v>
      </c>
      <c r="K265" s="8">
        <f>+Données!Q265</f>
        <v>6210.09</v>
      </c>
      <c r="L265" s="411">
        <f t="shared" si="13"/>
        <v>20318682.919999998</v>
      </c>
      <c r="M265" s="8">
        <f>+Données!F265</f>
        <v>0</v>
      </c>
      <c r="N265" s="8">
        <f>+Données!K265</f>
        <v>66792.75</v>
      </c>
      <c r="O265" s="8">
        <f>(Données!L265/Données!Y265)*1</f>
        <v>803935.1</v>
      </c>
      <c r="P265" s="411">
        <f t="shared" si="14"/>
        <v>21189410.77</v>
      </c>
      <c r="Q265" s="223">
        <f>+Données!X265</f>
        <v>66.83</v>
      </c>
      <c r="R265" s="411">
        <f t="shared" si="15"/>
        <v>317064.3538829867</v>
      </c>
    </row>
    <row r="266" spans="1:18" x14ac:dyDescent="0.25">
      <c r="A266" s="7">
        <f>Données!A266</f>
        <v>5873</v>
      </c>
      <c r="B266" s="27" t="str">
        <f>Données!B266</f>
        <v>Le Lieu</v>
      </c>
      <c r="C266" s="8">
        <f>Données!C266+Données!D266</f>
        <v>1970893.71</v>
      </c>
      <c r="D266" s="8">
        <f>+Données!G266+Données!H266+Données!S266</f>
        <v>311903.69</v>
      </c>
      <c r="E266" s="8">
        <f>+Données!E266</f>
        <v>0</v>
      </c>
      <c r="F266" s="8">
        <f>+Données!I266</f>
        <v>0</v>
      </c>
      <c r="G266" s="8">
        <f>+Données!J266</f>
        <v>57658.89</v>
      </c>
      <c r="H266" s="8">
        <f>Données!U266</f>
        <v>-31339.03</v>
      </c>
      <c r="I266" s="198">
        <f>Données!V266</f>
        <v>0</v>
      </c>
      <c r="J266" s="198">
        <f>Données!W266</f>
        <v>-421.75</v>
      </c>
      <c r="K266" s="8">
        <f>+Données!Q266</f>
        <v>4338.42</v>
      </c>
      <c r="L266" s="411">
        <f t="shared" si="13"/>
        <v>2313033.9300000002</v>
      </c>
      <c r="M266" s="8">
        <f>+Données!F266</f>
        <v>0</v>
      </c>
      <c r="N266" s="8">
        <f>+Données!K266</f>
        <v>0</v>
      </c>
      <c r="O266" s="8">
        <f>(Données!L266/Données!Y266)*1</f>
        <v>151457.875</v>
      </c>
      <c r="P266" s="411">
        <f t="shared" si="14"/>
        <v>2464491.8050000002</v>
      </c>
      <c r="Q266" s="223">
        <f>+Données!X266</f>
        <v>70</v>
      </c>
      <c r="R266" s="411">
        <f t="shared" si="15"/>
        <v>35207.025785714286</v>
      </c>
    </row>
    <row r="267" spans="1:18" x14ac:dyDescent="0.25">
      <c r="A267" s="7">
        <f>Données!A267</f>
        <v>5882</v>
      </c>
      <c r="B267" s="27" t="str">
        <f>Données!B267</f>
        <v>Chardonne</v>
      </c>
      <c r="C267" s="8">
        <f>Données!C267+Données!D267</f>
        <v>10667214.68</v>
      </c>
      <c r="D267" s="8">
        <f>+Données!G267+Données!H267+Données!S267</f>
        <v>149005.86000000002</v>
      </c>
      <c r="E267" s="8">
        <f>+Données!E267</f>
        <v>0</v>
      </c>
      <c r="F267" s="8">
        <f>+Données!I267</f>
        <v>1150791.94</v>
      </c>
      <c r="G267" s="8">
        <f>+Données!J267</f>
        <v>700760.93</v>
      </c>
      <c r="H267" s="8">
        <f>Données!U267</f>
        <v>-59054.11</v>
      </c>
      <c r="I267" s="198">
        <f>Données!V267</f>
        <v>0</v>
      </c>
      <c r="J267" s="198">
        <f>Données!W267</f>
        <v>-16408.09</v>
      </c>
      <c r="K267" s="8">
        <f>+Données!Q267</f>
        <v>19119.43</v>
      </c>
      <c r="L267" s="411">
        <f t="shared" si="13"/>
        <v>12611430.639999999</v>
      </c>
      <c r="M267" s="8">
        <f>+Données!F267</f>
        <v>0</v>
      </c>
      <c r="N267" s="8">
        <f>+Données!K267</f>
        <v>67255.75</v>
      </c>
      <c r="O267" s="8">
        <f>(Données!L267/Données!Y267)*1</f>
        <v>1040784.14</v>
      </c>
      <c r="P267" s="411">
        <f t="shared" si="14"/>
        <v>13719470.529999999</v>
      </c>
      <c r="Q267" s="223">
        <f>+Données!X267</f>
        <v>68</v>
      </c>
      <c r="R267" s="411">
        <f t="shared" si="15"/>
        <v>201756.91955882352</v>
      </c>
    </row>
    <row r="268" spans="1:18" x14ac:dyDescent="0.25">
      <c r="A268" s="7">
        <f>Données!A268</f>
        <v>5883</v>
      </c>
      <c r="B268" s="27" t="str">
        <f>Données!B268</f>
        <v>Corseaux</v>
      </c>
      <c r="C268" s="8">
        <f>Données!C268+Données!D268</f>
        <v>10912376.129999999</v>
      </c>
      <c r="D268" s="8">
        <f>+Données!G268+Données!H268+Données!S268</f>
        <v>91571.040000000008</v>
      </c>
      <c r="E268" s="8">
        <f>+Données!E268</f>
        <v>0</v>
      </c>
      <c r="F268" s="8">
        <f>+Données!I268</f>
        <v>473368.28</v>
      </c>
      <c r="G268" s="8">
        <f>+Données!J268</f>
        <v>4940.47</v>
      </c>
      <c r="H268" s="8">
        <f>Données!U268</f>
        <v>-23324.94</v>
      </c>
      <c r="I268" s="198">
        <f>Données!V268</f>
        <v>0</v>
      </c>
      <c r="J268" s="198">
        <f>Données!W268</f>
        <v>-9731.92</v>
      </c>
      <c r="K268" s="8">
        <f>+Données!Q268</f>
        <v>12807.99</v>
      </c>
      <c r="L268" s="411">
        <f t="shared" si="13"/>
        <v>11462007.049999999</v>
      </c>
      <c r="M268" s="8">
        <f>+Données!F268</f>
        <v>0</v>
      </c>
      <c r="N268" s="8">
        <f>+Données!K268</f>
        <v>20863.8</v>
      </c>
      <c r="O268" s="8">
        <f>(Données!L268/Données!Y268)*1</f>
        <v>727626.3</v>
      </c>
      <c r="P268" s="411">
        <f t="shared" si="14"/>
        <v>12210497.15</v>
      </c>
      <c r="Q268" s="223">
        <f>+Données!X268</f>
        <v>67.5</v>
      </c>
      <c r="R268" s="411">
        <f t="shared" si="15"/>
        <v>180896.25407407407</v>
      </c>
    </row>
    <row r="269" spans="1:18" x14ac:dyDescent="0.25">
      <c r="A269" s="7">
        <f>Données!A269</f>
        <v>5884</v>
      </c>
      <c r="B269" s="27" t="str">
        <f>Données!B269</f>
        <v>Corsier-sur-Vevey</v>
      </c>
      <c r="C269" s="8">
        <f>Données!C269+Données!D269</f>
        <v>6137684.6799999997</v>
      </c>
      <c r="D269" s="8">
        <f>+Données!G269+Données!H269+Données!S269</f>
        <v>905518.64999999991</v>
      </c>
      <c r="E269" s="8">
        <f>+Données!E269</f>
        <v>0</v>
      </c>
      <c r="F269" s="8">
        <f>+Données!I269</f>
        <v>30676.95</v>
      </c>
      <c r="G269" s="8">
        <f>+Données!J269</f>
        <v>194817.97</v>
      </c>
      <c r="H269" s="8">
        <f>Données!U269</f>
        <v>-38609.71</v>
      </c>
      <c r="I269" s="198">
        <f>Données!V269</f>
        <v>0</v>
      </c>
      <c r="J269" s="198">
        <f>Données!W269</f>
        <v>-3866.58</v>
      </c>
      <c r="K269" s="8">
        <f>+Données!Q269</f>
        <v>58543.24</v>
      </c>
      <c r="L269" s="411">
        <f t="shared" si="13"/>
        <v>7284765.2000000002</v>
      </c>
      <c r="M269" s="8">
        <f>+Données!F269</f>
        <v>0</v>
      </c>
      <c r="N269" s="8">
        <f>+Données!K269</f>
        <v>169043.45</v>
      </c>
      <c r="O269" s="8">
        <f>(Données!L269/Données!Y269)*1</f>
        <v>805498.83333333337</v>
      </c>
      <c r="P269" s="411">
        <f t="shared" si="14"/>
        <v>8259307.4833333334</v>
      </c>
      <c r="Q269" s="223">
        <f>+Données!X269</f>
        <v>64.5</v>
      </c>
      <c r="R269" s="411">
        <f t="shared" si="15"/>
        <v>128051.27881136951</v>
      </c>
    </row>
    <row r="270" spans="1:18" x14ac:dyDescent="0.25">
      <c r="A270" s="7">
        <f>Données!A270</f>
        <v>5885</v>
      </c>
      <c r="B270" s="27" t="str">
        <f>Données!B270</f>
        <v>Jongny</v>
      </c>
      <c r="C270" s="8">
        <f>Données!C270+Données!D270</f>
        <v>6199820.9299999997</v>
      </c>
      <c r="D270" s="8">
        <f>+Données!G270+Données!H270+Données!S270</f>
        <v>231663.6</v>
      </c>
      <c r="E270" s="8">
        <f>+Données!E270</f>
        <v>0</v>
      </c>
      <c r="F270" s="8">
        <f>+Données!I270</f>
        <v>196351.71</v>
      </c>
      <c r="G270" s="8">
        <f>+Données!J270</f>
        <v>130817.43</v>
      </c>
      <c r="H270" s="8">
        <f>Données!U270</f>
        <v>-23195.72</v>
      </c>
      <c r="I270" s="198">
        <f>Données!V270</f>
        <v>0</v>
      </c>
      <c r="J270" s="198">
        <f>Données!W270</f>
        <v>-2175.87</v>
      </c>
      <c r="K270" s="8">
        <f>+Données!Q270</f>
        <v>0</v>
      </c>
      <c r="L270" s="411">
        <f t="shared" si="13"/>
        <v>6733282.0799999991</v>
      </c>
      <c r="M270" s="8">
        <f>+Données!F270</f>
        <v>0</v>
      </c>
      <c r="N270" s="8">
        <f>+Données!K270</f>
        <v>3306.65</v>
      </c>
      <c r="O270" s="8">
        <f>(Données!L270/Données!Y270)*1</f>
        <v>497760.95833333337</v>
      </c>
      <c r="P270" s="411">
        <f t="shared" si="14"/>
        <v>7234349.6883333325</v>
      </c>
      <c r="Q270" s="223">
        <f>+Données!X270</f>
        <v>69.5</v>
      </c>
      <c r="R270" s="411">
        <f t="shared" si="15"/>
        <v>104091.36242206233</v>
      </c>
    </row>
    <row r="271" spans="1:18" x14ac:dyDescent="0.25">
      <c r="A271" s="7">
        <f>Données!A271</f>
        <v>5886</v>
      </c>
      <c r="B271" s="27" t="str">
        <f>Données!B271</f>
        <v>Montreux</v>
      </c>
      <c r="C271" s="8">
        <f>Données!C271+Données!D271</f>
        <v>57225438.199999996</v>
      </c>
      <c r="D271" s="8">
        <f>+Données!G271+Données!H271+Données!S271</f>
        <v>4425346.0500000007</v>
      </c>
      <c r="E271" s="8">
        <f>+Données!E271</f>
        <v>0</v>
      </c>
      <c r="F271" s="8">
        <f>+Données!I271</f>
        <v>3915210.38</v>
      </c>
      <c r="G271" s="8">
        <f>+Données!J271</f>
        <v>2357491.62</v>
      </c>
      <c r="H271" s="8">
        <f>Données!U271</f>
        <v>-2091798.36</v>
      </c>
      <c r="I271" s="198">
        <f>Données!V271</f>
        <v>0</v>
      </c>
      <c r="J271" s="198">
        <f>Données!W271</f>
        <v>-63535.86</v>
      </c>
      <c r="K271" s="8">
        <f>+Données!Q271</f>
        <v>1092404.32</v>
      </c>
      <c r="L271" s="411">
        <f t="shared" si="13"/>
        <v>66860556.350000001</v>
      </c>
      <c r="M271" s="8">
        <f>+Données!F271</f>
        <v>0</v>
      </c>
      <c r="N271" s="8">
        <f>+Données!K271</f>
        <v>774006.2</v>
      </c>
      <c r="O271" s="8">
        <f>(Données!L271/Données!Y271)*1</f>
        <v>7317764</v>
      </c>
      <c r="P271" s="411">
        <f t="shared" si="14"/>
        <v>74952326.549999997</v>
      </c>
      <c r="Q271" s="223">
        <f>+Données!X271</f>
        <v>65</v>
      </c>
      <c r="R271" s="411">
        <f t="shared" si="15"/>
        <v>1153112.7161538461</v>
      </c>
    </row>
    <row r="272" spans="1:18" x14ac:dyDescent="0.25">
      <c r="A272" s="7">
        <f>Données!A272</f>
        <v>5889</v>
      </c>
      <c r="B272" s="27" t="str">
        <f>Données!B272</f>
        <v>La Tour-de-Peilz</v>
      </c>
      <c r="C272" s="8">
        <f>Données!C272+Données!D272</f>
        <v>34238968.859999999</v>
      </c>
      <c r="D272" s="8">
        <f>+Données!G272+Données!H272+Données!S272</f>
        <v>7334658.3600000003</v>
      </c>
      <c r="E272" s="8">
        <f>+Données!E272</f>
        <v>0</v>
      </c>
      <c r="F272" s="8">
        <f>+Données!I272</f>
        <v>678936.31</v>
      </c>
      <c r="G272" s="8">
        <f>+Données!J272</f>
        <v>445309.48</v>
      </c>
      <c r="H272" s="8">
        <f>Données!U272</f>
        <v>-330764.75</v>
      </c>
      <c r="I272" s="198">
        <f>Données!V272</f>
        <v>0</v>
      </c>
      <c r="J272" s="198">
        <f>Données!W272</f>
        <v>-101064.1</v>
      </c>
      <c r="K272" s="8">
        <f>+Données!Q272</f>
        <v>206090.58</v>
      </c>
      <c r="L272" s="411">
        <f t="shared" si="13"/>
        <v>42472134.739999995</v>
      </c>
      <c r="M272" s="8">
        <f>+Données!F272</f>
        <v>0</v>
      </c>
      <c r="N272" s="8">
        <f>+Données!K272</f>
        <v>279936.90000000002</v>
      </c>
      <c r="O272" s="8">
        <f>(Données!L272/Données!Y272)*1</f>
        <v>2635407.791666667</v>
      </c>
      <c r="P272" s="411">
        <f t="shared" si="14"/>
        <v>45387479.431666657</v>
      </c>
      <c r="Q272" s="223">
        <f>+Données!X272</f>
        <v>64</v>
      </c>
      <c r="R272" s="411">
        <f t="shared" si="15"/>
        <v>709179.36611979152</v>
      </c>
    </row>
    <row r="273" spans="1:18" x14ac:dyDescent="0.25">
      <c r="A273" s="7">
        <f>Données!A273</f>
        <v>5890</v>
      </c>
      <c r="B273" s="27" t="str">
        <f>Données!B273</f>
        <v>Vevey</v>
      </c>
      <c r="C273" s="8">
        <f>Données!C273+Données!D273</f>
        <v>41573038.560000002</v>
      </c>
      <c r="D273" s="8">
        <f>+Données!G273+Données!H273+Données!S273</f>
        <v>20025661.969999999</v>
      </c>
      <c r="E273" s="8">
        <f>+Données!E273</f>
        <v>0</v>
      </c>
      <c r="F273" s="8">
        <f>+Données!I273</f>
        <v>919618.72</v>
      </c>
      <c r="G273" s="8">
        <f>+Données!J273</f>
        <v>3661901.96</v>
      </c>
      <c r="H273" s="8">
        <f>Données!U273</f>
        <v>-754239.37</v>
      </c>
      <c r="I273" s="198">
        <f>Données!V273</f>
        <v>0</v>
      </c>
      <c r="J273" s="198">
        <f>Données!W273</f>
        <v>-37273.660000000003</v>
      </c>
      <c r="K273" s="8">
        <f>+Données!Q273</f>
        <v>259229.85</v>
      </c>
      <c r="L273" s="411">
        <f t="shared" si="13"/>
        <v>65647938.030000009</v>
      </c>
      <c r="M273" s="8">
        <f>+Données!F273</f>
        <v>0</v>
      </c>
      <c r="N273" s="8">
        <f>+Données!K273</f>
        <v>793893.9</v>
      </c>
      <c r="O273" s="8">
        <f>(Données!L273/Données!Y273)*1</f>
        <v>3967202.0133333332</v>
      </c>
      <c r="P273" s="411">
        <f t="shared" si="14"/>
        <v>70409033.943333343</v>
      </c>
      <c r="Q273" s="223">
        <f>+Données!X273</f>
        <v>74.5</v>
      </c>
      <c r="R273" s="411">
        <f t="shared" si="15"/>
        <v>945087.70393736032</v>
      </c>
    </row>
    <row r="274" spans="1:18" x14ac:dyDescent="0.25">
      <c r="A274" s="7">
        <f>Données!A274</f>
        <v>5891</v>
      </c>
      <c r="B274" s="27" t="str">
        <f>Données!B274</f>
        <v>Veytaux</v>
      </c>
      <c r="C274" s="8">
        <f>Données!C274+Données!D274</f>
        <v>2436979.5</v>
      </c>
      <c r="D274" s="8">
        <f>+Données!G274+Données!H274+Données!S274</f>
        <v>52474.380000000005</v>
      </c>
      <c r="E274" s="8">
        <f>+Données!E274</f>
        <v>0</v>
      </c>
      <c r="F274" s="8">
        <f>+Données!I274</f>
        <v>0</v>
      </c>
      <c r="G274" s="8">
        <f>+Données!J274</f>
        <v>88527.94</v>
      </c>
      <c r="H274" s="8">
        <f>Données!U274</f>
        <v>-60757.16</v>
      </c>
      <c r="I274" s="198">
        <f>Données!V274</f>
        <v>0</v>
      </c>
      <c r="J274" s="198">
        <f>Données!W274</f>
        <v>-1372.73</v>
      </c>
      <c r="K274" s="8">
        <f>+Données!Q274</f>
        <v>26436.43</v>
      </c>
      <c r="L274" s="411">
        <f t="shared" si="13"/>
        <v>2542288.36</v>
      </c>
      <c r="M274" s="8">
        <f>+Données!F274</f>
        <v>0</v>
      </c>
      <c r="N274" s="8">
        <f>+Données!K274</f>
        <v>15304.85</v>
      </c>
      <c r="O274" s="8">
        <f>(Données!L274/Données!Y274)*1</f>
        <v>299782.26666666666</v>
      </c>
      <c r="P274" s="411">
        <f t="shared" si="14"/>
        <v>2857375.4766666666</v>
      </c>
      <c r="Q274" s="223">
        <f>+Données!X274</f>
        <v>69.5</v>
      </c>
      <c r="R274" s="411">
        <f t="shared" si="15"/>
        <v>41113.316211031175</v>
      </c>
    </row>
    <row r="275" spans="1:18" x14ac:dyDescent="0.25">
      <c r="A275" s="7">
        <f>Données!A275</f>
        <v>5892</v>
      </c>
      <c r="B275" s="27" t="str">
        <f>Données!B275</f>
        <v>Blonay-Saint-Légier</v>
      </c>
      <c r="C275" s="8">
        <f>Données!C275+Données!D275</f>
        <v>45860912.460000001</v>
      </c>
      <c r="D275" s="8">
        <f>+Données!G275+Données!H275+Données!S275</f>
        <v>1150921.2999999998</v>
      </c>
      <c r="E275" s="8">
        <f>+Données!E275</f>
        <v>0</v>
      </c>
      <c r="F275" s="8">
        <f>+Données!I275</f>
        <v>883133.52</v>
      </c>
      <c r="G275" s="8">
        <f>+Données!J275</f>
        <v>206658.69</v>
      </c>
      <c r="H275" s="8">
        <f>Données!U275</f>
        <v>-250192.7</v>
      </c>
      <c r="I275" s="198">
        <f>Données!V275</f>
        <v>0</v>
      </c>
      <c r="J275" s="198">
        <f>Données!W275</f>
        <v>-177839.7</v>
      </c>
      <c r="K275" s="8">
        <f>+Données!Q275</f>
        <v>40891.57</v>
      </c>
      <c r="L275" s="411">
        <f t="shared" si="13"/>
        <v>47714485.139999993</v>
      </c>
      <c r="M275" s="8">
        <f>+Données!F275</f>
        <v>0</v>
      </c>
      <c r="N275" s="8">
        <f>+Données!K275</f>
        <v>134932.1</v>
      </c>
      <c r="O275" s="8">
        <f>(Données!L275/Données!Y275)*1</f>
        <v>3507406.75</v>
      </c>
      <c r="P275" s="411">
        <f t="shared" si="14"/>
        <v>51356823.989999995</v>
      </c>
      <c r="Q275" s="223">
        <f>+Données!X275</f>
        <v>68.5</v>
      </c>
      <c r="R275" s="411">
        <f t="shared" si="15"/>
        <v>749734.6567883211</v>
      </c>
    </row>
    <row r="276" spans="1:18" x14ac:dyDescent="0.25">
      <c r="A276" s="7">
        <f>Données!A276</f>
        <v>5902</v>
      </c>
      <c r="B276" s="27" t="str">
        <f>Données!B276</f>
        <v>Belmont-sur-Yverdon</v>
      </c>
      <c r="C276" s="8">
        <f>Données!C276+Données!D276</f>
        <v>739717.73</v>
      </c>
      <c r="D276" s="8">
        <f>+Données!G276+Données!H276+Données!S276</f>
        <v>27025.969999999998</v>
      </c>
      <c r="E276" s="8">
        <f>+Données!E276</f>
        <v>0</v>
      </c>
      <c r="F276" s="8">
        <f>+Données!I276</f>
        <v>0</v>
      </c>
      <c r="G276" s="8">
        <f>+Données!J276</f>
        <v>-266.57</v>
      </c>
      <c r="H276" s="8">
        <f>Données!U276</f>
        <v>-410.43</v>
      </c>
      <c r="I276" s="198">
        <f>Données!V276</f>
        <v>-1527.65</v>
      </c>
      <c r="J276" s="198">
        <f>Données!W276</f>
        <v>-56.85</v>
      </c>
      <c r="K276" s="8">
        <f>+Données!Q276</f>
        <v>0</v>
      </c>
      <c r="L276" s="411">
        <f t="shared" si="13"/>
        <v>764482.2</v>
      </c>
      <c r="M276" s="8">
        <f>+Données!F276</f>
        <v>0</v>
      </c>
      <c r="N276" s="8">
        <f>+Données!K276</f>
        <v>0</v>
      </c>
      <c r="O276" s="8">
        <f>(Données!L276/Données!Y276)*1</f>
        <v>69778.5</v>
      </c>
      <c r="P276" s="411">
        <f t="shared" si="14"/>
        <v>834260.7</v>
      </c>
      <c r="Q276" s="223">
        <f>+Données!X276</f>
        <v>70</v>
      </c>
      <c r="R276" s="411">
        <f t="shared" si="15"/>
        <v>11918.01</v>
      </c>
    </row>
    <row r="277" spans="1:18" x14ac:dyDescent="0.25">
      <c r="A277" s="7">
        <f>Données!A277</f>
        <v>5903</v>
      </c>
      <c r="B277" s="27" t="str">
        <f>Données!B277</f>
        <v>Bioley-Magnoux</v>
      </c>
      <c r="C277" s="8">
        <f>Données!C277+Données!D277</f>
        <v>410369.19</v>
      </c>
      <c r="D277" s="8">
        <f>+Données!G277+Données!H277+Données!S277</f>
        <v>5701.68</v>
      </c>
      <c r="E277" s="8">
        <f>+Données!E277</f>
        <v>0</v>
      </c>
      <c r="F277" s="8">
        <f>+Données!I277</f>
        <v>0</v>
      </c>
      <c r="G277" s="8">
        <f>+Données!J277</f>
        <v>-219.75</v>
      </c>
      <c r="H277" s="8">
        <f>Données!U277</f>
        <v>-3689.38</v>
      </c>
      <c r="I277" s="198">
        <f>Données!V277</f>
        <v>0</v>
      </c>
      <c r="J277" s="198">
        <f>Données!W277</f>
        <v>0</v>
      </c>
      <c r="K277" s="8">
        <f>+Données!Q277</f>
        <v>195.53</v>
      </c>
      <c r="L277" s="411">
        <f t="shared" si="13"/>
        <v>412357.27</v>
      </c>
      <c r="M277" s="8">
        <f>+Données!F277</f>
        <v>0</v>
      </c>
      <c r="N277" s="8">
        <f>+Données!K277</f>
        <v>0</v>
      </c>
      <c r="O277" s="8">
        <f>(Données!L277/Données!Y277)*1</f>
        <v>39473.785714285717</v>
      </c>
      <c r="P277" s="411">
        <f t="shared" si="14"/>
        <v>451831.05571428576</v>
      </c>
      <c r="Q277" s="223">
        <f>+Données!X277</f>
        <v>72</v>
      </c>
      <c r="R277" s="411">
        <f t="shared" si="15"/>
        <v>6275.4313293650803</v>
      </c>
    </row>
    <row r="278" spans="1:18" x14ac:dyDescent="0.25">
      <c r="A278" s="7">
        <f>Données!A278</f>
        <v>5904</v>
      </c>
      <c r="B278" s="27" t="str">
        <f>Données!B278</f>
        <v>Chamblon</v>
      </c>
      <c r="C278" s="8">
        <f>Données!C278+Données!D278</f>
        <v>1106187.56</v>
      </c>
      <c r="D278" s="8">
        <f>+Données!G278+Données!H278+Données!S278</f>
        <v>27994.35</v>
      </c>
      <c r="E278" s="8">
        <f>+Données!E278</f>
        <v>0</v>
      </c>
      <c r="F278" s="8">
        <f>+Données!I278</f>
        <v>0</v>
      </c>
      <c r="G278" s="8">
        <f>+Données!J278</f>
        <v>18399.05</v>
      </c>
      <c r="H278" s="8">
        <f>Données!U278</f>
        <v>-10101.14</v>
      </c>
      <c r="I278" s="198">
        <f>Données!V278</f>
        <v>0</v>
      </c>
      <c r="J278" s="198">
        <f>Données!W278</f>
        <v>-135.85</v>
      </c>
      <c r="K278" s="8">
        <f>+Données!Q278</f>
        <v>0</v>
      </c>
      <c r="L278" s="411">
        <f t="shared" si="13"/>
        <v>1142343.9700000002</v>
      </c>
      <c r="M278" s="8">
        <f>+Données!F278</f>
        <v>0</v>
      </c>
      <c r="N278" s="8">
        <f>+Données!K278</f>
        <v>3596.65</v>
      </c>
      <c r="O278" s="8">
        <f>(Données!L278/Données!Y278)*1</f>
        <v>100815.9</v>
      </c>
      <c r="P278" s="411">
        <f t="shared" si="14"/>
        <v>1246756.52</v>
      </c>
      <c r="Q278" s="223">
        <f>+Données!X278</f>
        <v>66</v>
      </c>
      <c r="R278" s="411">
        <f t="shared" si="15"/>
        <v>18890.250303030305</v>
      </c>
    </row>
    <row r="279" spans="1:18" x14ac:dyDescent="0.25">
      <c r="A279" s="7">
        <f>Données!A279</f>
        <v>5905</v>
      </c>
      <c r="B279" s="27" t="str">
        <f>Données!B279</f>
        <v>Champvent</v>
      </c>
      <c r="C279" s="8">
        <f>Données!C279+Données!D279</f>
        <v>1237186.5600000001</v>
      </c>
      <c r="D279" s="8">
        <f>+Données!G279+Données!H279+Données!S279</f>
        <v>135337.94</v>
      </c>
      <c r="E279" s="8">
        <f>+Données!E279</f>
        <v>0</v>
      </c>
      <c r="F279" s="8">
        <f>+Données!I279</f>
        <v>0</v>
      </c>
      <c r="G279" s="8">
        <f>+Données!J279</f>
        <v>25768.46</v>
      </c>
      <c r="H279" s="8">
        <f>Données!U279</f>
        <v>-4130.54</v>
      </c>
      <c r="I279" s="198">
        <f>Données!V279</f>
        <v>0</v>
      </c>
      <c r="J279" s="198">
        <f>Données!W279</f>
        <v>-43.55</v>
      </c>
      <c r="K279" s="8">
        <f>+Données!Q279</f>
        <v>747.02</v>
      </c>
      <c r="L279" s="411">
        <f t="shared" si="13"/>
        <v>1394865.89</v>
      </c>
      <c r="M279" s="8">
        <f>+Données!F279</f>
        <v>0</v>
      </c>
      <c r="N279" s="8">
        <f>+Données!K279</f>
        <v>3170.25</v>
      </c>
      <c r="O279" s="8">
        <f>(Données!L279/Données!Y279)*1</f>
        <v>109356.3</v>
      </c>
      <c r="P279" s="411">
        <f t="shared" si="14"/>
        <v>1507392.44</v>
      </c>
      <c r="Q279" s="223">
        <f>+Données!X279</f>
        <v>70</v>
      </c>
      <c r="R279" s="411">
        <f t="shared" si="15"/>
        <v>21534.177714285714</v>
      </c>
    </row>
    <row r="280" spans="1:18" x14ac:dyDescent="0.25">
      <c r="A280" s="7">
        <f>Données!A280</f>
        <v>5907</v>
      </c>
      <c r="B280" s="27" t="str">
        <f>Données!B280</f>
        <v>Chavannes-le-Chêne</v>
      </c>
      <c r="C280" s="8">
        <f>Données!C280+Données!D280</f>
        <v>575016.81999999995</v>
      </c>
      <c r="D280" s="8">
        <f>+Données!G280+Données!H280+Données!S280</f>
        <v>1963.3100000000002</v>
      </c>
      <c r="E280" s="8">
        <f>+Données!E280</f>
        <v>0</v>
      </c>
      <c r="F280" s="8">
        <f>+Données!I280</f>
        <v>0</v>
      </c>
      <c r="G280" s="8">
        <f>+Données!J280</f>
        <v>-48.95</v>
      </c>
      <c r="H280" s="8">
        <f>Données!U280</f>
        <v>-1157.4100000000001</v>
      </c>
      <c r="I280" s="198">
        <f>Données!V280</f>
        <v>0</v>
      </c>
      <c r="J280" s="198">
        <f>Données!W280</f>
        <v>0</v>
      </c>
      <c r="K280" s="8">
        <f>+Données!Q280</f>
        <v>5889.78</v>
      </c>
      <c r="L280" s="411">
        <f t="shared" si="13"/>
        <v>581663.55000000005</v>
      </c>
      <c r="M280" s="8">
        <f>+Données!F280</f>
        <v>1980</v>
      </c>
      <c r="N280" s="8">
        <f>+Données!K280</f>
        <v>520.70000000000005</v>
      </c>
      <c r="O280" s="8">
        <f>(Données!L280/Données!Y280)*1</f>
        <v>49846.2</v>
      </c>
      <c r="P280" s="411">
        <f t="shared" si="14"/>
        <v>634010.44999999995</v>
      </c>
      <c r="Q280" s="223">
        <f>+Données!X280</f>
        <v>75</v>
      </c>
      <c r="R280" s="411">
        <f t="shared" si="15"/>
        <v>8453.4726666666666</v>
      </c>
    </row>
    <row r="281" spans="1:18" x14ac:dyDescent="0.25">
      <c r="A281" s="7">
        <f>Données!A281</f>
        <v>5908</v>
      </c>
      <c r="B281" s="27" t="str">
        <f>Données!B281</f>
        <v>Chêne-Pâquier</v>
      </c>
      <c r="C281" s="8">
        <f>Données!C281+Données!D281</f>
        <v>353667.03</v>
      </c>
      <c r="D281" s="8">
        <f>+Données!G281+Données!H281+Données!S281</f>
        <v>14936.390000000001</v>
      </c>
      <c r="E281" s="8">
        <f>+Données!E281</f>
        <v>0</v>
      </c>
      <c r="F281" s="8">
        <f>+Données!I281</f>
        <v>0</v>
      </c>
      <c r="G281" s="8">
        <f>+Données!J281</f>
        <v>-23437.49</v>
      </c>
      <c r="H281" s="8">
        <f>Données!U281</f>
        <v>174.07</v>
      </c>
      <c r="I281" s="198">
        <f>Données!V281</f>
        <v>0</v>
      </c>
      <c r="J281" s="198">
        <f>Données!W281</f>
        <v>-50.85</v>
      </c>
      <c r="K281" s="8">
        <f>+Données!Q281</f>
        <v>0</v>
      </c>
      <c r="L281" s="411">
        <f t="shared" si="13"/>
        <v>345289.15000000008</v>
      </c>
      <c r="M281" s="8">
        <f>+Données!F281</f>
        <v>0</v>
      </c>
      <c r="N281" s="8">
        <f>+Données!K281</f>
        <v>92.95</v>
      </c>
      <c r="O281" s="8">
        <f>(Données!L281/Données!Y281)*1</f>
        <v>23463.15</v>
      </c>
      <c r="P281" s="411">
        <f t="shared" si="14"/>
        <v>368845.25000000012</v>
      </c>
      <c r="Q281" s="223">
        <f>+Données!X281</f>
        <v>75</v>
      </c>
      <c r="R281" s="411">
        <f t="shared" si="15"/>
        <v>4917.9366666666683</v>
      </c>
    </row>
    <row r="282" spans="1:18" x14ac:dyDescent="0.25">
      <c r="A282" s="7">
        <f>Données!A282</f>
        <v>5909</v>
      </c>
      <c r="B282" s="27" t="str">
        <f>Données!B282</f>
        <v>Cheseaux-Noréaz</v>
      </c>
      <c r="C282" s="8">
        <f>Données!C282+Données!D282</f>
        <v>2096788.8</v>
      </c>
      <c r="D282" s="8">
        <f>+Données!G282+Données!H282+Données!S282</f>
        <v>-3424.6799999999994</v>
      </c>
      <c r="E282" s="8">
        <f>+Données!E282</f>
        <v>0</v>
      </c>
      <c r="F282" s="8">
        <f>+Données!I282</f>
        <v>0</v>
      </c>
      <c r="G282" s="8">
        <f>+Données!J282</f>
        <v>26919.72</v>
      </c>
      <c r="H282" s="8">
        <f>Données!U282</f>
        <v>-2679.65</v>
      </c>
      <c r="I282" s="198">
        <f>Données!V282</f>
        <v>0</v>
      </c>
      <c r="J282" s="198">
        <f>Données!W282</f>
        <v>-962.95</v>
      </c>
      <c r="K282" s="8">
        <f>+Données!Q282</f>
        <v>0</v>
      </c>
      <c r="L282" s="411">
        <f t="shared" si="13"/>
        <v>2116641.2400000002</v>
      </c>
      <c r="M282" s="8">
        <f>+Données!F282</f>
        <v>0</v>
      </c>
      <c r="N282" s="8">
        <f>+Données!K282</f>
        <v>788.1</v>
      </c>
      <c r="O282" s="8">
        <f>(Données!L282/Données!Y282)*1</f>
        <v>172607.2</v>
      </c>
      <c r="P282" s="411">
        <f t="shared" si="14"/>
        <v>2290036.5400000005</v>
      </c>
      <c r="Q282" s="223">
        <f>+Données!X282</f>
        <v>67</v>
      </c>
      <c r="R282" s="411">
        <f t="shared" si="15"/>
        <v>34179.649850746275</v>
      </c>
    </row>
    <row r="283" spans="1:18" x14ac:dyDescent="0.25">
      <c r="A283" s="7">
        <f>Données!A283</f>
        <v>5910</v>
      </c>
      <c r="B283" s="27" t="str">
        <f>Données!B283</f>
        <v>Cronay</v>
      </c>
      <c r="C283" s="8">
        <f>Données!C283+Données!D283</f>
        <v>737018.63</v>
      </c>
      <c r="D283" s="8">
        <f>+Données!G283+Données!H283+Données!S283</f>
        <v>17253.309999999998</v>
      </c>
      <c r="E283" s="8">
        <f>+Données!E283</f>
        <v>0</v>
      </c>
      <c r="F283" s="8">
        <f>+Données!I283</f>
        <v>0</v>
      </c>
      <c r="G283" s="8">
        <f>+Données!J283</f>
        <v>2816.74</v>
      </c>
      <c r="H283" s="8">
        <f>Données!U283</f>
        <v>-11753.56</v>
      </c>
      <c r="I283" s="198">
        <f>Données!V283</f>
        <v>0</v>
      </c>
      <c r="J283" s="198">
        <f>Données!W283</f>
        <v>0</v>
      </c>
      <c r="K283" s="8">
        <f>+Données!Q283</f>
        <v>5804.99</v>
      </c>
      <c r="L283" s="411">
        <f t="shared" si="13"/>
        <v>751140.10999999987</v>
      </c>
      <c r="M283" s="8">
        <f>+Données!F283</f>
        <v>2270</v>
      </c>
      <c r="N283" s="8">
        <f>+Données!K283</f>
        <v>0</v>
      </c>
      <c r="O283" s="8">
        <f>(Données!L283/Données!Y283)*1</f>
        <v>64331.7</v>
      </c>
      <c r="P283" s="411">
        <f t="shared" si="14"/>
        <v>817741.80999999982</v>
      </c>
      <c r="Q283" s="223">
        <f>+Données!X283</f>
        <v>77</v>
      </c>
      <c r="R283" s="411">
        <f t="shared" si="15"/>
        <v>10620.023506493504</v>
      </c>
    </row>
    <row r="284" spans="1:18" x14ac:dyDescent="0.25">
      <c r="A284" s="7">
        <f>Données!A284</f>
        <v>5911</v>
      </c>
      <c r="B284" s="27" t="str">
        <f>Données!B284</f>
        <v>Cuarny</v>
      </c>
      <c r="C284" s="8">
        <f>Données!C284+Données!D284</f>
        <v>529828.66999999993</v>
      </c>
      <c r="D284" s="8">
        <f>+Données!G284+Données!H284+Données!S284</f>
        <v>3906.03</v>
      </c>
      <c r="E284" s="8">
        <f>+Données!E284</f>
        <v>0</v>
      </c>
      <c r="F284" s="8">
        <f>+Données!I284</f>
        <v>0</v>
      </c>
      <c r="G284" s="8">
        <f>+Données!J284</f>
        <v>15883.11</v>
      </c>
      <c r="H284" s="8">
        <f>Données!U284</f>
        <v>-2053.27</v>
      </c>
      <c r="I284" s="198">
        <f>Données!V284</f>
        <v>0</v>
      </c>
      <c r="J284" s="198">
        <f>Données!W284</f>
        <v>-559.65</v>
      </c>
      <c r="K284" s="8">
        <f>+Données!Q284</f>
        <v>266.35000000000002</v>
      </c>
      <c r="L284" s="411">
        <f t="shared" si="13"/>
        <v>547271.23999999987</v>
      </c>
      <c r="M284" s="8">
        <f>+Données!F284</f>
        <v>1520</v>
      </c>
      <c r="N284" s="8">
        <f>+Données!K284</f>
        <v>2201.5</v>
      </c>
      <c r="O284" s="8">
        <f>(Données!L284/Données!Y284)*1</f>
        <v>36573.1</v>
      </c>
      <c r="P284" s="411">
        <f t="shared" si="14"/>
        <v>587565.83999999985</v>
      </c>
      <c r="Q284" s="223">
        <f>+Données!X284</f>
        <v>77</v>
      </c>
      <c r="R284" s="411">
        <f t="shared" si="15"/>
        <v>7630.7251948051926</v>
      </c>
    </row>
    <row r="285" spans="1:18" x14ac:dyDescent="0.25">
      <c r="A285" s="7">
        <f>Données!A285</f>
        <v>5912</v>
      </c>
      <c r="B285" s="27" t="str">
        <f>Données!B285</f>
        <v>Démoret</v>
      </c>
      <c r="C285" s="8">
        <f>Données!C285+Données!D285</f>
        <v>214313.87</v>
      </c>
      <c r="D285" s="8">
        <f>+Données!G285+Données!H285+Données!S285</f>
        <v>3116.6899999999996</v>
      </c>
      <c r="E285" s="8">
        <f>+Données!E285</f>
        <v>0</v>
      </c>
      <c r="F285" s="8">
        <f>+Données!I285</f>
        <v>0</v>
      </c>
      <c r="G285" s="8">
        <f>+Données!J285</f>
        <v>3771.49</v>
      </c>
      <c r="H285" s="8">
        <f>Données!U285</f>
        <v>-9386.1</v>
      </c>
      <c r="I285" s="198">
        <f>Données!V285</f>
        <v>0</v>
      </c>
      <c r="J285" s="198">
        <f>Données!W285</f>
        <v>0</v>
      </c>
      <c r="K285" s="8">
        <f>+Données!Q285</f>
        <v>1559.41</v>
      </c>
      <c r="L285" s="411">
        <f t="shared" si="13"/>
        <v>213375.35999999999</v>
      </c>
      <c r="M285" s="8">
        <f>+Données!F285</f>
        <v>940</v>
      </c>
      <c r="N285" s="8">
        <f>+Données!K285</f>
        <v>0</v>
      </c>
      <c r="O285" s="8">
        <f>(Données!L285/Données!Y285)*1</f>
        <v>22461.4</v>
      </c>
      <c r="P285" s="411">
        <f t="shared" si="14"/>
        <v>236776.75999999998</v>
      </c>
      <c r="Q285" s="223">
        <f>+Données!X285</f>
        <v>78</v>
      </c>
      <c r="R285" s="411">
        <f t="shared" si="15"/>
        <v>3035.5994871794869</v>
      </c>
    </row>
    <row r="286" spans="1:18" x14ac:dyDescent="0.25">
      <c r="A286" s="7">
        <f>Données!A286</f>
        <v>5913</v>
      </c>
      <c r="B286" s="27" t="str">
        <f>Données!B286</f>
        <v>Donneloye</v>
      </c>
      <c r="C286" s="8">
        <f>Données!C286+Données!D286</f>
        <v>1455979.7</v>
      </c>
      <c r="D286" s="8">
        <f>+Données!G286+Données!H286+Données!S286</f>
        <v>1005.65</v>
      </c>
      <c r="E286" s="8">
        <f>+Données!E286</f>
        <v>0</v>
      </c>
      <c r="F286" s="8">
        <f>+Données!I286</f>
        <v>0</v>
      </c>
      <c r="G286" s="8">
        <f>+Données!J286</f>
        <v>33828.449999999997</v>
      </c>
      <c r="H286" s="8">
        <f>Données!U286</f>
        <v>-17967.88</v>
      </c>
      <c r="I286" s="198">
        <f>Données!V286</f>
        <v>0</v>
      </c>
      <c r="J286" s="198">
        <f>Données!W286</f>
        <v>-892.99</v>
      </c>
      <c r="K286" s="8">
        <f>+Données!Q286</f>
        <v>3564.09</v>
      </c>
      <c r="L286" s="411">
        <f t="shared" si="13"/>
        <v>1475517.02</v>
      </c>
      <c r="M286" s="8">
        <f>+Données!F286</f>
        <v>0</v>
      </c>
      <c r="N286" s="8">
        <f>+Données!K286</f>
        <v>-5581.95</v>
      </c>
      <c r="O286" s="8">
        <f>(Données!L286/Données!Y286)*1</f>
        <v>126441</v>
      </c>
      <c r="P286" s="411">
        <f t="shared" si="14"/>
        <v>1596376.07</v>
      </c>
      <c r="Q286" s="223">
        <f>+Données!X286</f>
        <v>73</v>
      </c>
      <c r="R286" s="411">
        <f t="shared" si="15"/>
        <v>21868.165342465756</v>
      </c>
    </row>
    <row r="287" spans="1:18" x14ac:dyDescent="0.25">
      <c r="A287" s="7">
        <f>Données!A287</f>
        <v>5914</v>
      </c>
      <c r="B287" s="27" t="str">
        <f>Données!B287</f>
        <v>Ependes</v>
      </c>
      <c r="C287" s="8">
        <f>Données!C287+Données!D287</f>
        <v>632788.80999999994</v>
      </c>
      <c r="D287" s="8">
        <f>+Données!G287+Données!H287+Données!S287</f>
        <v>14041.57</v>
      </c>
      <c r="E287" s="8">
        <f>+Données!E287</f>
        <v>0</v>
      </c>
      <c r="F287" s="8">
        <f>+Données!I287</f>
        <v>0</v>
      </c>
      <c r="G287" s="8">
        <f>+Données!J287</f>
        <v>14779.43</v>
      </c>
      <c r="H287" s="8">
        <f>Données!U287</f>
        <v>-15389.64</v>
      </c>
      <c r="I287" s="198">
        <f>Données!V287</f>
        <v>0</v>
      </c>
      <c r="J287" s="198">
        <f>Données!W287</f>
        <v>0</v>
      </c>
      <c r="K287" s="8">
        <f>+Données!Q287</f>
        <v>2264.35</v>
      </c>
      <c r="L287" s="411">
        <f t="shared" si="13"/>
        <v>648484.5199999999</v>
      </c>
      <c r="M287" s="8">
        <f>+Données!F287</f>
        <v>2270</v>
      </c>
      <c r="N287" s="8">
        <f>+Données!K287</f>
        <v>7301.35</v>
      </c>
      <c r="O287" s="8">
        <f>(Données!L287/Données!Y287)*1</f>
        <v>64165.7</v>
      </c>
      <c r="P287" s="411">
        <f t="shared" si="14"/>
        <v>722221.56999999983</v>
      </c>
      <c r="Q287" s="223">
        <f>+Données!X287</f>
        <v>73.5</v>
      </c>
      <c r="R287" s="411">
        <f t="shared" si="15"/>
        <v>9826.1438095238063</v>
      </c>
    </row>
    <row r="288" spans="1:18" x14ac:dyDescent="0.25">
      <c r="A288" s="7">
        <f>Données!A288</f>
        <v>5919</v>
      </c>
      <c r="B288" s="27" t="str">
        <f>Données!B288</f>
        <v>Mathod</v>
      </c>
      <c r="C288" s="8">
        <f>Données!C288+Données!D288</f>
        <v>1310636.17</v>
      </c>
      <c r="D288" s="8">
        <f>+Données!G288+Données!H288+Données!S288</f>
        <v>42391.18</v>
      </c>
      <c r="E288" s="8">
        <f>+Données!E288</f>
        <v>0</v>
      </c>
      <c r="F288" s="8">
        <f>+Données!I288</f>
        <v>0</v>
      </c>
      <c r="G288" s="8">
        <f>+Données!J288</f>
        <v>23986.73</v>
      </c>
      <c r="H288" s="8">
        <f>Données!U288</f>
        <v>-22232.55</v>
      </c>
      <c r="I288" s="198">
        <f>Données!V288</f>
        <v>0</v>
      </c>
      <c r="J288" s="198">
        <f>Données!W288</f>
        <v>0</v>
      </c>
      <c r="K288" s="8">
        <f>+Données!Q288</f>
        <v>7673.07</v>
      </c>
      <c r="L288" s="411">
        <f t="shared" si="13"/>
        <v>1362454.5999999999</v>
      </c>
      <c r="M288" s="8">
        <f>+Données!F288</f>
        <v>3960</v>
      </c>
      <c r="N288" s="8">
        <f>+Données!K288</f>
        <v>11383.75</v>
      </c>
      <c r="O288" s="8">
        <f>(Données!L288/Données!Y288)*1</f>
        <v>123717.29166666667</v>
      </c>
      <c r="P288" s="411">
        <f t="shared" si="14"/>
        <v>1501515.6416666666</v>
      </c>
      <c r="Q288" s="223">
        <f>+Données!X288</f>
        <v>72</v>
      </c>
      <c r="R288" s="411">
        <f t="shared" si="15"/>
        <v>20854.383912037036</v>
      </c>
    </row>
    <row r="289" spans="1:18" x14ac:dyDescent="0.25">
      <c r="A289" s="7">
        <f>Données!A289</f>
        <v>5921</v>
      </c>
      <c r="B289" s="27" t="str">
        <f>Données!B289</f>
        <v>Molondin</v>
      </c>
      <c r="C289" s="8">
        <f>Données!C289+Données!D289</f>
        <v>371854.19</v>
      </c>
      <c r="D289" s="8">
        <f>+Données!G289+Données!H289+Données!S289</f>
        <v>950.76</v>
      </c>
      <c r="E289" s="8">
        <f>+Données!E289</f>
        <v>0</v>
      </c>
      <c r="F289" s="8">
        <f>+Données!I289</f>
        <v>0</v>
      </c>
      <c r="G289" s="8">
        <f>+Données!J289</f>
        <v>6939.28</v>
      </c>
      <c r="H289" s="8">
        <f>Données!U289</f>
        <v>-7190.13</v>
      </c>
      <c r="I289" s="198">
        <f>Données!V289</f>
        <v>0</v>
      </c>
      <c r="J289" s="198">
        <f>Données!W289</f>
        <v>0</v>
      </c>
      <c r="K289" s="8">
        <f>+Données!Q289</f>
        <v>2503.8200000000002</v>
      </c>
      <c r="L289" s="411">
        <f t="shared" si="13"/>
        <v>375057.92000000004</v>
      </c>
      <c r="M289" s="8">
        <f>+Données!F289</f>
        <v>1421.7</v>
      </c>
      <c r="N289" s="8">
        <f>+Données!K289</f>
        <v>0</v>
      </c>
      <c r="O289" s="8">
        <f>(Données!L289/Données!Y289)*1</f>
        <v>35888.75</v>
      </c>
      <c r="P289" s="411">
        <f t="shared" si="14"/>
        <v>412368.37000000005</v>
      </c>
      <c r="Q289" s="223">
        <f>+Données!X289</f>
        <v>81</v>
      </c>
      <c r="R289" s="411">
        <f t="shared" si="15"/>
        <v>5090.9675308641981</v>
      </c>
    </row>
    <row r="290" spans="1:18" x14ac:dyDescent="0.25">
      <c r="A290" s="7">
        <f>Données!A290</f>
        <v>5922</v>
      </c>
      <c r="B290" s="27" t="str">
        <f>Données!B290</f>
        <v>Montagny-près-Yverdon</v>
      </c>
      <c r="C290" s="8">
        <f>Données!C290+Données!D290</f>
        <v>1566459.89</v>
      </c>
      <c r="D290" s="8">
        <f>+Données!G290+Données!H290+Données!S290</f>
        <v>532030.9</v>
      </c>
      <c r="E290" s="8">
        <f>+Données!E290</f>
        <v>0</v>
      </c>
      <c r="F290" s="8">
        <f>+Données!I290</f>
        <v>0</v>
      </c>
      <c r="G290" s="8">
        <f>+Données!J290</f>
        <v>85313.26</v>
      </c>
      <c r="H290" s="8">
        <f>Données!U290</f>
        <v>-18199.62</v>
      </c>
      <c r="I290" s="198">
        <f>Données!V290</f>
        <v>0</v>
      </c>
      <c r="J290" s="198">
        <f>Données!W290</f>
        <v>-254.07</v>
      </c>
      <c r="K290" s="8">
        <f>+Données!Q290</f>
        <v>0</v>
      </c>
      <c r="L290" s="411">
        <f t="shared" si="13"/>
        <v>2165350.36</v>
      </c>
      <c r="M290" s="8">
        <f>+Données!F290</f>
        <v>0</v>
      </c>
      <c r="N290" s="8">
        <f>+Données!K290</f>
        <v>65824.350000000006</v>
      </c>
      <c r="O290" s="8">
        <f>(Données!L290/Données!Y290)*1</f>
        <v>335925.06249999994</v>
      </c>
      <c r="P290" s="411">
        <f t="shared" si="14"/>
        <v>2567099.7725</v>
      </c>
      <c r="Q290" s="223">
        <f>+Données!X290</f>
        <v>64.5</v>
      </c>
      <c r="R290" s="411">
        <f t="shared" si="15"/>
        <v>39799.996472868217</v>
      </c>
    </row>
    <row r="291" spans="1:18" x14ac:dyDescent="0.25">
      <c r="A291" s="7">
        <f>Données!A291</f>
        <v>5923</v>
      </c>
      <c r="B291" s="27" t="str">
        <f>Données!B291</f>
        <v>Oppens</v>
      </c>
      <c r="C291" s="8">
        <f>Données!C291+Données!D291</f>
        <v>280536.77</v>
      </c>
      <c r="D291" s="8">
        <f>+Données!G291+Données!H291+Données!S291</f>
        <v>24565.46</v>
      </c>
      <c r="E291" s="8">
        <f>+Données!E291</f>
        <v>0</v>
      </c>
      <c r="F291" s="8">
        <f>+Données!I291</f>
        <v>0</v>
      </c>
      <c r="G291" s="8">
        <f>+Données!J291</f>
        <v>31244.639999999999</v>
      </c>
      <c r="H291" s="8">
        <f>Données!U291</f>
        <v>-6113.84</v>
      </c>
      <c r="I291" s="198">
        <f>Données!V291</f>
        <v>0</v>
      </c>
      <c r="J291" s="198">
        <f>Données!W291</f>
        <v>0</v>
      </c>
      <c r="K291" s="8">
        <f>+Données!Q291</f>
        <v>3625.14</v>
      </c>
      <c r="L291" s="411">
        <f t="shared" si="13"/>
        <v>333858.17000000004</v>
      </c>
      <c r="M291" s="8">
        <f>+Données!F291</f>
        <v>0</v>
      </c>
      <c r="N291" s="8">
        <f>+Données!K291</f>
        <v>0</v>
      </c>
      <c r="O291" s="8">
        <f>(Données!L291/Données!Y291)*1</f>
        <v>27354</v>
      </c>
      <c r="P291" s="411">
        <f t="shared" si="14"/>
        <v>361212.17000000004</v>
      </c>
      <c r="Q291" s="223">
        <f>+Données!X291</f>
        <v>81</v>
      </c>
      <c r="R291" s="411">
        <f t="shared" si="15"/>
        <v>4459.4095061728403</v>
      </c>
    </row>
    <row r="292" spans="1:18" x14ac:dyDescent="0.25">
      <c r="A292" s="7">
        <f>Données!A292</f>
        <v>5924</v>
      </c>
      <c r="B292" s="27" t="str">
        <f>Données!B292</f>
        <v>Orges</v>
      </c>
      <c r="C292" s="8">
        <f>Données!C292+Données!D292</f>
        <v>762567.89</v>
      </c>
      <c r="D292" s="8">
        <f>+Données!G292+Données!H292+Données!S292</f>
        <v>13630.09</v>
      </c>
      <c r="E292" s="8">
        <f>+Données!E292</f>
        <v>0</v>
      </c>
      <c r="F292" s="8">
        <f>+Données!I292</f>
        <v>0</v>
      </c>
      <c r="G292" s="8">
        <f>+Données!J292</f>
        <v>22949.55</v>
      </c>
      <c r="H292" s="8">
        <f>Données!U292</f>
        <v>-1325.8</v>
      </c>
      <c r="I292" s="198">
        <f>Données!V292</f>
        <v>0</v>
      </c>
      <c r="J292" s="198">
        <f>Données!W292</f>
        <v>-145.54</v>
      </c>
      <c r="K292" s="8">
        <f>+Données!Q292</f>
        <v>1748.47</v>
      </c>
      <c r="L292" s="411">
        <f t="shared" si="13"/>
        <v>799424.65999999992</v>
      </c>
      <c r="M292" s="8">
        <f>+Données!F292</f>
        <v>0</v>
      </c>
      <c r="N292" s="8">
        <f>+Données!K292</f>
        <v>0</v>
      </c>
      <c r="O292" s="8">
        <f>(Données!L292/Données!Y292)*1</f>
        <v>61757.15</v>
      </c>
      <c r="P292" s="411">
        <f t="shared" si="14"/>
        <v>861181.80999999994</v>
      </c>
      <c r="Q292" s="223">
        <f>+Données!X292</f>
        <v>74</v>
      </c>
      <c r="R292" s="411">
        <f t="shared" si="15"/>
        <v>11637.592027027025</v>
      </c>
    </row>
    <row r="293" spans="1:18" x14ac:dyDescent="0.25">
      <c r="A293" s="7">
        <f>Données!A293</f>
        <v>5925</v>
      </c>
      <c r="B293" s="27" t="str">
        <f>Données!B293</f>
        <v>Orzens</v>
      </c>
      <c r="C293" s="8">
        <f>Données!C293+Données!D293</f>
        <v>372846.97</v>
      </c>
      <c r="D293" s="8">
        <f>+Données!G293+Données!H293+Données!S293</f>
        <v>3173.52</v>
      </c>
      <c r="E293" s="8">
        <f>+Données!E293</f>
        <v>0</v>
      </c>
      <c r="F293" s="8">
        <f>+Données!I293</f>
        <v>0</v>
      </c>
      <c r="G293" s="8">
        <f>+Données!J293</f>
        <v>11747.07</v>
      </c>
      <c r="H293" s="8">
        <f>Données!U293</f>
        <v>-10323.950000000001</v>
      </c>
      <c r="I293" s="198">
        <f>Données!V293</f>
        <v>0</v>
      </c>
      <c r="J293" s="198">
        <f>Données!W293</f>
        <v>-164.65</v>
      </c>
      <c r="K293" s="8">
        <f>+Données!Q293</f>
        <v>2220.4899999999998</v>
      </c>
      <c r="L293" s="411">
        <f t="shared" si="13"/>
        <v>379499.44999999995</v>
      </c>
      <c r="M293" s="8">
        <f>+Données!F293</f>
        <v>1210</v>
      </c>
      <c r="N293" s="8">
        <f>+Données!K293</f>
        <v>0</v>
      </c>
      <c r="O293" s="8">
        <f>(Données!L293/Données!Y293)*1</f>
        <v>34493.699999999997</v>
      </c>
      <c r="P293" s="411">
        <f t="shared" si="14"/>
        <v>415203.14999999997</v>
      </c>
      <c r="Q293" s="223">
        <f>+Données!X293</f>
        <v>79</v>
      </c>
      <c r="R293" s="411">
        <f t="shared" si="15"/>
        <v>5255.7360759493668</v>
      </c>
    </row>
    <row r="294" spans="1:18" x14ac:dyDescent="0.25">
      <c r="A294" s="7">
        <f>Données!A294</f>
        <v>5926</v>
      </c>
      <c r="B294" s="27" t="str">
        <f>Données!B294</f>
        <v>Pomy</v>
      </c>
      <c r="C294" s="8">
        <f>Données!C294+Données!D294</f>
        <v>1682350.7</v>
      </c>
      <c r="D294" s="8">
        <f>+Données!G294+Données!H294+Données!S294</f>
        <v>52316.490000000005</v>
      </c>
      <c r="E294" s="8">
        <f>+Données!E294</f>
        <v>0</v>
      </c>
      <c r="F294" s="8">
        <f>+Données!I294</f>
        <v>0</v>
      </c>
      <c r="G294" s="8">
        <f>+Données!J294</f>
        <v>39940.949999999997</v>
      </c>
      <c r="H294" s="8">
        <f>Données!U294</f>
        <v>-14155.75</v>
      </c>
      <c r="I294" s="198">
        <f>Données!V294</f>
        <v>0</v>
      </c>
      <c r="J294" s="198">
        <f>Données!W294</f>
        <v>-33.1</v>
      </c>
      <c r="K294" s="8">
        <f>+Données!Q294</f>
        <v>1395.7</v>
      </c>
      <c r="L294" s="411">
        <f t="shared" si="13"/>
        <v>1761814.9899999998</v>
      </c>
      <c r="M294" s="8">
        <f>+Données!F294</f>
        <v>0</v>
      </c>
      <c r="N294" s="8">
        <f>+Données!K294</f>
        <v>0</v>
      </c>
      <c r="O294" s="8">
        <f>(Données!L294/Données!Y294)*1</f>
        <v>139755.29999999999</v>
      </c>
      <c r="P294" s="411">
        <f t="shared" si="14"/>
        <v>1901570.2899999998</v>
      </c>
      <c r="Q294" s="223">
        <f>+Données!X294</f>
        <v>71</v>
      </c>
      <c r="R294" s="411">
        <f t="shared" si="15"/>
        <v>26782.680140845066</v>
      </c>
    </row>
    <row r="295" spans="1:18" x14ac:dyDescent="0.25">
      <c r="A295" s="7">
        <f>Données!A295</f>
        <v>5928</v>
      </c>
      <c r="B295" s="27" t="str">
        <f>Données!B295</f>
        <v>Rovray</v>
      </c>
      <c r="C295" s="8">
        <f>Données!C295+Données!D295</f>
        <v>331068.71000000002</v>
      </c>
      <c r="D295" s="8">
        <f>+Données!G295+Données!H295+Données!S295</f>
        <v>2120.65</v>
      </c>
      <c r="E295" s="8">
        <f>+Données!E295</f>
        <v>0</v>
      </c>
      <c r="F295" s="8">
        <f>+Données!I295</f>
        <v>0</v>
      </c>
      <c r="G295" s="8">
        <f>+Données!J295</f>
        <v>12054.8</v>
      </c>
      <c r="H295" s="8">
        <f>Données!U295</f>
        <v>-7221.21</v>
      </c>
      <c r="I295" s="198">
        <f>Données!V295</f>
        <v>0</v>
      </c>
      <c r="J295" s="198">
        <f>Données!W295</f>
        <v>0</v>
      </c>
      <c r="K295" s="8">
        <f>+Données!Q295</f>
        <v>11</v>
      </c>
      <c r="L295" s="411">
        <f t="shared" si="13"/>
        <v>338033.95</v>
      </c>
      <c r="M295" s="8">
        <f>+Données!F295</f>
        <v>0</v>
      </c>
      <c r="N295" s="8">
        <f>+Données!K295</f>
        <v>0</v>
      </c>
      <c r="O295" s="8">
        <f>(Données!L295/Données!Y295)*1</f>
        <v>26295.7</v>
      </c>
      <c r="P295" s="411">
        <f t="shared" si="14"/>
        <v>364329.65</v>
      </c>
      <c r="Q295" s="223">
        <f>+Données!X295</f>
        <v>71.5</v>
      </c>
      <c r="R295" s="411">
        <f t="shared" si="15"/>
        <v>5095.519580419581</v>
      </c>
    </row>
    <row r="296" spans="1:18" x14ac:dyDescent="0.25">
      <c r="A296" s="7">
        <f>Données!A296</f>
        <v>5929</v>
      </c>
      <c r="B296" s="27" t="str">
        <f>Données!B296</f>
        <v>Suchy</v>
      </c>
      <c r="C296" s="8">
        <f>Données!C296+Données!D296</f>
        <v>1300998.48</v>
      </c>
      <c r="D296" s="8">
        <f>+Données!G296+Données!H296+Données!S296</f>
        <v>36980.49</v>
      </c>
      <c r="E296" s="8">
        <f>+Données!E296</f>
        <v>0</v>
      </c>
      <c r="F296" s="8">
        <f>+Données!I296</f>
        <v>41100.15</v>
      </c>
      <c r="G296" s="8">
        <f>+Données!J296</f>
        <v>26464.74</v>
      </c>
      <c r="H296" s="8">
        <f>Données!U296</f>
        <v>-11366.04</v>
      </c>
      <c r="I296" s="198">
        <f>Données!V296</f>
        <v>0</v>
      </c>
      <c r="J296" s="198">
        <f>Données!W296</f>
        <v>-87.5</v>
      </c>
      <c r="K296" s="8">
        <f>+Données!Q296</f>
        <v>158.96</v>
      </c>
      <c r="L296" s="411">
        <f t="shared" si="13"/>
        <v>1394249.2799999998</v>
      </c>
      <c r="M296" s="8">
        <f>+Données!F296</f>
        <v>0</v>
      </c>
      <c r="N296" s="8">
        <f>+Données!K296</f>
        <v>0</v>
      </c>
      <c r="O296" s="8">
        <f>(Données!L296/Données!Y296)*1</f>
        <v>117965.75</v>
      </c>
      <c r="P296" s="411">
        <f t="shared" si="14"/>
        <v>1512215.0299999998</v>
      </c>
      <c r="Q296" s="223">
        <f>+Données!X296</f>
        <v>70</v>
      </c>
      <c r="R296" s="411">
        <f t="shared" si="15"/>
        <v>21603.071857142855</v>
      </c>
    </row>
    <row r="297" spans="1:18" s="202" customFormat="1" x14ac:dyDescent="0.25">
      <c r="A297" s="7">
        <f>Données!A297</f>
        <v>5930</v>
      </c>
      <c r="B297" s="27" t="str">
        <f>Données!B297</f>
        <v>Suscévaz</v>
      </c>
      <c r="C297" s="8">
        <f>Données!C297+Données!D297</f>
        <v>374593.95</v>
      </c>
      <c r="D297" s="8">
        <f>+Données!G297+Données!H297+Données!S297</f>
        <v>695.18</v>
      </c>
      <c r="E297" s="8">
        <f>+Données!E297</f>
        <v>0</v>
      </c>
      <c r="F297" s="8">
        <f>+Données!I297</f>
        <v>0</v>
      </c>
      <c r="G297" s="8">
        <f>+Données!J297</f>
        <v>6739.75</v>
      </c>
      <c r="H297" s="8">
        <f>Données!U297</f>
        <v>-42.39</v>
      </c>
      <c r="I297" s="198">
        <f>Données!V297</f>
        <v>0</v>
      </c>
      <c r="J297" s="198">
        <f>Données!W297</f>
        <v>-396.7</v>
      </c>
      <c r="K297" s="8">
        <f>+Données!Q297</f>
        <v>0</v>
      </c>
      <c r="L297" s="411">
        <f t="shared" si="13"/>
        <v>381589.79</v>
      </c>
      <c r="M297" s="8">
        <f>+Données!F297</f>
        <v>1150</v>
      </c>
      <c r="N297" s="8">
        <f>+Données!K297</f>
        <v>228.6</v>
      </c>
      <c r="O297" s="8">
        <f>(Données!L297/Données!Y297)*1</f>
        <v>30971.5</v>
      </c>
      <c r="P297" s="411">
        <f t="shared" si="14"/>
        <v>413939.88999999996</v>
      </c>
      <c r="Q297" s="223">
        <f>+Données!X297</f>
        <v>72</v>
      </c>
      <c r="R297" s="411">
        <f t="shared" si="15"/>
        <v>5749.1651388888886</v>
      </c>
    </row>
    <row r="298" spans="1:18" x14ac:dyDescent="0.25">
      <c r="A298" s="7">
        <f>Données!A298</f>
        <v>5931</v>
      </c>
      <c r="B298" s="27" t="str">
        <f>Données!B298</f>
        <v>Treycovagnes</v>
      </c>
      <c r="C298" s="8">
        <f>Données!C298+Données!D298</f>
        <v>1130681.82</v>
      </c>
      <c r="D298" s="8">
        <f>+Données!G298+Données!H298+Données!S298</f>
        <v>14480.01</v>
      </c>
      <c r="E298" s="8">
        <f>+Données!E298</f>
        <v>0</v>
      </c>
      <c r="F298" s="8">
        <f>+Données!I298</f>
        <v>0</v>
      </c>
      <c r="G298" s="8">
        <f>+Données!J298</f>
        <v>16964.7</v>
      </c>
      <c r="H298" s="8">
        <f>Données!U298</f>
        <v>-28547.599999999999</v>
      </c>
      <c r="I298" s="198">
        <f>Données!V298</f>
        <v>0</v>
      </c>
      <c r="J298" s="198">
        <f>Données!W298</f>
        <v>-39.6</v>
      </c>
      <c r="K298" s="8">
        <f>+Données!Q298</f>
        <v>2635.73</v>
      </c>
      <c r="L298" s="411">
        <f t="shared" si="13"/>
        <v>1136175.0599999998</v>
      </c>
      <c r="M298" s="8">
        <f>+Données!F298</f>
        <v>0</v>
      </c>
      <c r="N298" s="8">
        <f>+Données!K298</f>
        <v>1295.9000000000001</v>
      </c>
      <c r="O298" s="8">
        <f>(Données!L298/Données!Y298)*1</f>
        <v>85534.8</v>
      </c>
      <c r="P298" s="411">
        <f t="shared" si="14"/>
        <v>1223005.7599999998</v>
      </c>
      <c r="Q298" s="223">
        <f>+Données!X298</f>
        <v>75</v>
      </c>
      <c r="R298" s="411">
        <f t="shared" si="15"/>
        <v>16306.743466666663</v>
      </c>
    </row>
    <row r="299" spans="1:18" x14ac:dyDescent="0.25">
      <c r="A299" s="7">
        <f>Données!A299</f>
        <v>5932</v>
      </c>
      <c r="B299" s="27" t="str">
        <f>Données!B299</f>
        <v>Ursins</v>
      </c>
      <c r="C299" s="8">
        <f>Données!C299+Données!D299</f>
        <v>516996.56</v>
      </c>
      <c r="D299" s="8">
        <f>+Données!G299+Données!H299+Données!S299</f>
        <v>661.87</v>
      </c>
      <c r="E299" s="8">
        <f>+Données!E299</f>
        <v>0</v>
      </c>
      <c r="F299" s="8">
        <f>+Données!I299</f>
        <v>40597.800000000003</v>
      </c>
      <c r="G299" s="8">
        <f>+Données!J299</f>
        <v>5920.82</v>
      </c>
      <c r="H299" s="8">
        <f>Données!U299</f>
        <v>-4106.46</v>
      </c>
      <c r="I299" s="198">
        <f>Données!V299</f>
        <v>0</v>
      </c>
      <c r="J299" s="198">
        <f>Données!W299</f>
        <v>-53.7</v>
      </c>
      <c r="K299" s="8">
        <f>+Données!Q299</f>
        <v>56.86</v>
      </c>
      <c r="L299" s="411">
        <f t="shared" si="13"/>
        <v>560073.75</v>
      </c>
      <c r="M299" s="8">
        <f>+Données!F299</f>
        <v>1350</v>
      </c>
      <c r="N299" s="8">
        <f>+Données!K299</f>
        <v>819.5</v>
      </c>
      <c r="O299" s="8">
        <f>(Données!L299/Données!Y299)*1</f>
        <v>33679.300000000003</v>
      </c>
      <c r="P299" s="411">
        <f t="shared" si="14"/>
        <v>595922.55000000005</v>
      </c>
      <c r="Q299" s="223">
        <f>+Données!X299</f>
        <v>75</v>
      </c>
      <c r="R299" s="411">
        <f t="shared" si="15"/>
        <v>7945.6340000000009</v>
      </c>
    </row>
    <row r="300" spans="1:18" x14ac:dyDescent="0.25">
      <c r="A300" s="7">
        <f>Données!A300</f>
        <v>5933</v>
      </c>
      <c r="B300" s="27" t="str">
        <f>Données!B300</f>
        <v>Valeyres-sous-Montagny</v>
      </c>
      <c r="C300" s="8">
        <f>Données!C300+Données!D300</f>
        <v>1506193.99</v>
      </c>
      <c r="D300" s="8">
        <f>+Données!G300+Données!H300+Données!S300</f>
        <v>27733.960000000003</v>
      </c>
      <c r="E300" s="8">
        <f>+Données!E300</f>
        <v>0</v>
      </c>
      <c r="F300" s="8">
        <f>+Données!I300</f>
        <v>0</v>
      </c>
      <c r="G300" s="8">
        <f>+Données!J300</f>
        <v>15895.67</v>
      </c>
      <c r="H300" s="8">
        <f>Données!U300</f>
        <v>-21366.7</v>
      </c>
      <c r="I300" s="198">
        <f>Données!V300</f>
        <v>0</v>
      </c>
      <c r="J300" s="198">
        <f>Données!W300</f>
        <v>-0.21</v>
      </c>
      <c r="K300" s="8">
        <f>+Données!Q300</f>
        <v>153.87</v>
      </c>
      <c r="L300" s="411">
        <f t="shared" si="13"/>
        <v>1528610.58</v>
      </c>
      <c r="M300" s="8">
        <f>+Données!F300</f>
        <v>0</v>
      </c>
      <c r="N300" s="8">
        <f>+Données!K300</f>
        <v>3437.05</v>
      </c>
      <c r="O300" s="8">
        <f>(Données!L300/Données!Y300)*1</f>
        <v>123173.55</v>
      </c>
      <c r="P300" s="411">
        <f t="shared" si="14"/>
        <v>1655221.1800000002</v>
      </c>
      <c r="Q300" s="223">
        <f>+Données!X300</f>
        <v>70.5</v>
      </c>
      <c r="R300" s="411">
        <f t="shared" si="15"/>
        <v>23478.314609929079</v>
      </c>
    </row>
    <row r="301" spans="1:18" x14ac:dyDescent="0.25">
      <c r="A301" s="7">
        <f>Données!A301</f>
        <v>5934</v>
      </c>
      <c r="B301" s="27" t="str">
        <f>Données!B301</f>
        <v>Valeyres-sous-Ursins</v>
      </c>
      <c r="C301" s="8">
        <f>Données!C301+Données!D301</f>
        <v>1246913.95</v>
      </c>
      <c r="D301" s="8">
        <f>+Données!G301+Données!H301+Données!S301</f>
        <v>-80.739999999999995</v>
      </c>
      <c r="E301" s="8">
        <f>+Données!E301</f>
        <v>0</v>
      </c>
      <c r="F301" s="8">
        <f>+Données!I301</f>
        <v>0</v>
      </c>
      <c r="G301" s="8">
        <f>+Données!J301</f>
        <v>16298.23</v>
      </c>
      <c r="H301" s="8">
        <f>Données!U301</f>
        <v>-1969.43</v>
      </c>
      <c r="I301" s="198">
        <f>Données!V301</f>
        <v>0</v>
      </c>
      <c r="J301" s="198">
        <f>Données!W301</f>
        <v>0</v>
      </c>
      <c r="K301" s="8">
        <f>+Données!Q301</f>
        <v>0</v>
      </c>
      <c r="L301" s="411">
        <f t="shared" si="13"/>
        <v>1261162.01</v>
      </c>
      <c r="M301" s="8">
        <f>+Données!F301</f>
        <v>1520</v>
      </c>
      <c r="N301" s="8">
        <f>+Données!K301</f>
        <v>34.700000000000003</v>
      </c>
      <c r="O301" s="8">
        <f>(Données!L301/Données!Y301)*1</f>
        <v>29927.4</v>
      </c>
      <c r="P301" s="411">
        <f t="shared" si="14"/>
        <v>1292644.1099999999</v>
      </c>
      <c r="Q301" s="223">
        <f>+Données!X301</f>
        <v>77</v>
      </c>
      <c r="R301" s="411">
        <f t="shared" si="15"/>
        <v>16787.585844155841</v>
      </c>
    </row>
    <row r="302" spans="1:18" x14ac:dyDescent="0.25">
      <c r="A302" s="7">
        <f>Données!A302</f>
        <v>5935</v>
      </c>
      <c r="B302" s="27" t="str">
        <f>Données!B302</f>
        <v>Villars-Epeney</v>
      </c>
      <c r="C302" s="8">
        <f>Données!C302+Données!D302</f>
        <v>432217.66000000003</v>
      </c>
      <c r="D302" s="8">
        <f>+Données!G302+Données!H302+Données!S302</f>
        <v>2564.6099999999997</v>
      </c>
      <c r="E302" s="8">
        <f>+Données!E302</f>
        <v>0</v>
      </c>
      <c r="F302" s="8">
        <f>+Données!I302</f>
        <v>0</v>
      </c>
      <c r="G302" s="8">
        <f>+Données!J302</f>
        <v>1751.41</v>
      </c>
      <c r="H302" s="8">
        <f>Données!U302</f>
        <v>-14.49</v>
      </c>
      <c r="I302" s="198">
        <f>Données!V302</f>
        <v>0</v>
      </c>
      <c r="J302" s="198">
        <f>Données!W302</f>
        <v>-121.1</v>
      </c>
      <c r="K302" s="8">
        <f>+Données!Q302</f>
        <v>0</v>
      </c>
      <c r="L302" s="411">
        <f t="shared" si="13"/>
        <v>436398.09</v>
      </c>
      <c r="M302" s="8">
        <f>+Données!F302</f>
        <v>0</v>
      </c>
      <c r="N302" s="8">
        <f>+Données!K302</f>
        <v>0</v>
      </c>
      <c r="O302" s="8">
        <f>(Données!L302/Données!Y302)*1</f>
        <v>20862.05</v>
      </c>
      <c r="P302" s="411">
        <f t="shared" si="14"/>
        <v>457260.14</v>
      </c>
      <c r="Q302" s="223">
        <f>+Données!X302</f>
        <v>68</v>
      </c>
      <c r="R302" s="411">
        <f t="shared" si="15"/>
        <v>6724.4138235294122</v>
      </c>
    </row>
    <row r="303" spans="1:18" x14ac:dyDescent="0.25">
      <c r="A303" s="7">
        <f>Données!A303</f>
        <v>5937</v>
      </c>
      <c r="B303" s="27" t="str">
        <f>Données!B303</f>
        <v>Vugelles-La Mothe</v>
      </c>
      <c r="C303" s="8">
        <f>Données!C303+Données!D303</f>
        <v>215278.37000000002</v>
      </c>
      <c r="D303" s="8">
        <f>+Données!G303+Données!H303+Données!S303</f>
        <v>1418.57</v>
      </c>
      <c r="E303" s="8">
        <f>+Données!E303</f>
        <v>0</v>
      </c>
      <c r="F303" s="8">
        <f>+Données!I303</f>
        <v>0</v>
      </c>
      <c r="G303" s="8">
        <f>+Données!J303</f>
        <v>2117.29</v>
      </c>
      <c r="H303" s="8">
        <f>Données!U303</f>
        <v>-2699.57</v>
      </c>
      <c r="I303" s="198">
        <f>Données!V303</f>
        <v>0</v>
      </c>
      <c r="J303" s="198">
        <f>Données!W303</f>
        <v>0</v>
      </c>
      <c r="K303" s="8">
        <f>+Données!Q303</f>
        <v>52.83</v>
      </c>
      <c r="L303" s="411">
        <f t="shared" si="13"/>
        <v>216167.49000000002</v>
      </c>
      <c r="M303" s="8">
        <f>+Données!F303</f>
        <v>0</v>
      </c>
      <c r="N303" s="8">
        <f>+Données!K303</f>
        <v>0</v>
      </c>
      <c r="O303" s="8">
        <f>(Données!L303/Données!Y303)*1</f>
        <v>17905.100000000002</v>
      </c>
      <c r="P303" s="411">
        <f t="shared" si="14"/>
        <v>234072.59000000003</v>
      </c>
      <c r="Q303" s="223">
        <f>+Données!X303</f>
        <v>70</v>
      </c>
      <c r="R303" s="411">
        <f t="shared" si="15"/>
        <v>3343.8941428571434</v>
      </c>
    </row>
    <row r="304" spans="1:18" x14ac:dyDescent="0.25">
      <c r="A304" s="7">
        <f>Données!A304</f>
        <v>5938</v>
      </c>
      <c r="B304" s="27" t="str">
        <f>Données!B304</f>
        <v>Yverdon-les-Bains</v>
      </c>
      <c r="C304" s="8">
        <f>Données!C304+Données!D304</f>
        <v>47378408.359999999</v>
      </c>
      <c r="D304" s="8">
        <f>+Données!G304+Données!H304+Données!S304</f>
        <v>4600979.66</v>
      </c>
      <c r="E304" s="8">
        <f>+Données!E304</f>
        <v>0</v>
      </c>
      <c r="F304" s="8">
        <f>+Données!I304</f>
        <v>0</v>
      </c>
      <c r="G304" s="8">
        <f>+Données!J304</f>
        <v>2035405.47</v>
      </c>
      <c r="H304" s="8">
        <f>Données!U304</f>
        <v>-1193782.54</v>
      </c>
      <c r="I304" s="198">
        <f>Données!V304</f>
        <v>0</v>
      </c>
      <c r="J304" s="198">
        <f>Données!W304</f>
        <v>-17227.91</v>
      </c>
      <c r="K304" s="8">
        <f>+Données!Q304</f>
        <v>309378.27</v>
      </c>
      <c r="L304" s="411">
        <f t="shared" si="13"/>
        <v>53113161.310000002</v>
      </c>
      <c r="M304" s="8">
        <f>+Données!F304</f>
        <v>0</v>
      </c>
      <c r="N304" s="8">
        <f>+Données!K304</f>
        <v>733178.2</v>
      </c>
      <c r="O304" s="8">
        <f>(Données!L304/Données!Y304)*1</f>
        <v>4698262.95</v>
      </c>
      <c r="P304" s="411">
        <f t="shared" si="14"/>
        <v>58544602.460000008</v>
      </c>
      <c r="Q304" s="223">
        <f>+Données!X304</f>
        <v>75</v>
      </c>
      <c r="R304" s="411">
        <f t="shared" si="15"/>
        <v>780594.69946666679</v>
      </c>
    </row>
    <row r="305" spans="1:18" x14ac:dyDescent="0.25">
      <c r="A305" s="7">
        <f>Données!A305</f>
        <v>5939</v>
      </c>
      <c r="B305" s="27" t="str">
        <f>Données!B305</f>
        <v>Yvonand</v>
      </c>
      <c r="C305" s="8">
        <f>Données!C305+Données!D305</f>
        <v>5922390.7000000002</v>
      </c>
      <c r="D305" s="8">
        <f>+Données!G305+Données!H305+Données!S305</f>
        <v>415066.29000000004</v>
      </c>
      <c r="E305" s="8">
        <f>+Données!E305</f>
        <v>0</v>
      </c>
      <c r="F305" s="8">
        <f>+Données!I305</f>
        <v>0</v>
      </c>
      <c r="G305" s="8">
        <f>+Données!J305</f>
        <v>64905.83</v>
      </c>
      <c r="H305" s="8">
        <f>Données!U305</f>
        <v>-123423.25</v>
      </c>
      <c r="I305" s="198">
        <f>Données!V305</f>
        <v>0</v>
      </c>
      <c r="J305" s="198">
        <f>Données!W305</f>
        <v>-416.3</v>
      </c>
      <c r="K305" s="8">
        <f>+Données!Q305</f>
        <v>34210.68</v>
      </c>
      <c r="L305" s="411">
        <f t="shared" si="13"/>
        <v>6312733.9500000002</v>
      </c>
      <c r="M305" s="8">
        <f>+Données!F305</f>
        <v>0</v>
      </c>
      <c r="N305" s="8">
        <f>+Données!K305</f>
        <v>53322.6</v>
      </c>
      <c r="O305" s="8">
        <f>(Données!L305/Données!Y305)*1</f>
        <v>597639.35</v>
      </c>
      <c r="P305" s="411">
        <f t="shared" si="14"/>
        <v>6963695.8999999994</v>
      </c>
      <c r="Q305" s="223">
        <f>+Données!X305</f>
        <v>71.5</v>
      </c>
      <c r="R305" s="411">
        <f t="shared" si="15"/>
        <v>97394.348251748248</v>
      </c>
    </row>
    <row r="306" spans="1:18" x14ac:dyDescent="0.25">
      <c r="A306" s="6"/>
      <c r="B306" s="19">
        <f>COUNTA(B6:B305)</f>
        <v>300</v>
      </c>
      <c r="C306" s="9">
        <f t="shared" ref="C306:P306" si="16">SUM(C6:C305)</f>
        <v>2048412584.7499998</v>
      </c>
      <c r="D306" s="9">
        <f t="shared" si="16"/>
        <v>363307092.52999973</v>
      </c>
      <c r="E306" s="9">
        <f t="shared" si="16"/>
        <v>0</v>
      </c>
      <c r="F306" s="9">
        <f t="shared" si="16"/>
        <v>40975270.140000008</v>
      </c>
      <c r="G306" s="9">
        <f t="shared" si="16"/>
        <v>80353589.530000046</v>
      </c>
      <c r="H306" s="9">
        <f t="shared" si="16"/>
        <v>-31681422.970000003</v>
      </c>
      <c r="I306" s="9">
        <f t="shared" si="16"/>
        <v>-35431.199999999997</v>
      </c>
      <c r="J306" s="9">
        <f t="shared" si="16"/>
        <v>-5868235.3999999985</v>
      </c>
      <c r="K306" s="9">
        <f t="shared" si="16"/>
        <v>9674237.9099999946</v>
      </c>
      <c r="L306" s="412">
        <f t="shared" si="16"/>
        <v>2505137685.2899976</v>
      </c>
      <c r="M306" s="62">
        <f t="shared" si="16"/>
        <v>120898.59999999999</v>
      </c>
      <c r="N306" s="9">
        <f t="shared" si="16"/>
        <v>21427695.000000004</v>
      </c>
      <c r="O306" s="9">
        <f t="shared" si="16"/>
        <v>193697259.88831612</v>
      </c>
      <c r="P306" s="412">
        <f t="shared" si="16"/>
        <v>2720383538.778317</v>
      </c>
      <c r="Q306" s="17">
        <f>P306/R306</f>
        <v>67.55515617849629</v>
      </c>
      <c r="R306" s="412">
        <f t="shared" ref="R306" si="17">SUM(R6:R305)</f>
        <v>40269073.341943532</v>
      </c>
    </row>
    <row r="307" spans="1:18" x14ac:dyDescent="0.25">
      <c r="C307" s="5"/>
      <c r="E307" s="5"/>
      <c r="G307" s="5"/>
      <c r="H307" s="5"/>
      <c r="I307" s="5"/>
      <c r="J307" s="5"/>
      <c r="K307" s="5"/>
      <c r="L307" s="5"/>
      <c r="M307" s="5"/>
      <c r="N307" s="5"/>
      <c r="O307" s="189"/>
      <c r="P307" s="5"/>
      <c r="Q307" s="5"/>
      <c r="R307" s="5"/>
    </row>
    <row r="308" spans="1:18" x14ac:dyDescent="0.25">
      <c r="C308" s="5"/>
      <c r="H308" s="5"/>
      <c r="I308" s="5"/>
      <c r="J308" s="5"/>
      <c r="K308" s="5"/>
      <c r="L308" s="5"/>
      <c r="M308" s="5"/>
      <c r="P308" s="5"/>
      <c r="Q308" s="5"/>
      <c r="R308" s="5"/>
    </row>
    <row r="309" spans="1:18" x14ac:dyDescent="0.25">
      <c r="C309" s="5"/>
      <c r="I309" s="5"/>
      <c r="P309" s="5"/>
    </row>
    <row r="310" spans="1:18" x14ac:dyDescent="0.25">
      <c r="C310" s="5"/>
      <c r="G310" s="5"/>
      <c r="I310" s="29"/>
      <c r="P310" s="5"/>
    </row>
    <row r="311" spans="1:18" x14ac:dyDescent="0.25">
      <c r="G311" s="5"/>
      <c r="P311" s="5"/>
    </row>
    <row r="312" spans="1:18" x14ac:dyDescent="0.25">
      <c r="G312" s="5"/>
      <c r="P312" s="5"/>
    </row>
    <row r="313" spans="1:18" x14ac:dyDescent="0.25">
      <c r="G313" s="5"/>
      <c r="P313" s="211"/>
    </row>
    <row r="314" spans="1:18" x14ac:dyDescent="0.25">
      <c r="G314" s="29"/>
    </row>
    <row r="315" spans="1:18" s="5" customFormat="1" x14ac:dyDescent="0.25">
      <c r="A315" s="4"/>
    </row>
  </sheetData>
  <sheetProtection sheet="1" objects="1" scenarios="1"/>
  <mergeCells count="9">
    <mergeCell ref="O4:O5"/>
    <mergeCell ref="P4:P5"/>
    <mergeCell ref="A4:A5"/>
    <mergeCell ref="B4:B5"/>
    <mergeCell ref="K4:K5"/>
    <mergeCell ref="L4:L5"/>
    <mergeCell ref="H4:H5"/>
    <mergeCell ref="I4:I5"/>
    <mergeCell ref="J4:J5"/>
  </mergeCells>
  <phoneticPr fontId="0" type="noConversion"/>
  <hyperlinks>
    <hyperlink ref="E1" location="Données!A1" display="← Précédent" xr:uid="{BBD3D6D8-6A8D-46DD-B28F-66885CE3043A}"/>
    <hyperlink ref="F1" location="'Table des matières'!A1" display="Table des             matières" xr:uid="{A8DDC96E-1717-4FF4-AED1-4FC492DF2C51}"/>
    <hyperlink ref="G1" location="PCS!A1" display="Suivant →" xr:uid="{744A35FE-F150-4B65-9CDD-34566698A827}"/>
  </hyperlinks>
  <pageMargins left="0" right="0" top="0" bottom="0" header="0.51181102362204722" footer="0.51181102362204722"/>
  <pageSetup paperSize="8" scale="70" orientation="landscape" horizontalDpi="4294967292" vertic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tabColor rgb="FFC00000"/>
  </sheetPr>
  <dimension ref="A1:AC324"/>
  <sheetViews>
    <sheetView workbookViewId="0">
      <pane ySplit="11" topLeftCell="A12" activePane="bottomLeft" state="frozen"/>
      <selection activeCell="D32" sqref="D32"/>
      <selection pane="bottomLeft" activeCell="A12" sqref="A12"/>
    </sheetView>
  </sheetViews>
  <sheetFormatPr baseColWidth="10" defaultColWidth="10.75" defaultRowHeight="15" x14ac:dyDescent="0.25"/>
  <cols>
    <col min="1" max="1" width="7.25" style="11" customWidth="1"/>
    <col min="2" max="2" width="20.25" style="11" customWidth="1"/>
    <col min="3" max="3" width="16.25" style="11" customWidth="1"/>
    <col min="4" max="4" width="12.75" style="11" customWidth="1"/>
    <col min="5" max="5" width="16.125" style="11" customWidth="1"/>
    <col min="6" max="6" width="12.5" style="11" customWidth="1"/>
    <col min="7" max="7" width="12.125" style="11" customWidth="1"/>
    <col min="8" max="8" width="12.5" style="11" customWidth="1"/>
    <col min="9" max="9" width="10.75" style="202" bestFit="1" customWidth="1"/>
    <col min="10" max="10" width="14" style="11" customWidth="1"/>
    <col min="11" max="16" width="12.125" style="11" customWidth="1"/>
    <col min="17" max="19" width="8.125" style="11" customWidth="1"/>
    <col min="20" max="27" width="11" style="11" customWidth="1"/>
    <col min="28" max="28" width="9.25" style="11" customWidth="1"/>
    <col min="29" max="29" width="11" style="11" customWidth="1"/>
    <col min="30" max="16384" width="10.75" style="11"/>
  </cols>
  <sheetData>
    <row r="1" spans="1:29" s="33" customFormat="1" ht="26.25" x14ac:dyDescent="0.25">
      <c r="A1" s="254" t="s">
        <v>426</v>
      </c>
      <c r="B1" s="32"/>
      <c r="C1" s="49"/>
      <c r="D1" s="49"/>
      <c r="E1" s="374" t="s">
        <v>405</v>
      </c>
      <c r="F1" s="278" t="s">
        <v>397</v>
      </c>
      <c r="G1" s="439" t="s">
        <v>406</v>
      </c>
      <c r="H1" s="49"/>
      <c r="I1" s="204"/>
      <c r="J1" s="11"/>
      <c r="K1" s="11"/>
      <c r="L1" s="11"/>
      <c r="M1" s="11"/>
      <c r="N1" s="11"/>
      <c r="O1" s="11"/>
      <c r="P1" s="11"/>
      <c r="Q1" s="11"/>
      <c r="R1" s="11"/>
      <c r="S1" s="11"/>
      <c r="T1" s="11"/>
      <c r="U1" s="11"/>
      <c r="V1" s="11"/>
      <c r="W1" s="11"/>
      <c r="X1" s="11"/>
      <c r="Y1" s="11"/>
      <c r="Z1" s="11"/>
      <c r="AA1" s="11"/>
      <c r="AB1" s="11"/>
      <c r="AC1" s="11"/>
    </row>
    <row r="2" spans="1:29" s="33" customFormat="1" ht="15.75" x14ac:dyDescent="0.25">
      <c r="A2" s="327" t="str">
        <f>Paramètres!B4</f>
        <v>Décompte 2022</v>
      </c>
      <c r="B2" s="32"/>
      <c r="C2" s="204"/>
      <c r="D2" s="204"/>
      <c r="E2" s="204"/>
      <c r="F2" s="204"/>
      <c r="G2" s="204"/>
      <c r="H2" s="204"/>
      <c r="I2" s="204"/>
      <c r="J2" s="202"/>
      <c r="K2" s="202"/>
      <c r="L2" s="202"/>
      <c r="M2" s="202"/>
      <c r="N2" s="202"/>
      <c r="O2" s="202"/>
      <c r="P2" s="202"/>
      <c r="Q2" s="202"/>
      <c r="R2" s="202"/>
      <c r="S2" s="202"/>
      <c r="T2" s="202"/>
      <c r="U2" s="202"/>
      <c r="V2" s="202"/>
      <c r="W2" s="202"/>
      <c r="X2" s="202"/>
      <c r="Y2" s="202"/>
      <c r="Z2" s="202"/>
      <c r="AA2" s="202"/>
      <c r="AB2" s="202"/>
      <c r="AC2" s="202"/>
    </row>
    <row r="3" spans="1:29" s="40" customFormat="1" x14ac:dyDescent="0.25">
      <c r="A3" s="22"/>
      <c r="D3" s="11"/>
      <c r="E3" s="11"/>
      <c r="F3" s="11"/>
      <c r="G3" s="11"/>
      <c r="H3" s="343"/>
      <c r="I3" s="343"/>
      <c r="J3" s="11"/>
      <c r="K3" s="11"/>
      <c r="L3" s="11"/>
      <c r="M3" s="11"/>
      <c r="N3" s="11"/>
      <c r="O3" s="11"/>
      <c r="P3" s="11"/>
      <c r="Q3" s="11"/>
      <c r="R3" s="11"/>
      <c r="S3" s="11"/>
      <c r="T3" s="11"/>
      <c r="U3" s="11"/>
      <c r="V3" s="11"/>
      <c r="W3" s="11"/>
      <c r="X3" s="11"/>
      <c r="Y3" s="11"/>
      <c r="Z3" s="11"/>
      <c r="AA3" s="11"/>
      <c r="AB3" s="11"/>
      <c r="AC3" s="11"/>
    </row>
    <row r="4" spans="1:29" s="40" customFormat="1" ht="15" customHeight="1" x14ac:dyDescent="0.25">
      <c r="A4" s="734" t="s">
        <v>414</v>
      </c>
      <c r="B4" s="735"/>
      <c r="C4" s="735"/>
      <c r="D4" s="301" t="s">
        <v>380</v>
      </c>
      <c r="E4" s="303" t="s">
        <v>380</v>
      </c>
      <c r="F4" s="202"/>
      <c r="G4" s="355"/>
      <c r="H4" s="355"/>
      <c r="I4" s="355"/>
      <c r="J4" s="11"/>
      <c r="K4" s="11"/>
      <c r="L4" s="11"/>
      <c r="M4" s="11"/>
      <c r="N4" s="11"/>
      <c r="O4" s="11"/>
      <c r="P4" s="11"/>
      <c r="Q4" s="11"/>
      <c r="R4" s="11"/>
      <c r="S4" s="11"/>
      <c r="T4" s="11"/>
      <c r="U4" s="11"/>
      <c r="V4" s="11"/>
      <c r="W4" s="11"/>
      <c r="X4" s="11"/>
      <c r="Y4" s="11"/>
      <c r="Z4" s="11"/>
      <c r="AA4" s="11"/>
      <c r="AB4" s="11"/>
      <c r="AC4" s="11"/>
    </row>
    <row r="5" spans="1:29" s="417" customFormat="1" ht="18" customHeight="1" x14ac:dyDescent="0.2">
      <c r="A5" s="743" t="s">
        <v>422</v>
      </c>
      <c r="B5" s="744"/>
      <c r="C5" s="414">
        <f>+Paramètres!B11</f>
        <v>773176130</v>
      </c>
      <c r="D5" s="415">
        <f>C5/$E$5</f>
        <v>19.200246388452992</v>
      </c>
      <c r="E5" s="416">
        <f>VPI!R306</f>
        <v>40269073.341943532</v>
      </c>
      <c r="F5" s="285"/>
      <c r="G5" s="355"/>
      <c r="H5" s="355"/>
      <c r="I5" s="355"/>
      <c r="J5" s="285"/>
      <c r="K5" s="285"/>
      <c r="L5" s="285"/>
      <c r="M5" s="285"/>
      <c r="N5" s="285"/>
      <c r="O5" s="285"/>
      <c r="P5" s="285"/>
      <c r="Q5" s="285"/>
      <c r="R5" s="285"/>
      <c r="S5" s="285"/>
      <c r="T5" s="285"/>
      <c r="U5" s="285"/>
      <c r="V5" s="285"/>
      <c r="W5" s="285"/>
      <c r="X5" s="285"/>
      <c r="Y5" s="285"/>
      <c r="Z5" s="285"/>
      <c r="AA5" s="285"/>
      <c r="AB5" s="285"/>
      <c r="AC5" s="285"/>
    </row>
    <row r="6" spans="1:29" s="417" customFormat="1" ht="18" customHeight="1" x14ac:dyDescent="0.2">
      <c r="A6" s="745" t="s">
        <v>309</v>
      </c>
      <c r="B6" s="746"/>
      <c r="C6" s="418">
        <f>-F312</f>
        <v>-173625396.14499992</v>
      </c>
      <c r="D6" s="419">
        <f>C6/$E$5</f>
        <v>-4.3116312776970425</v>
      </c>
      <c r="E6" s="420"/>
      <c r="F6" s="285"/>
      <c r="G6" s="355"/>
      <c r="H6" s="355"/>
      <c r="I6" s="355"/>
      <c r="J6" s="285"/>
      <c r="K6" s="285"/>
      <c r="L6" s="285"/>
      <c r="M6" s="285"/>
      <c r="N6" s="285"/>
      <c r="O6" s="285"/>
      <c r="P6" s="285"/>
      <c r="Q6" s="285"/>
      <c r="R6" s="285"/>
      <c r="S6" s="285"/>
      <c r="T6" s="285"/>
      <c r="U6" s="285"/>
      <c r="V6" s="285"/>
      <c r="W6" s="285"/>
      <c r="X6" s="285"/>
      <c r="Y6" s="285"/>
      <c r="Z6" s="285"/>
      <c r="AA6" s="285"/>
      <c r="AB6" s="285"/>
      <c r="AC6" s="285"/>
    </row>
    <row r="7" spans="1:29" s="417" customFormat="1" ht="18" customHeight="1" x14ac:dyDescent="0.2">
      <c r="A7" s="747" t="s">
        <v>310</v>
      </c>
      <c r="B7" s="748"/>
      <c r="C7" s="421">
        <f>-Ecrêtage!M306</f>
        <v>-130113745.64626393</v>
      </c>
      <c r="D7" s="422">
        <f>C7/$E$5</f>
        <v>-3.2311085120188205</v>
      </c>
      <c r="E7" s="420"/>
      <c r="F7" s="285"/>
      <c r="G7" s="355"/>
      <c r="H7" s="355"/>
      <c r="I7" s="355"/>
      <c r="J7" s="285"/>
      <c r="K7" s="285"/>
      <c r="L7" s="285"/>
      <c r="M7" s="285"/>
      <c r="N7" s="285"/>
      <c r="O7" s="285"/>
      <c r="P7" s="285"/>
      <c r="Q7" s="285"/>
      <c r="R7" s="285"/>
      <c r="S7" s="285"/>
      <c r="T7" s="285"/>
      <c r="U7" s="285"/>
      <c r="V7" s="285"/>
      <c r="W7" s="285"/>
      <c r="X7" s="285"/>
      <c r="Y7" s="285"/>
      <c r="Z7" s="285"/>
      <c r="AA7" s="285"/>
      <c r="AB7" s="285"/>
      <c r="AC7" s="285"/>
    </row>
    <row r="8" spans="1:29" s="417" customFormat="1" ht="18" customHeight="1" x14ac:dyDescent="0.2">
      <c r="A8" s="743" t="s">
        <v>423</v>
      </c>
      <c r="B8" s="744"/>
      <c r="C8" s="414">
        <f>C5+C7+C6</f>
        <v>469436988.20873612</v>
      </c>
      <c r="D8" s="415">
        <f>C8/$E$5</f>
        <v>11.657506598737129</v>
      </c>
      <c r="E8" s="420"/>
      <c r="F8" s="285"/>
      <c r="G8" s="355"/>
      <c r="H8" s="355"/>
      <c r="I8" s="355"/>
      <c r="J8" s="285"/>
      <c r="K8" s="285"/>
      <c r="L8" s="285"/>
      <c r="M8" s="285"/>
      <c r="N8" s="285"/>
      <c r="O8" s="285"/>
      <c r="P8" s="285"/>
      <c r="Q8" s="285"/>
      <c r="R8" s="285"/>
      <c r="S8" s="285"/>
      <c r="T8" s="285"/>
      <c r="U8" s="285"/>
      <c r="V8" s="285"/>
      <c r="W8" s="285"/>
      <c r="X8" s="285"/>
      <c r="Y8" s="285"/>
      <c r="Z8" s="285"/>
      <c r="AA8" s="285"/>
      <c r="AB8" s="285"/>
      <c r="AC8" s="285"/>
    </row>
    <row r="9" spans="1:29" s="40" customFormat="1" x14ac:dyDescent="0.25">
      <c r="A9" s="22"/>
      <c r="D9" s="11"/>
      <c r="E9" s="11"/>
      <c r="F9" s="11"/>
      <c r="G9" s="11"/>
      <c r="J9" s="11"/>
      <c r="K9" s="11"/>
      <c r="L9" s="11"/>
      <c r="M9" s="11"/>
      <c r="N9" s="11"/>
      <c r="O9" s="11"/>
      <c r="P9" s="11"/>
      <c r="Q9" s="11"/>
      <c r="R9" s="11"/>
      <c r="S9" s="11"/>
      <c r="T9" s="11"/>
      <c r="U9" s="11"/>
      <c r="V9" s="11"/>
      <c r="W9" s="11"/>
      <c r="X9" s="11"/>
      <c r="Y9" s="11"/>
      <c r="Z9" s="11"/>
      <c r="AA9" s="11"/>
      <c r="AB9" s="11"/>
      <c r="AC9" s="11"/>
    </row>
    <row r="10" spans="1:29" ht="49.5" customHeight="1" x14ac:dyDescent="0.25">
      <c r="A10" s="736" t="s">
        <v>44</v>
      </c>
      <c r="B10" s="740" t="s">
        <v>84</v>
      </c>
      <c r="C10" s="736" t="s">
        <v>496</v>
      </c>
      <c r="D10" s="291" t="s">
        <v>421</v>
      </c>
      <c r="E10" s="291" t="s">
        <v>528</v>
      </c>
      <c r="F10" s="736" t="s">
        <v>350</v>
      </c>
      <c r="G10" s="740" t="s">
        <v>365</v>
      </c>
      <c r="H10" s="301" t="s">
        <v>484</v>
      </c>
      <c r="I10" s="738" t="s">
        <v>334</v>
      </c>
    </row>
    <row r="11" spans="1:29" ht="14.45" customHeight="1" x14ac:dyDescent="0.25">
      <c r="A11" s="737"/>
      <c r="B11" s="741"/>
      <c r="C11" s="742"/>
      <c r="D11" s="292">
        <f>Paramètres!B20</f>
        <v>0.3</v>
      </c>
      <c r="E11" s="293">
        <f>Paramètres!B19</f>
        <v>0.5</v>
      </c>
      <c r="F11" s="737"/>
      <c r="G11" s="741"/>
      <c r="H11" s="423">
        <f>D8</f>
        <v>11.657506598737129</v>
      </c>
      <c r="I11" s="739"/>
    </row>
    <row r="12" spans="1:29" x14ac:dyDescent="0.25">
      <c r="A12" s="36">
        <f>Données!A6</f>
        <v>5401</v>
      </c>
      <c r="B12" s="472" t="str">
        <f>Données!B6</f>
        <v>Aigle</v>
      </c>
      <c r="C12" s="302">
        <f>VPI!R6</f>
        <v>294634.51575757569</v>
      </c>
      <c r="D12" s="41">
        <f>Données!N6</f>
        <v>1326279.6499999999</v>
      </c>
      <c r="E12" s="221">
        <f>Données!O6+Données!P6+Données!R6</f>
        <v>1898594.2999999998</v>
      </c>
      <c r="F12" s="440">
        <f>D12*$D$11+E12*$E$11</f>
        <v>1347181.0449999999</v>
      </c>
      <c r="G12" s="440">
        <f>Ecrêtage!M6</f>
        <v>0</v>
      </c>
      <c r="H12" s="441">
        <f t="shared" ref="H12" si="0">$H$11*C12</f>
        <v>3434703.8116596574</v>
      </c>
      <c r="I12" s="294">
        <f t="shared" ref="I12" si="1">F12+H12+G12</f>
        <v>4781884.8566596573</v>
      </c>
    </row>
    <row r="13" spans="1:29" s="35" customFormat="1" x14ac:dyDescent="0.25">
      <c r="A13" s="38">
        <f>Données!A7</f>
        <v>5402</v>
      </c>
      <c r="B13" s="473" t="str">
        <f>Données!B7</f>
        <v>Bex</v>
      </c>
      <c r="C13" s="31">
        <f>VPI!R7</f>
        <v>191961.18746478873</v>
      </c>
      <c r="D13" s="8">
        <f>Données!N7</f>
        <v>327388.7</v>
      </c>
      <c r="E13" s="221">
        <f>Données!O7+Données!P7+Données!R7</f>
        <v>1644383.65</v>
      </c>
      <c r="F13" s="440">
        <f t="shared" ref="F13:F76" si="2">D13*$D$11+E13*$E$11</f>
        <v>920408.43499999994</v>
      </c>
      <c r="G13" s="440">
        <f>Ecrêtage!M7</f>
        <v>0</v>
      </c>
      <c r="H13" s="441">
        <f t="shared" ref="H13:H76" si="3">$H$11*C13</f>
        <v>2237788.8095721896</v>
      </c>
      <c r="I13" s="294">
        <f t="shared" ref="I13:I76" si="4">F13+H13+G13</f>
        <v>3158197.2445721896</v>
      </c>
    </row>
    <row r="14" spans="1:29" s="35" customFormat="1" x14ac:dyDescent="0.25">
      <c r="A14" s="38">
        <f>Données!A8</f>
        <v>5403</v>
      </c>
      <c r="B14" s="473" t="str">
        <f>Données!B8</f>
        <v>Chessel</v>
      </c>
      <c r="C14" s="31">
        <f>VPI!R8</f>
        <v>13521.430615384616</v>
      </c>
      <c r="D14" s="8">
        <f>Données!N8</f>
        <v>5643</v>
      </c>
      <c r="E14" s="221">
        <f>Données!O8+Données!P8+Données!R8</f>
        <v>29347.25</v>
      </c>
      <c r="F14" s="440">
        <f t="shared" si="2"/>
        <v>16366.525</v>
      </c>
      <c r="G14" s="440">
        <f>Ecrêtage!M8</f>
        <v>0</v>
      </c>
      <c r="H14" s="441">
        <f t="shared" si="3"/>
        <v>157626.1666232124</v>
      </c>
      <c r="I14" s="294">
        <f t="shared" si="4"/>
        <v>173992.69162321239</v>
      </c>
    </row>
    <row r="15" spans="1:29" s="35" customFormat="1" x14ac:dyDescent="0.25">
      <c r="A15" s="38">
        <f>Données!A9</f>
        <v>5404</v>
      </c>
      <c r="B15" s="473" t="str">
        <f>Données!B9</f>
        <v>Corbeyrier</v>
      </c>
      <c r="C15" s="31">
        <f>VPI!R9</f>
        <v>11663.247882882884</v>
      </c>
      <c r="D15" s="8">
        <f>Données!N9</f>
        <v>21844.1</v>
      </c>
      <c r="E15" s="221">
        <f>Données!O9+Données!P9+Données!R9</f>
        <v>196036.3</v>
      </c>
      <c r="F15" s="440">
        <f t="shared" si="2"/>
        <v>104571.37999999999</v>
      </c>
      <c r="G15" s="440">
        <f>Ecrêtage!M9</f>
        <v>0</v>
      </c>
      <c r="H15" s="441">
        <f t="shared" si="3"/>
        <v>135964.38915741409</v>
      </c>
      <c r="I15" s="294">
        <f t="shared" si="4"/>
        <v>240535.76915741409</v>
      </c>
    </row>
    <row r="16" spans="1:29" s="35" customFormat="1" x14ac:dyDescent="0.25">
      <c r="A16" s="38">
        <f>Données!A10</f>
        <v>5405</v>
      </c>
      <c r="B16" s="473" t="str">
        <f>Données!B10</f>
        <v>Gryon</v>
      </c>
      <c r="C16" s="31">
        <f>VPI!R10</f>
        <v>73286.214467120197</v>
      </c>
      <c r="D16" s="8">
        <f>Données!N10</f>
        <v>3649.4</v>
      </c>
      <c r="E16" s="221">
        <f>Données!O10+Données!P10+Données!R10</f>
        <v>1184528.5499999998</v>
      </c>
      <c r="F16" s="440">
        <f t="shared" si="2"/>
        <v>593359.09499999986</v>
      </c>
      <c r="G16" s="440">
        <f>Ecrêtage!M10</f>
        <v>87616.780407451646</v>
      </c>
      <c r="H16" s="441">
        <f t="shared" si="3"/>
        <v>854334.52874691819</v>
      </c>
      <c r="I16" s="294">
        <f t="shared" si="4"/>
        <v>1535310.4041543696</v>
      </c>
    </row>
    <row r="17" spans="1:9" s="35" customFormat="1" x14ac:dyDescent="0.25">
      <c r="A17" s="38">
        <f>Données!A11</f>
        <v>5406</v>
      </c>
      <c r="B17" s="473" t="str">
        <f>Données!B11</f>
        <v>Lavey-Morcles</v>
      </c>
      <c r="C17" s="31">
        <f>VPI!R11</f>
        <v>22111.529381387842</v>
      </c>
      <c r="D17" s="8">
        <f>Données!N11</f>
        <v>9333.2999999999993</v>
      </c>
      <c r="E17" s="221">
        <f>Données!O11+Données!P11+Données!R11</f>
        <v>329097.7</v>
      </c>
      <c r="F17" s="440">
        <f t="shared" si="2"/>
        <v>167348.84</v>
      </c>
      <c r="G17" s="440">
        <f>Ecrêtage!M11</f>
        <v>0</v>
      </c>
      <c r="H17" s="441">
        <f t="shared" si="3"/>
        <v>257765.29967169868</v>
      </c>
      <c r="I17" s="294">
        <f t="shared" si="4"/>
        <v>425114.13967169868</v>
      </c>
    </row>
    <row r="18" spans="1:9" s="35" customFormat="1" x14ac:dyDescent="0.25">
      <c r="A18" s="38">
        <f>Données!A12</f>
        <v>5407</v>
      </c>
      <c r="B18" s="473" t="str">
        <f>Données!B12</f>
        <v>Leysin</v>
      </c>
      <c r="C18" s="31">
        <f>VPI!R12</f>
        <v>89841.412521367529</v>
      </c>
      <c r="D18" s="8">
        <f>Données!N12</f>
        <v>86933</v>
      </c>
      <c r="E18" s="221">
        <f>Données!O12+Données!P12+Données!R12</f>
        <v>899160.45</v>
      </c>
      <c r="F18" s="440">
        <f t="shared" si="2"/>
        <v>475660.125</v>
      </c>
      <c r="G18" s="440">
        <f>Ecrêtage!M12</f>
        <v>0</v>
      </c>
      <c r="H18" s="441">
        <f t="shared" si="3"/>
        <v>1047326.8593077065</v>
      </c>
      <c r="I18" s="294">
        <f t="shared" si="4"/>
        <v>1522986.9843077064</v>
      </c>
    </row>
    <row r="19" spans="1:9" s="35" customFormat="1" x14ac:dyDescent="0.25">
      <c r="A19" s="38">
        <f>Données!A13</f>
        <v>5408</v>
      </c>
      <c r="B19" s="473" t="str">
        <f>Données!B13</f>
        <v>Noville</v>
      </c>
      <c r="C19" s="31">
        <f>VPI!R13</f>
        <v>41973.380088888902</v>
      </c>
      <c r="D19" s="8">
        <f>Données!N13</f>
        <v>164080.04999999999</v>
      </c>
      <c r="E19" s="221">
        <f>Données!O13+Données!P13+Données!R13</f>
        <v>157495.15</v>
      </c>
      <c r="F19" s="440">
        <f t="shared" si="2"/>
        <v>127971.59</v>
      </c>
      <c r="G19" s="440">
        <f>Ecrêtage!M13</f>
        <v>0</v>
      </c>
      <c r="H19" s="441">
        <f t="shared" si="3"/>
        <v>489304.95535752398</v>
      </c>
      <c r="I19" s="294">
        <f t="shared" si="4"/>
        <v>617276.54535752395</v>
      </c>
    </row>
    <row r="20" spans="1:9" s="35" customFormat="1" x14ac:dyDescent="0.25">
      <c r="A20" s="38">
        <f>Données!A14</f>
        <v>5409</v>
      </c>
      <c r="B20" s="473" t="str">
        <f>Données!B14</f>
        <v>Ollon</v>
      </c>
      <c r="C20" s="31">
        <f>VPI!R14</f>
        <v>405938.29721719451</v>
      </c>
      <c r="D20" s="8">
        <f>Données!N14</f>
        <v>96927.8</v>
      </c>
      <c r="E20" s="221">
        <f>Données!O14+Données!P14+Données!R14</f>
        <v>4832229.6500000004</v>
      </c>
      <c r="F20" s="440">
        <f t="shared" si="2"/>
        <v>2445193.165</v>
      </c>
      <c r="G20" s="440">
        <f>Ecrêtage!M14</f>
        <v>268895.54812972556</v>
      </c>
      <c r="H20" s="441">
        <f t="shared" si="3"/>
        <v>4732228.3784895586</v>
      </c>
      <c r="I20" s="294">
        <f t="shared" si="4"/>
        <v>7446317.0916192839</v>
      </c>
    </row>
    <row r="21" spans="1:9" s="35" customFormat="1" x14ac:dyDescent="0.25">
      <c r="A21" s="38">
        <f>Données!A15</f>
        <v>5410</v>
      </c>
      <c r="B21" s="473" t="str">
        <f>Données!B15</f>
        <v>Ormont-Dessous</v>
      </c>
      <c r="C21" s="31">
        <f>VPI!R15</f>
        <v>38413.35632034632</v>
      </c>
      <c r="D21" s="8">
        <f>Données!N15</f>
        <v>10917.9</v>
      </c>
      <c r="E21" s="221">
        <f>Données!O15+Données!P15+Données!R15</f>
        <v>510827.2</v>
      </c>
      <c r="F21" s="440">
        <f t="shared" si="2"/>
        <v>258688.97</v>
      </c>
      <c r="G21" s="440">
        <f>Ecrêtage!M15</f>
        <v>0</v>
      </c>
      <c r="H21" s="441">
        <f t="shared" si="3"/>
        <v>447803.95478407783</v>
      </c>
      <c r="I21" s="294">
        <f t="shared" si="4"/>
        <v>706492.9247840778</v>
      </c>
    </row>
    <row r="22" spans="1:9" s="35" customFormat="1" x14ac:dyDescent="0.25">
      <c r="A22" s="38">
        <f>Données!A16</f>
        <v>5411</v>
      </c>
      <c r="B22" s="473" t="str">
        <f>Données!B16</f>
        <v>Ormont-Dessus</v>
      </c>
      <c r="C22" s="31">
        <f>VPI!R16</f>
        <v>76161.465657894747</v>
      </c>
      <c r="D22" s="8">
        <f>Données!N16</f>
        <v>2113.6</v>
      </c>
      <c r="E22" s="221">
        <f>Données!O16+Données!P16+Données!R16</f>
        <v>1200626.8999999999</v>
      </c>
      <c r="F22" s="440">
        <f t="shared" si="2"/>
        <v>600947.52999999991</v>
      </c>
      <c r="G22" s="440">
        <f>Ecrêtage!M16</f>
        <v>107777.55980433243</v>
      </c>
      <c r="H22" s="441">
        <f t="shared" si="3"/>
        <v>887852.78847639926</v>
      </c>
      <c r="I22" s="294">
        <f t="shared" si="4"/>
        <v>1596577.8782807316</v>
      </c>
    </row>
    <row r="23" spans="1:9" s="35" customFormat="1" x14ac:dyDescent="0.25">
      <c r="A23" s="38">
        <f>Données!A17</f>
        <v>5412</v>
      </c>
      <c r="B23" s="473" t="str">
        <f>Données!B17</f>
        <v>Rennaz</v>
      </c>
      <c r="C23" s="31">
        <f>VPI!R17</f>
        <v>32240.440579710143</v>
      </c>
      <c r="D23" s="8">
        <f>Données!N17</f>
        <v>916742.45</v>
      </c>
      <c r="E23" s="221">
        <f>Données!O17+Données!P17+Données!R17</f>
        <v>303300.84999999998</v>
      </c>
      <c r="F23" s="440">
        <f t="shared" si="2"/>
        <v>426673.16</v>
      </c>
      <c r="G23" s="440">
        <f>Ecrêtage!M17</f>
        <v>0</v>
      </c>
      <c r="H23" s="441">
        <f t="shared" si="3"/>
        <v>375843.14880416327</v>
      </c>
      <c r="I23" s="294">
        <f t="shared" si="4"/>
        <v>802516.30880416324</v>
      </c>
    </row>
    <row r="24" spans="1:9" s="35" customFormat="1" x14ac:dyDescent="0.25">
      <c r="A24" s="38">
        <f>Données!A18</f>
        <v>5413</v>
      </c>
      <c r="B24" s="473" t="str">
        <f>Données!B18</f>
        <v>Roche</v>
      </c>
      <c r="C24" s="31">
        <f>VPI!R18</f>
        <v>42596.643504901964</v>
      </c>
      <c r="D24" s="8">
        <f>Données!N18</f>
        <v>281315.65000000002</v>
      </c>
      <c r="E24" s="221">
        <f>Données!O18+Données!P18+Données!R18</f>
        <v>641229.10000000009</v>
      </c>
      <c r="F24" s="440">
        <f t="shared" si="2"/>
        <v>405009.24500000005</v>
      </c>
      <c r="G24" s="440">
        <f>Ecrêtage!M18</f>
        <v>0</v>
      </c>
      <c r="H24" s="441">
        <f t="shared" si="3"/>
        <v>496570.65274244768</v>
      </c>
      <c r="I24" s="294">
        <f t="shared" si="4"/>
        <v>901579.89774244768</v>
      </c>
    </row>
    <row r="25" spans="1:9" s="35" customFormat="1" x14ac:dyDescent="0.25">
      <c r="A25" s="38">
        <f>Données!A19</f>
        <v>5414</v>
      </c>
      <c r="B25" s="473" t="str">
        <f>Données!B19</f>
        <v>Villeneuve</v>
      </c>
      <c r="C25" s="31">
        <f>VPI!R19</f>
        <v>165881.46711111109</v>
      </c>
      <c r="D25" s="8">
        <f>Données!N19</f>
        <v>1394258.5</v>
      </c>
      <c r="E25" s="221">
        <f>Données!O19+Données!P19+Données!R19</f>
        <v>1282307.3500000001</v>
      </c>
      <c r="F25" s="440">
        <f t="shared" si="2"/>
        <v>1059431.2250000001</v>
      </c>
      <c r="G25" s="440">
        <f>Ecrêtage!M19</f>
        <v>0</v>
      </c>
      <c r="H25" s="441">
        <f t="shared" si="3"/>
        <v>1933764.2974559737</v>
      </c>
      <c r="I25" s="294">
        <f t="shared" si="4"/>
        <v>2993195.5224559736</v>
      </c>
    </row>
    <row r="26" spans="1:9" s="35" customFormat="1" x14ac:dyDescent="0.25">
      <c r="A26" s="38">
        <f>Données!A20</f>
        <v>5415</v>
      </c>
      <c r="B26" s="473" t="str">
        <f>Données!B20</f>
        <v>Yvorne</v>
      </c>
      <c r="C26" s="31">
        <f>VPI!R20</f>
        <v>33675.515990675995</v>
      </c>
      <c r="D26" s="8">
        <f>Données!N20</f>
        <v>34023.050000000003</v>
      </c>
      <c r="E26" s="221">
        <f>Données!O20+Données!P20+Données!R20</f>
        <v>369043.95</v>
      </c>
      <c r="F26" s="440">
        <f t="shared" si="2"/>
        <v>194728.89</v>
      </c>
      <c r="G26" s="440">
        <f>Ecrêtage!M20</f>
        <v>0</v>
      </c>
      <c r="H26" s="441">
        <f t="shared" si="3"/>
        <v>392572.5498771831</v>
      </c>
      <c r="I26" s="294">
        <f t="shared" si="4"/>
        <v>587301.43987718318</v>
      </c>
    </row>
    <row r="27" spans="1:9" s="35" customFormat="1" x14ac:dyDescent="0.25">
      <c r="A27" s="38">
        <f>Données!A21</f>
        <v>5422</v>
      </c>
      <c r="B27" s="473" t="str">
        <f>Données!B21</f>
        <v>Aubonne</v>
      </c>
      <c r="C27" s="31">
        <f>VPI!R21</f>
        <v>297608.37742857152</v>
      </c>
      <c r="D27" s="8">
        <f>Données!N21</f>
        <v>752200.65</v>
      </c>
      <c r="E27" s="221">
        <f>Données!O21+Données!P21+Données!R21</f>
        <v>2582963.15</v>
      </c>
      <c r="F27" s="440">
        <f t="shared" si="2"/>
        <v>1517141.77</v>
      </c>
      <c r="G27" s="440">
        <f>Ecrêtage!M21</f>
        <v>2285977.3308534981</v>
      </c>
      <c r="H27" s="441">
        <f t="shared" si="3"/>
        <v>3469371.6237130226</v>
      </c>
      <c r="I27" s="294">
        <f t="shared" si="4"/>
        <v>7272490.7245665211</v>
      </c>
    </row>
    <row r="28" spans="1:9" s="35" customFormat="1" x14ac:dyDescent="0.25">
      <c r="A28" s="38">
        <f>Données!A22</f>
        <v>5423</v>
      </c>
      <c r="B28" s="473" t="str">
        <f>Données!B22</f>
        <v>Ballens</v>
      </c>
      <c r="C28" s="31">
        <f>VPI!R22</f>
        <v>17345.890547945211</v>
      </c>
      <c r="D28" s="8">
        <f>Données!N22</f>
        <v>31754.2</v>
      </c>
      <c r="E28" s="221">
        <f>Données!O22+Données!P22+Données!R22</f>
        <v>208105.2</v>
      </c>
      <c r="F28" s="440">
        <f t="shared" si="2"/>
        <v>113578.86</v>
      </c>
      <c r="G28" s="440">
        <f>Ecrêtage!M22</f>
        <v>0</v>
      </c>
      <c r="H28" s="441">
        <f t="shared" si="3"/>
        <v>202209.83352364329</v>
      </c>
      <c r="I28" s="294">
        <f t="shared" si="4"/>
        <v>315788.69352364331</v>
      </c>
    </row>
    <row r="29" spans="1:9" s="35" customFormat="1" x14ac:dyDescent="0.25">
      <c r="A29" s="38">
        <f>Données!A23</f>
        <v>5424</v>
      </c>
      <c r="B29" s="473" t="str">
        <f>Données!B23</f>
        <v>Berolle</v>
      </c>
      <c r="C29" s="31">
        <f>VPI!R23</f>
        <v>10263.254304635762</v>
      </c>
      <c r="D29" s="8">
        <f>Données!N23</f>
        <v>0</v>
      </c>
      <c r="E29" s="221">
        <f>Données!O23+Données!P23+Données!R23</f>
        <v>77094.850000000006</v>
      </c>
      <c r="F29" s="440">
        <f t="shared" si="2"/>
        <v>38547.425000000003</v>
      </c>
      <c r="G29" s="440">
        <f>Ecrêtage!M23</f>
        <v>0</v>
      </c>
      <c r="H29" s="441">
        <f t="shared" si="3"/>
        <v>119643.95478080864</v>
      </c>
      <c r="I29" s="294">
        <f t="shared" si="4"/>
        <v>158191.37978080864</v>
      </c>
    </row>
    <row r="30" spans="1:9" s="35" customFormat="1" x14ac:dyDescent="0.25">
      <c r="A30" s="38">
        <f>Données!A24</f>
        <v>5425</v>
      </c>
      <c r="B30" s="473" t="str">
        <f>Données!B24</f>
        <v>Bière</v>
      </c>
      <c r="C30" s="31">
        <f>VPI!R24</f>
        <v>42247.955252373817</v>
      </c>
      <c r="D30" s="8">
        <f>Données!N24</f>
        <v>82325.3</v>
      </c>
      <c r="E30" s="221">
        <f>Données!O24+Données!P24+Données!R24</f>
        <v>187241.1</v>
      </c>
      <c r="F30" s="440">
        <f t="shared" si="2"/>
        <v>118318.14</v>
      </c>
      <c r="G30" s="440">
        <f>Ecrêtage!M24</f>
        <v>0</v>
      </c>
      <c r="H30" s="441">
        <f t="shared" si="3"/>
        <v>492505.8171376987</v>
      </c>
      <c r="I30" s="294">
        <f t="shared" si="4"/>
        <v>610823.95713769866</v>
      </c>
    </row>
    <row r="31" spans="1:9" s="35" customFormat="1" x14ac:dyDescent="0.25">
      <c r="A31" s="38">
        <f>Données!A25</f>
        <v>5426</v>
      </c>
      <c r="B31" s="473" t="str">
        <f>Données!B25</f>
        <v>Bougy-Villars</v>
      </c>
      <c r="C31" s="31">
        <f>VPI!R25</f>
        <v>61945.082222222212</v>
      </c>
      <c r="D31" s="8">
        <f>Données!N25</f>
        <v>14437.65</v>
      </c>
      <c r="E31" s="221">
        <f>Données!O25+Données!P25+Données!R25</f>
        <v>709184.05</v>
      </c>
      <c r="F31" s="440">
        <f t="shared" si="2"/>
        <v>358923.32</v>
      </c>
      <c r="G31" s="440">
        <f>Ecrêtage!M25</f>
        <v>937828.91447027458</v>
      </c>
      <c r="H31" s="441">
        <f t="shared" si="3"/>
        <v>722125.20476486941</v>
      </c>
      <c r="I31" s="294">
        <f t="shared" si="4"/>
        <v>2018877.4392351438</v>
      </c>
    </row>
    <row r="32" spans="1:9" s="35" customFormat="1" x14ac:dyDescent="0.25">
      <c r="A32" s="38">
        <f>Données!A26</f>
        <v>5427</v>
      </c>
      <c r="B32" s="473" t="str">
        <f>Données!B26</f>
        <v>Féchy</v>
      </c>
      <c r="C32" s="31">
        <f>VPI!R26</f>
        <v>86922.106418269221</v>
      </c>
      <c r="D32" s="8">
        <f>Données!N26</f>
        <v>11648.35</v>
      </c>
      <c r="E32" s="221">
        <f>Données!O26+Données!P26+Données!R26</f>
        <v>530130.85</v>
      </c>
      <c r="F32" s="440">
        <f t="shared" si="2"/>
        <v>268559.93</v>
      </c>
      <c r="G32" s="440">
        <f>Ecrêtage!M26</f>
        <v>937943.27653806796</v>
      </c>
      <c r="H32" s="441">
        <f t="shared" si="3"/>
        <v>1013295.0291471044</v>
      </c>
      <c r="I32" s="294">
        <f t="shared" si="4"/>
        <v>2219798.2356851725</v>
      </c>
    </row>
    <row r="33" spans="1:9" s="35" customFormat="1" x14ac:dyDescent="0.25">
      <c r="A33" s="38">
        <f>Données!A27</f>
        <v>5428</v>
      </c>
      <c r="B33" s="473" t="str">
        <f>Données!B27</f>
        <v>Gimel</v>
      </c>
      <c r="C33" s="31">
        <f>VPI!R27</f>
        <v>71357.587986577171</v>
      </c>
      <c r="D33" s="8">
        <f>Données!N27</f>
        <v>239748.8</v>
      </c>
      <c r="E33" s="221">
        <f>Données!O27+Données!P27+Données!R27</f>
        <v>751728.64999999991</v>
      </c>
      <c r="F33" s="440">
        <f t="shared" si="2"/>
        <v>447788.96499999997</v>
      </c>
      <c r="G33" s="440">
        <f>Ecrêtage!M27</f>
        <v>0</v>
      </c>
      <c r="H33" s="441">
        <f t="shared" si="3"/>
        <v>831851.5528234886</v>
      </c>
      <c r="I33" s="294">
        <f t="shared" si="4"/>
        <v>1279640.5178234885</v>
      </c>
    </row>
    <row r="34" spans="1:9" s="35" customFormat="1" x14ac:dyDescent="0.25">
      <c r="A34" s="38">
        <f>Données!A28</f>
        <v>5429</v>
      </c>
      <c r="B34" s="473" t="str">
        <f>Données!B28</f>
        <v>Longirod</v>
      </c>
      <c r="C34" s="31">
        <f>VPI!R28</f>
        <v>17142.381290322584</v>
      </c>
      <c r="D34" s="8">
        <f>Données!N28</f>
        <v>15883.15</v>
      </c>
      <c r="E34" s="221">
        <f>Données!O28+Données!P28+Données!R28</f>
        <v>111888.1</v>
      </c>
      <c r="F34" s="440">
        <f t="shared" si="2"/>
        <v>60708.995000000003</v>
      </c>
      <c r="G34" s="440">
        <f>Ecrêtage!M28</f>
        <v>0</v>
      </c>
      <c r="H34" s="441">
        <f t="shared" si="3"/>
        <v>199837.42301000343</v>
      </c>
      <c r="I34" s="294">
        <f t="shared" si="4"/>
        <v>260546.41801000343</v>
      </c>
    </row>
    <row r="35" spans="1:9" s="35" customFormat="1" x14ac:dyDescent="0.25">
      <c r="A35" s="38">
        <f>Données!A29</f>
        <v>5430</v>
      </c>
      <c r="B35" s="473" t="str">
        <f>Données!B29</f>
        <v>Marchissy</v>
      </c>
      <c r="C35" s="31">
        <f>VPI!R29</f>
        <v>17121.715483870968</v>
      </c>
      <c r="D35" s="8">
        <f>Données!N29</f>
        <v>11206.4</v>
      </c>
      <c r="E35" s="221">
        <f>Données!O29+Données!P29+Données!R29</f>
        <v>114531.45</v>
      </c>
      <c r="F35" s="440">
        <f t="shared" si="2"/>
        <v>60627.644999999997</v>
      </c>
      <c r="G35" s="440">
        <f>Ecrêtage!M29</f>
        <v>0</v>
      </c>
      <c r="H35" s="441">
        <f t="shared" si="3"/>
        <v>199596.51123492548</v>
      </c>
      <c r="I35" s="294">
        <f t="shared" si="4"/>
        <v>260224.15623492547</v>
      </c>
    </row>
    <row r="36" spans="1:9" s="35" customFormat="1" x14ac:dyDescent="0.25">
      <c r="A36" s="38">
        <f>Données!A30</f>
        <v>5431</v>
      </c>
      <c r="B36" s="473" t="str">
        <f>Données!B30</f>
        <v>Mollens</v>
      </c>
      <c r="C36" s="31">
        <f>VPI!R30</f>
        <v>9475.049594594595</v>
      </c>
      <c r="D36" s="8">
        <f>Données!N30</f>
        <v>266.60000000000002</v>
      </c>
      <c r="E36" s="221">
        <f>Données!O30+Données!P30+Données!R30</f>
        <v>58047.6</v>
      </c>
      <c r="F36" s="440">
        <f t="shared" si="2"/>
        <v>29103.78</v>
      </c>
      <c r="G36" s="440">
        <f>Ecrêtage!M30</f>
        <v>0</v>
      </c>
      <c r="H36" s="441">
        <f t="shared" si="3"/>
        <v>110455.45317234805</v>
      </c>
      <c r="I36" s="294">
        <f t="shared" si="4"/>
        <v>139559.23317234806</v>
      </c>
    </row>
    <row r="37" spans="1:9" s="35" customFormat="1" x14ac:dyDescent="0.25">
      <c r="A37" s="38">
        <f>Données!A31</f>
        <v>5434</v>
      </c>
      <c r="B37" s="473" t="str">
        <f>Données!B31</f>
        <v>Saint-George</v>
      </c>
      <c r="C37" s="31">
        <f>VPI!R31</f>
        <v>40910.448657074339</v>
      </c>
      <c r="D37" s="8">
        <f>Données!N31</f>
        <v>22601.85</v>
      </c>
      <c r="E37" s="221">
        <f>Données!O31+Données!P31+Données!R31</f>
        <v>665760.19999999995</v>
      </c>
      <c r="F37" s="440">
        <f t="shared" si="2"/>
        <v>339660.65499999997</v>
      </c>
      <c r="G37" s="440">
        <f>Ecrêtage!M31</f>
        <v>0</v>
      </c>
      <c r="H37" s="441">
        <f t="shared" si="3"/>
        <v>476913.82517714065</v>
      </c>
      <c r="I37" s="294">
        <f t="shared" si="4"/>
        <v>816574.48017714056</v>
      </c>
    </row>
    <row r="38" spans="1:9" s="35" customFormat="1" x14ac:dyDescent="0.25">
      <c r="A38" s="38">
        <f>Données!A32</f>
        <v>5435</v>
      </c>
      <c r="B38" s="473" t="str">
        <f>Données!B32</f>
        <v>Saint-Livres</v>
      </c>
      <c r="C38" s="31">
        <f>VPI!R32</f>
        <v>25462.29188405797</v>
      </c>
      <c r="D38" s="8">
        <f>Données!N32</f>
        <v>13664.5</v>
      </c>
      <c r="E38" s="221">
        <f>Données!O32+Données!P32+Données!R32</f>
        <v>353373.10000000003</v>
      </c>
      <c r="F38" s="440">
        <f t="shared" si="2"/>
        <v>180785.90000000002</v>
      </c>
      <c r="G38" s="440">
        <f>Ecrêtage!M32</f>
        <v>0</v>
      </c>
      <c r="H38" s="441">
        <f t="shared" si="3"/>
        <v>296826.83565737662</v>
      </c>
      <c r="I38" s="294">
        <f t="shared" si="4"/>
        <v>477612.73565737664</v>
      </c>
    </row>
    <row r="39" spans="1:9" s="35" customFormat="1" x14ac:dyDescent="0.25">
      <c r="A39" s="38">
        <f>Données!A33</f>
        <v>5436</v>
      </c>
      <c r="B39" s="473" t="str">
        <f>Données!B33</f>
        <v>Saint-Oyens</v>
      </c>
      <c r="C39" s="31">
        <f>VPI!R33</f>
        <v>16425.371772151899</v>
      </c>
      <c r="D39" s="8">
        <f>Données!N33</f>
        <v>851</v>
      </c>
      <c r="E39" s="221">
        <f>Données!O33+Données!P33+Données!R33</f>
        <v>43506.600000000006</v>
      </c>
      <c r="F39" s="440">
        <f t="shared" si="2"/>
        <v>22008.600000000002</v>
      </c>
      <c r="G39" s="440">
        <f>Ecrêtage!M33</f>
        <v>0</v>
      </c>
      <c r="H39" s="441">
        <f t="shared" si="3"/>
        <v>191478.87982057134</v>
      </c>
      <c r="I39" s="294">
        <f t="shared" si="4"/>
        <v>213487.47982057135</v>
      </c>
    </row>
    <row r="40" spans="1:9" s="35" customFormat="1" x14ac:dyDescent="0.25">
      <c r="A40" s="38">
        <f>Données!A34</f>
        <v>5437</v>
      </c>
      <c r="B40" s="473" t="str">
        <f>Données!B34</f>
        <v>Saubraz</v>
      </c>
      <c r="C40" s="31">
        <f>VPI!R34</f>
        <v>12127.91725</v>
      </c>
      <c r="D40" s="8">
        <f>Données!N34</f>
        <v>0</v>
      </c>
      <c r="E40" s="221">
        <f>Données!O34+Données!P34+Données!R34</f>
        <v>169398.59999999998</v>
      </c>
      <c r="F40" s="440">
        <f t="shared" si="2"/>
        <v>84699.299999999988</v>
      </c>
      <c r="G40" s="440">
        <f>Ecrêtage!M34</f>
        <v>0</v>
      </c>
      <c r="H40" s="441">
        <f t="shared" si="3"/>
        <v>141381.27537081286</v>
      </c>
      <c r="I40" s="294">
        <f t="shared" si="4"/>
        <v>226080.57537081285</v>
      </c>
    </row>
    <row r="41" spans="1:9" s="35" customFormat="1" x14ac:dyDescent="0.25">
      <c r="A41" s="38">
        <f>Données!A35</f>
        <v>5451</v>
      </c>
      <c r="B41" s="473" t="str">
        <f>Données!B35</f>
        <v>Avenches</v>
      </c>
      <c r="C41" s="31">
        <f>VPI!R35</f>
        <v>142633.11649122802</v>
      </c>
      <c r="D41" s="8">
        <f>Données!N35</f>
        <v>576515.75</v>
      </c>
      <c r="E41" s="221">
        <f>Données!O35+Données!P35+Données!R35</f>
        <v>857392.29999999993</v>
      </c>
      <c r="F41" s="440">
        <f t="shared" si="2"/>
        <v>601650.875</v>
      </c>
      <c r="G41" s="440">
        <f>Ecrêtage!M35</f>
        <v>0</v>
      </c>
      <c r="H41" s="441">
        <f t="shared" si="3"/>
        <v>1662746.4966949322</v>
      </c>
      <c r="I41" s="294">
        <f t="shared" si="4"/>
        <v>2264397.3716949322</v>
      </c>
    </row>
    <row r="42" spans="1:9" s="35" customFormat="1" x14ac:dyDescent="0.25">
      <c r="A42" s="38">
        <f>Données!A36</f>
        <v>5456</v>
      </c>
      <c r="B42" s="473" t="str">
        <f>Données!B36</f>
        <v>Cudrefin</v>
      </c>
      <c r="C42" s="31">
        <f>VPI!R36</f>
        <v>64060.385932203382</v>
      </c>
      <c r="D42" s="8">
        <f>Données!N36</f>
        <v>1727.7</v>
      </c>
      <c r="E42" s="221">
        <f>Données!O36+Données!P36+Données!R36</f>
        <v>646396.4</v>
      </c>
      <c r="F42" s="440">
        <f t="shared" si="2"/>
        <v>323716.51</v>
      </c>
      <c r="G42" s="440">
        <f>Ecrêtage!M36</f>
        <v>0</v>
      </c>
      <c r="H42" s="441">
        <f t="shared" si="3"/>
        <v>746784.3717223081</v>
      </c>
      <c r="I42" s="294">
        <f t="shared" si="4"/>
        <v>1070500.8817223082</v>
      </c>
    </row>
    <row r="43" spans="1:9" s="35" customFormat="1" x14ac:dyDescent="0.25">
      <c r="A43" s="38">
        <f>Données!A37</f>
        <v>5458</v>
      </c>
      <c r="B43" s="473" t="str">
        <f>Données!B37</f>
        <v>Faoug</v>
      </c>
      <c r="C43" s="31">
        <f>VPI!R37</f>
        <v>32630.920512820507</v>
      </c>
      <c r="D43" s="8">
        <f>Données!N37</f>
        <v>3372.25</v>
      </c>
      <c r="E43" s="221">
        <f>Données!O37+Données!P37+Données!R37</f>
        <v>160299.5</v>
      </c>
      <c r="F43" s="440">
        <f t="shared" si="2"/>
        <v>81161.425000000003</v>
      </c>
      <c r="G43" s="440">
        <f>Ecrêtage!M37</f>
        <v>0</v>
      </c>
      <c r="H43" s="441">
        <f t="shared" si="3"/>
        <v>380395.17120107182</v>
      </c>
      <c r="I43" s="294">
        <f t="shared" si="4"/>
        <v>461556.59620107181</v>
      </c>
    </row>
    <row r="44" spans="1:9" s="35" customFormat="1" x14ac:dyDescent="0.25">
      <c r="A44" s="38">
        <f>Données!A38</f>
        <v>5464</v>
      </c>
      <c r="B44" s="473" t="str">
        <f>Données!B38</f>
        <v>Vully-les-Lacs</v>
      </c>
      <c r="C44" s="31">
        <f>VPI!R38</f>
        <v>117933.44731343284</v>
      </c>
      <c r="D44" s="8">
        <f>Données!N38</f>
        <v>4335.55</v>
      </c>
      <c r="E44" s="221">
        <f>Données!O38+Données!P38+Données!R38</f>
        <v>1034160</v>
      </c>
      <c r="F44" s="440">
        <f t="shared" si="2"/>
        <v>518380.66499999998</v>
      </c>
      <c r="G44" s="440">
        <f>Ecrêtage!M38</f>
        <v>0</v>
      </c>
      <c r="H44" s="441">
        <f t="shared" si="3"/>
        <v>1374809.940268161</v>
      </c>
      <c r="I44" s="294">
        <f t="shared" si="4"/>
        <v>1893190.605268161</v>
      </c>
    </row>
    <row r="45" spans="1:9" s="35" customFormat="1" x14ac:dyDescent="0.25">
      <c r="A45" s="38">
        <f>Données!A39</f>
        <v>5471</v>
      </c>
      <c r="B45" s="473" t="str">
        <f>Données!B39</f>
        <v>Bettens</v>
      </c>
      <c r="C45" s="31">
        <f>VPI!R39</f>
        <v>22692.287412698413</v>
      </c>
      <c r="D45" s="8">
        <f>Données!N39</f>
        <v>13213</v>
      </c>
      <c r="E45" s="221">
        <f>Données!O39+Données!P39+Données!R39</f>
        <v>68668.55</v>
      </c>
      <c r="F45" s="440">
        <f t="shared" si="2"/>
        <v>38298.175000000003</v>
      </c>
      <c r="G45" s="440">
        <f>Ecrêtage!M39</f>
        <v>0</v>
      </c>
      <c r="H45" s="441">
        <f t="shared" si="3"/>
        <v>264535.49025397125</v>
      </c>
      <c r="I45" s="294">
        <f t="shared" si="4"/>
        <v>302833.66525397124</v>
      </c>
    </row>
    <row r="46" spans="1:9" s="35" customFormat="1" x14ac:dyDescent="0.25">
      <c r="A46" s="38">
        <f>Données!A40</f>
        <v>5472</v>
      </c>
      <c r="B46" s="473" t="str">
        <f>Données!B40</f>
        <v>Bournens</v>
      </c>
      <c r="C46" s="31">
        <f>VPI!R40</f>
        <v>19974.836617647059</v>
      </c>
      <c r="D46" s="8">
        <f>Données!N40</f>
        <v>0</v>
      </c>
      <c r="E46" s="221">
        <f>Données!O40+Données!P40+Données!R40</f>
        <v>142971.04999999999</v>
      </c>
      <c r="F46" s="440">
        <f t="shared" si="2"/>
        <v>71485.524999999994</v>
      </c>
      <c r="G46" s="440">
        <f>Ecrêtage!M40</f>
        <v>0</v>
      </c>
      <c r="H46" s="441">
        <f t="shared" si="3"/>
        <v>232856.78967891663</v>
      </c>
      <c r="I46" s="294">
        <f t="shared" si="4"/>
        <v>304342.31467891659</v>
      </c>
    </row>
    <row r="47" spans="1:9" s="35" customFormat="1" x14ac:dyDescent="0.25">
      <c r="A47" s="38">
        <f>Données!A41</f>
        <v>5473</v>
      </c>
      <c r="B47" s="473" t="str">
        <f>Données!B41</f>
        <v>Boussens</v>
      </c>
      <c r="C47" s="31">
        <f>VPI!R41</f>
        <v>40043.184999999998</v>
      </c>
      <c r="D47" s="8">
        <f>Données!N41</f>
        <v>3562.05</v>
      </c>
      <c r="E47" s="221">
        <f>Données!O41+Données!P41+Données!R41</f>
        <v>219342.40000000002</v>
      </c>
      <c r="F47" s="440">
        <f t="shared" si="2"/>
        <v>110739.81500000002</v>
      </c>
      <c r="G47" s="440">
        <f>Ecrêtage!M41</f>
        <v>0</v>
      </c>
      <c r="H47" s="441">
        <f t="shared" si="3"/>
        <v>466803.69337195158</v>
      </c>
      <c r="I47" s="294">
        <f t="shared" si="4"/>
        <v>577543.50837195164</v>
      </c>
    </row>
    <row r="48" spans="1:9" s="35" customFormat="1" x14ac:dyDescent="0.25">
      <c r="A48" s="38">
        <f>Données!A42</f>
        <v>5474</v>
      </c>
      <c r="B48" s="473" t="str">
        <f>Données!B42</f>
        <v>La Chaux (Cossonay)</v>
      </c>
      <c r="C48" s="31">
        <f>VPI!R42</f>
        <v>13862.516425438596</v>
      </c>
      <c r="D48" s="8">
        <f>Données!N42</f>
        <v>3011.65</v>
      </c>
      <c r="E48" s="221">
        <f>Données!O42+Données!P42+Données!R42</f>
        <v>88956.6</v>
      </c>
      <c r="F48" s="440">
        <f t="shared" si="2"/>
        <v>45381.795000000006</v>
      </c>
      <c r="G48" s="440">
        <f>Ecrêtage!M42</f>
        <v>0</v>
      </c>
      <c r="H48" s="441">
        <f t="shared" si="3"/>
        <v>161602.37670465227</v>
      </c>
      <c r="I48" s="294">
        <f t="shared" si="4"/>
        <v>206984.17170465228</v>
      </c>
    </row>
    <row r="49" spans="1:9" s="35" customFormat="1" x14ac:dyDescent="0.25">
      <c r="A49" s="38">
        <f>Données!A43</f>
        <v>5475</v>
      </c>
      <c r="B49" s="473" t="str">
        <f>Données!B43</f>
        <v>Chavannes-le-Veyron</v>
      </c>
      <c r="C49" s="31">
        <f>VPI!R43</f>
        <v>4297.2048000000004</v>
      </c>
      <c r="D49" s="8">
        <f>Données!N43</f>
        <v>0</v>
      </c>
      <c r="E49" s="221">
        <f>Données!O43+Données!P43+Données!R43</f>
        <v>22220</v>
      </c>
      <c r="F49" s="440">
        <f t="shared" si="2"/>
        <v>11110</v>
      </c>
      <c r="G49" s="440">
        <f>Ecrêtage!M43</f>
        <v>0</v>
      </c>
      <c r="H49" s="441">
        <f t="shared" si="3"/>
        <v>50094.693312124866</v>
      </c>
      <c r="I49" s="294">
        <f t="shared" si="4"/>
        <v>61204.693312124866</v>
      </c>
    </row>
    <row r="50" spans="1:9" s="35" customFormat="1" x14ac:dyDescent="0.25">
      <c r="A50" s="38">
        <f>Données!A44</f>
        <v>5476</v>
      </c>
      <c r="B50" s="473" t="str">
        <f>Données!B44</f>
        <v>Chevilly</v>
      </c>
      <c r="C50" s="31">
        <f>VPI!R44</f>
        <v>13558.452965517243</v>
      </c>
      <c r="D50" s="8">
        <f>Données!N44</f>
        <v>0</v>
      </c>
      <c r="E50" s="221">
        <f>Données!O44+Données!P44+Données!R44</f>
        <v>58376.5</v>
      </c>
      <c r="F50" s="440">
        <f t="shared" si="2"/>
        <v>29188.25</v>
      </c>
      <c r="G50" s="440">
        <f>Ecrêtage!M44</f>
        <v>0</v>
      </c>
      <c r="H50" s="441">
        <f t="shared" si="3"/>
        <v>158057.75491418425</v>
      </c>
      <c r="I50" s="294">
        <f t="shared" si="4"/>
        <v>187246.00491418425</v>
      </c>
    </row>
    <row r="51" spans="1:9" s="35" customFormat="1" x14ac:dyDescent="0.25">
      <c r="A51" s="38">
        <f>Données!A45</f>
        <v>5477</v>
      </c>
      <c r="B51" s="473" t="str">
        <f>Données!B45</f>
        <v>Cossonay</v>
      </c>
      <c r="C51" s="31">
        <f>VPI!R45</f>
        <v>151490.5288235294</v>
      </c>
      <c r="D51" s="8">
        <f>Données!N45</f>
        <v>98390.45</v>
      </c>
      <c r="E51" s="221">
        <f>Données!O45+Données!P45+Données!R45</f>
        <v>1475258.0499999998</v>
      </c>
      <c r="F51" s="440">
        <f t="shared" si="2"/>
        <v>767146.15999999992</v>
      </c>
      <c r="G51" s="440">
        <f>Ecrêtage!M45</f>
        <v>0</v>
      </c>
      <c r="H51" s="441">
        <f t="shared" si="3"/>
        <v>1766001.8394064712</v>
      </c>
      <c r="I51" s="294">
        <f t="shared" si="4"/>
        <v>2533147.9994064709</v>
      </c>
    </row>
    <row r="52" spans="1:9" s="35" customFormat="1" x14ac:dyDescent="0.25">
      <c r="A52" s="38">
        <f>Données!A46</f>
        <v>5479</v>
      </c>
      <c r="B52" s="473" t="str">
        <f>Données!B46</f>
        <v>Cuarnens</v>
      </c>
      <c r="C52" s="31">
        <f>VPI!R46</f>
        <v>14331.337792207793</v>
      </c>
      <c r="D52" s="8">
        <f>Données!N46</f>
        <v>8152</v>
      </c>
      <c r="E52" s="221">
        <f>Données!O46+Données!P46+Données!R46</f>
        <v>111112.4</v>
      </c>
      <c r="F52" s="440">
        <f t="shared" si="2"/>
        <v>58001.799999999996</v>
      </c>
      <c r="G52" s="440">
        <f>Ecrêtage!M46</f>
        <v>0</v>
      </c>
      <c r="H52" s="441">
        <f t="shared" si="3"/>
        <v>167067.66488139314</v>
      </c>
      <c r="I52" s="294">
        <f t="shared" si="4"/>
        <v>225069.46488139313</v>
      </c>
    </row>
    <row r="53" spans="1:9" s="35" customFormat="1" x14ac:dyDescent="0.25">
      <c r="A53" s="38">
        <f>Données!A47</f>
        <v>5480</v>
      </c>
      <c r="B53" s="473" t="str">
        <f>Données!B47</f>
        <v>Daillens</v>
      </c>
      <c r="C53" s="31">
        <f>VPI!R47</f>
        <v>42720.265505050505</v>
      </c>
      <c r="D53" s="8">
        <f>Données!N47</f>
        <v>226810.45</v>
      </c>
      <c r="E53" s="221">
        <f>Données!O47+Données!P47+Données!R47</f>
        <v>744904.15</v>
      </c>
      <c r="F53" s="440">
        <f t="shared" si="2"/>
        <v>440495.21</v>
      </c>
      <c r="G53" s="440">
        <f>Ecrêtage!M47</f>
        <v>0</v>
      </c>
      <c r="H53" s="441">
        <f t="shared" si="3"/>
        <v>498011.77702492842</v>
      </c>
      <c r="I53" s="294">
        <f t="shared" si="4"/>
        <v>938506.98702492844</v>
      </c>
    </row>
    <row r="54" spans="1:9" s="35" customFormat="1" x14ac:dyDescent="0.25">
      <c r="A54" s="38">
        <f>Données!A48</f>
        <v>5481</v>
      </c>
      <c r="B54" s="473" t="str">
        <f>Données!B48</f>
        <v>Dizy</v>
      </c>
      <c r="C54" s="31">
        <f>VPI!R48</f>
        <v>8552.7156000000014</v>
      </c>
      <c r="D54" s="8">
        <f>Données!N48</f>
        <v>0</v>
      </c>
      <c r="E54" s="221">
        <f>Données!O48+Données!P48+Données!R48</f>
        <v>42973.25</v>
      </c>
      <c r="F54" s="440">
        <f t="shared" si="2"/>
        <v>21486.625</v>
      </c>
      <c r="G54" s="440">
        <f>Ecrêtage!M48</f>
        <v>0</v>
      </c>
      <c r="H54" s="441">
        <f t="shared" si="3"/>
        <v>99703.338544122002</v>
      </c>
      <c r="I54" s="294">
        <f t="shared" si="4"/>
        <v>121189.963544122</v>
      </c>
    </row>
    <row r="55" spans="1:9" s="35" customFormat="1" x14ac:dyDescent="0.25">
      <c r="A55" s="38">
        <f>Données!A49</f>
        <v>5482</v>
      </c>
      <c r="B55" s="473" t="str">
        <f>Données!B49</f>
        <v>Eclépens</v>
      </c>
      <c r="C55" s="31">
        <f>VPI!R49</f>
        <v>48314.544130434791</v>
      </c>
      <c r="D55" s="8">
        <f>Données!N49</f>
        <v>483265.35</v>
      </c>
      <c r="E55" s="221">
        <f>Données!O49+Données!P49+Données!R49</f>
        <v>150093.79999999999</v>
      </c>
      <c r="F55" s="440">
        <f t="shared" si="2"/>
        <v>220026.50499999998</v>
      </c>
      <c r="G55" s="440">
        <f>Ecrêtage!M49</f>
        <v>0</v>
      </c>
      <c r="H55" s="441">
        <f t="shared" si="3"/>
        <v>563227.11701551976</v>
      </c>
      <c r="I55" s="294">
        <f t="shared" si="4"/>
        <v>783253.62201551977</v>
      </c>
    </row>
    <row r="56" spans="1:9" s="35" customFormat="1" x14ac:dyDescent="0.25">
      <c r="A56" s="38">
        <f>Données!A50</f>
        <v>5483</v>
      </c>
      <c r="B56" s="473" t="str">
        <f>Données!B50</f>
        <v>Ferreyres</v>
      </c>
      <c r="C56" s="31">
        <f>VPI!R50</f>
        <v>10284.283289473684</v>
      </c>
      <c r="D56" s="8">
        <f>Données!N50</f>
        <v>0</v>
      </c>
      <c r="E56" s="221">
        <f>Données!O50+Données!P50+Données!R50</f>
        <v>11450.3</v>
      </c>
      <c r="F56" s="440">
        <f t="shared" si="2"/>
        <v>5725.15</v>
      </c>
      <c r="G56" s="440">
        <f>Ecrêtage!M50</f>
        <v>0</v>
      </c>
      <c r="H56" s="441">
        <f t="shared" si="3"/>
        <v>119889.10031032146</v>
      </c>
      <c r="I56" s="294">
        <f t="shared" si="4"/>
        <v>125614.25031032145</v>
      </c>
    </row>
    <row r="57" spans="1:9" s="35" customFormat="1" x14ac:dyDescent="0.25">
      <c r="A57" s="38">
        <f>Données!A51</f>
        <v>5484</v>
      </c>
      <c r="B57" s="473" t="str">
        <f>Données!B51</f>
        <v>Gollion</v>
      </c>
      <c r="C57" s="31">
        <f>VPI!R51</f>
        <v>32601.670945945945</v>
      </c>
      <c r="D57" s="8">
        <f>Données!N51</f>
        <v>32016.55</v>
      </c>
      <c r="E57" s="221">
        <f>Données!O51+Données!P51+Données!R51</f>
        <v>202674.95</v>
      </c>
      <c r="F57" s="440">
        <f t="shared" si="2"/>
        <v>110942.44</v>
      </c>
      <c r="G57" s="440">
        <f>Ecrêtage!M51</f>
        <v>0</v>
      </c>
      <c r="H57" s="441">
        <f t="shared" si="3"/>
        <v>380054.19418222137</v>
      </c>
      <c r="I57" s="294">
        <f t="shared" si="4"/>
        <v>490996.63418222137</v>
      </c>
    </row>
    <row r="58" spans="1:9" s="35" customFormat="1" x14ac:dyDescent="0.25">
      <c r="A58" s="38">
        <f>Données!A52</f>
        <v>5485</v>
      </c>
      <c r="B58" s="473" t="str">
        <f>Données!B52</f>
        <v>Grancy</v>
      </c>
      <c r="C58" s="31">
        <f>VPI!R52</f>
        <v>18961.380428571429</v>
      </c>
      <c r="D58" s="8">
        <f>Données!N52</f>
        <v>5968.6</v>
      </c>
      <c r="E58" s="221">
        <f>Données!O52+Données!P52+Données!R52</f>
        <v>78378.3</v>
      </c>
      <c r="F58" s="440">
        <f t="shared" si="2"/>
        <v>40979.730000000003</v>
      </c>
      <c r="G58" s="440">
        <f>Ecrêtage!M52</f>
        <v>0</v>
      </c>
      <c r="H58" s="441">
        <f t="shared" si="3"/>
        <v>221042.41746723649</v>
      </c>
      <c r="I58" s="294">
        <f t="shared" si="4"/>
        <v>262022.1474672365</v>
      </c>
    </row>
    <row r="59" spans="1:9" s="35" customFormat="1" x14ac:dyDescent="0.25">
      <c r="A59" s="38">
        <f>Données!A53</f>
        <v>5486</v>
      </c>
      <c r="B59" s="473" t="str">
        <f>Données!B53</f>
        <v>L'Isle</v>
      </c>
      <c r="C59" s="31">
        <f>VPI!R53</f>
        <v>34756.215466666676</v>
      </c>
      <c r="D59" s="8">
        <f>Données!N53</f>
        <v>89687.85</v>
      </c>
      <c r="E59" s="221">
        <f>Données!O53+Données!P53+Données!R53</f>
        <v>308989.3</v>
      </c>
      <c r="F59" s="440">
        <f t="shared" si="2"/>
        <v>181401.005</v>
      </c>
      <c r="G59" s="440">
        <f>Ecrêtage!M53</f>
        <v>0</v>
      </c>
      <c r="H59" s="441">
        <f t="shared" si="3"/>
        <v>405170.81114979624</v>
      </c>
      <c r="I59" s="294">
        <f t="shared" si="4"/>
        <v>586571.81614979624</v>
      </c>
    </row>
    <row r="60" spans="1:9" s="35" customFormat="1" x14ac:dyDescent="0.25">
      <c r="A60" s="38">
        <f>Données!A54</f>
        <v>5487</v>
      </c>
      <c r="B60" s="473" t="str">
        <f>Données!B54</f>
        <v>Lussery-Villars</v>
      </c>
      <c r="C60" s="31">
        <f>VPI!R54</f>
        <v>12042.619866666666</v>
      </c>
      <c r="D60" s="8">
        <f>Données!N54</f>
        <v>0</v>
      </c>
      <c r="E60" s="221">
        <f>Données!O54+Données!P54+Données!R54</f>
        <v>84303.9</v>
      </c>
      <c r="F60" s="440">
        <f t="shared" si="2"/>
        <v>42151.95</v>
      </c>
      <c r="G60" s="440">
        <f>Ecrêtage!M54</f>
        <v>0</v>
      </c>
      <c r="H60" s="441">
        <f t="shared" si="3"/>
        <v>140386.92056174949</v>
      </c>
      <c r="I60" s="294">
        <f t="shared" si="4"/>
        <v>182538.8705617495</v>
      </c>
    </row>
    <row r="61" spans="1:9" s="35" customFormat="1" x14ac:dyDescent="0.25">
      <c r="A61" s="38">
        <f>Données!A55</f>
        <v>5488</v>
      </c>
      <c r="B61" s="473" t="str">
        <f>Données!B55</f>
        <v>Mauraz</v>
      </c>
      <c r="C61" s="31">
        <f>VPI!R55</f>
        <v>2131.6062337662343</v>
      </c>
      <c r="D61" s="8">
        <f>Données!N55</f>
        <v>0</v>
      </c>
      <c r="E61" s="221">
        <f>Données!O55+Données!P55+Données!R55</f>
        <v>38854.550000000003</v>
      </c>
      <c r="F61" s="440">
        <f t="shared" si="2"/>
        <v>19427.275000000001</v>
      </c>
      <c r="G61" s="440">
        <f>Ecrêtage!M55</f>
        <v>0</v>
      </c>
      <c r="H61" s="441">
        <f t="shared" si="3"/>
        <v>24849.213736039073</v>
      </c>
      <c r="I61" s="294">
        <f t="shared" si="4"/>
        <v>44276.488736039071</v>
      </c>
    </row>
    <row r="62" spans="1:9" s="35" customFormat="1" x14ac:dyDescent="0.25">
      <c r="A62" s="38">
        <f>Données!A56</f>
        <v>5489</v>
      </c>
      <c r="B62" s="473" t="str">
        <f>Données!B56</f>
        <v>Mex</v>
      </c>
      <c r="C62" s="31">
        <f>VPI!R56</f>
        <v>60740.368067226897</v>
      </c>
      <c r="D62" s="8">
        <f>Données!N56</f>
        <v>190350.55</v>
      </c>
      <c r="E62" s="221">
        <f>Données!O56+Données!P56+Données!R56</f>
        <v>334361.5</v>
      </c>
      <c r="F62" s="440">
        <f t="shared" si="2"/>
        <v>224285.91499999998</v>
      </c>
      <c r="G62" s="440">
        <f>Ecrêtage!M56</f>
        <v>338189.61592394795</v>
      </c>
      <c r="H62" s="441">
        <f t="shared" si="3"/>
        <v>708081.2415534195</v>
      </c>
      <c r="I62" s="294">
        <f t="shared" si="4"/>
        <v>1270556.7724773674</v>
      </c>
    </row>
    <row r="63" spans="1:9" s="35" customFormat="1" x14ac:dyDescent="0.25">
      <c r="A63" s="38">
        <f>Données!A57</f>
        <v>5490</v>
      </c>
      <c r="B63" s="473" t="str">
        <f>Données!B57</f>
        <v>Moiry</v>
      </c>
      <c r="C63" s="31">
        <f>VPI!R57</f>
        <v>8460.9523376623383</v>
      </c>
      <c r="D63" s="8">
        <f>Données!N57</f>
        <v>0</v>
      </c>
      <c r="E63" s="221">
        <f>Données!O57+Données!P57+Données!R57</f>
        <v>19864.7</v>
      </c>
      <c r="F63" s="440">
        <f t="shared" si="2"/>
        <v>9932.35</v>
      </c>
      <c r="G63" s="440">
        <f>Ecrêtage!M57</f>
        <v>0</v>
      </c>
      <c r="H63" s="441">
        <f t="shared" si="3"/>
        <v>98633.607707899049</v>
      </c>
      <c r="I63" s="294">
        <f t="shared" si="4"/>
        <v>108565.95770789906</v>
      </c>
    </row>
    <row r="64" spans="1:9" s="35" customFormat="1" x14ac:dyDescent="0.25">
      <c r="A64" s="38">
        <f>Données!A58</f>
        <v>5491</v>
      </c>
      <c r="B64" s="473" t="str">
        <f>Données!B58</f>
        <v>Mont-la-Ville</v>
      </c>
      <c r="C64" s="31">
        <f>VPI!R58</f>
        <v>13842.217236842105</v>
      </c>
      <c r="D64" s="8">
        <f>Données!N58</f>
        <v>3208.25</v>
      </c>
      <c r="E64" s="221">
        <f>Données!O58+Données!P58+Données!R58</f>
        <v>135966.1</v>
      </c>
      <c r="F64" s="440">
        <f t="shared" si="2"/>
        <v>68945.525000000009</v>
      </c>
      <c r="G64" s="440">
        <f>Ecrêtage!M58</f>
        <v>0</v>
      </c>
      <c r="H64" s="441">
        <f t="shared" si="3"/>
        <v>161365.73877963968</v>
      </c>
      <c r="I64" s="294">
        <f t="shared" si="4"/>
        <v>230311.26377963967</v>
      </c>
    </row>
    <row r="65" spans="1:9" s="35" customFormat="1" x14ac:dyDescent="0.25">
      <c r="A65" s="38">
        <f>Données!A59</f>
        <v>5492</v>
      </c>
      <c r="B65" s="473" t="str">
        <f>Données!B59</f>
        <v>Montricher</v>
      </c>
      <c r="C65" s="31">
        <f>VPI!R59</f>
        <v>149907.58062499994</v>
      </c>
      <c r="D65" s="8">
        <f>Données!N59</f>
        <v>10971.2</v>
      </c>
      <c r="E65" s="221">
        <f>Données!O59+Données!P59+Données!R59</f>
        <v>230633.15000000002</v>
      </c>
      <c r="F65" s="440">
        <f t="shared" si="2"/>
        <v>118607.93500000001</v>
      </c>
      <c r="G65" s="440">
        <f>Ecrêtage!M59</f>
        <v>2813585.5817366489</v>
      </c>
      <c r="H65" s="441">
        <f t="shared" si="3"/>
        <v>1747548.6103366551</v>
      </c>
      <c r="I65" s="294">
        <f t="shared" si="4"/>
        <v>4679742.1270733038</v>
      </c>
    </row>
    <row r="66" spans="1:9" s="35" customFormat="1" x14ac:dyDescent="0.25">
      <c r="A66" s="38">
        <f>Données!A60</f>
        <v>5493</v>
      </c>
      <c r="B66" s="473" t="str">
        <f>Données!B60</f>
        <v>Orny</v>
      </c>
      <c r="C66" s="31">
        <f>VPI!R60</f>
        <v>14635.830579557431</v>
      </c>
      <c r="D66" s="8">
        <f>Données!N60</f>
        <v>62678</v>
      </c>
      <c r="E66" s="221">
        <f>Données!O60+Données!P60+Données!R60</f>
        <v>72910.899999999994</v>
      </c>
      <c r="F66" s="440">
        <f t="shared" si="2"/>
        <v>55258.849999999991</v>
      </c>
      <c r="G66" s="440">
        <f>Ecrêtage!M60</f>
        <v>0</v>
      </c>
      <c r="H66" s="441">
        <f t="shared" si="3"/>
        <v>170617.29155918941</v>
      </c>
      <c r="I66" s="294">
        <f t="shared" si="4"/>
        <v>225876.14155918942</v>
      </c>
    </row>
    <row r="67" spans="1:9" s="35" customFormat="1" x14ac:dyDescent="0.25">
      <c r="A67" s="38">
        <f>Données!A61</f>
        <v>5495</v>
      </c>
      <c r="B67" s="473" t="str">
        <f>Données!B61</f>
        <v>Penthalaz</v>
      </c>
      <c r="C67" s="31">
        <f>VPI!R61</f>
        <v>103056.57202702702</v>
      </c>
      <c r="D67" s="8">
        <f>Données!N61</f>
        <v>301863.25</v>
      </c>
      <c r="E67" s="221">
        <f>Données!O61+Données!P61+Données!R61</f>
        <v>2027112.7</v>
      </c>
      <c r="F67" s="440">
        <f t="shared" si="2"/>
        <v>1104115.325</v>
      </c>
      <c r="G67" s="440">
        <f>Ecrêtage!M61</f>
        <v>0</v>
      </c>
      <c r="H67" s="441">
        <f t="shared" si="3"/>
        <v>1201382.6684482957</v>
      </c>
      <c r="I67" s="294">
        <f t="shared" si="4"/>
        <v>2305497.9934482956</v>
      </c>
    </row>
    <row r="68" spans="1:9" s="35" customFormat="1" x14ac:dyDescent="0.25">
      <c r="A68" s="38">
        <f>Données!A62</f>
        <v>5496</v>
      </c>
      <c r="B68" s="473" t="str">
        <f>Données!B62</f>
        <v>Penthaz</v>
      </c>
      <c r="C68" s="31">
        <f>VPI!R62</f>
        <v>61651.518705035967</v>
      </c>
      <c r="D68" s="8">
        <f>Données!N62</f>
        <v>85804.3</v>
      </c>
      <c r="E68" s="221">
        <f>Données!O62+Données!P62+Données!R62</f>
        <v>264369.25</v>
      </c>
      <c r="F68" s="440">
        <f t="shared" si="2"/>
        <v>157925.91500000001</v>
      </c>
      <c r="G68" s="440">
        <f>Ecrêtage!M62</f>
        <v>0</v>
      </c>
      <c r="H68" s="441">
        <f t="shared" si="3"/>
        <v>718702.9861261223</v>
      </c>
      <c r="I68" s="294">
        <f t="shared" si="4"/>
        <v>876628.90112612233</v>
      </c>
    </row>
    <row r="69" spans="1:9" s="35" customFormat="1" x14ac:dyDescent="0.25">
      <c r="A69" s="38">
        <f>Données!A63</f>
        <v>5497</v>
      </c>
      <c r="B69" s="473" t="str">
        <f>Données!B63</f>
        <v>Pompaples</v>
      </c>
      <c r="C69" s="31">
        <f>VPI!R63</f>
        <v>22949.830606060608</v>
      </c>
      <c r="D69" s="8">
        <f>Données!N63</f>
        <v>202629.9</v>
      </c>
      <c r="E69" s="221">
        <f>Données!O63+Données!P63+Données!R63</f>
        <v>89028</v>
      </c>
      <c r="F69" s="440">
        <f t="shared" si="2"/>
        <v>105302.97</v>
      </c>
      <c r="G69" s="440">
        <f>Ecrêtage!M63</f>
        <v>0</v>
      </c>
      <c r="H69" s="441">
        <f t="shared" si="3"/>
        <v>267537.80173005088</v>
      </c>
      <c r="I69" s="294">
        <f t="shared" si="4"/>
        <v>372840.77173005091</v>
      </c>
    </row>
    <row r="70" spans="1:9" s="35" customFormat="1" x14ac:dyDescent="0.25">
      <c r="A70" s="38">
        <f>Données!A64</f>
        <v>5498</v>
      </c>
      <c r="B70" s="473" t="str">
        <f>Données!B64</f>
        <v>La Sarraz</v>
      </c>
      <c r="C70" s="31">
        <f>VPI!R64</f>
        <v>73743.655606060609</v>
      </c>
      <c r="D70" s="8">
        <f>Données!N64</f>
        <v>122746.25</v>
      </c>
      <c r="E70" s="221">
        <f>Données!O64+Données!P64+Données!R64</f>
        <v>233869.45</v>
      </c>
      <c r="F70" s="440">
        <f t="shared" si="2"/>
        <v>153758.6</v>
      </c>
      <c r="G70" s="440">
        <f>Ecrêtage!M64</f>
        <v>0</v>
      </c>
      <c r="H70" s="441">
        <f t="shared" si="3"/>
        <v>859667.15184264979</v>
      </c>
      <c r="I70" s="294">
        <f t="shared" si="4"/>
        <v>1013425.7518426498</v>
      </c>
    </row>
    <row r="71" spans="1:9" s="35" customFormat="1" x14ac:dyDescent="0.25">
      <c r="A71" s="38">
        <f>Données!A65</f>
        <v>5499</v>
      </c>
      <c r="B71" s="473" t="str">
        <f>Données!B65</f>
        <v>Senarclens</v>
      </c>
      <c r="C71" s="31">
        <f>VPI!R65</f>
        <v>20491.103065693427</v>
      </c>
      <c r="D71" s="8">
        <f>Données!N65</f>
        <v>26883.5</v>
      </c>
      <c r="E71" s="221">
        <f>Données!O65+Données!P65+Données!R65</f>
        <v>81660.7</v>
      </c>
      <c r="F71" s="440">
        <f t="shared" si="2"/>
        <v>48895.399999999994</v>
      </c>
      <c r="G71" s="440">
        <f>Ecrêtage!M65</f>
        <v>0</v>
      </c>
      <c r="H71" s="441">
        <f t="shared" si="3"/>
        <v>238875.16920372375</v>
      </c>
      <c r="I71" s="294">
        <f t="shared" si="4"/>
        <v>287770.56920372375</v>
      </c>
    </row>
    <row r="72" spans="1:9" s="35" customFormat="1" x14ac:dyDescent="0.25">
      <c r="A72" s="38">
        <f>Données!A66</f>
        <v>5501</v>
      </c>
      <c r="B72" s="473" t="str">
        <f>Données!B66</f>
        <v>Sullens</v>
      </c>
      <c r="C72" s="31">
        <f>VPI!R66</f>
        <v>53840.673124999994</v>
      </c>
      <c r="D72" s="8">
        <f>Données!N66</f>
        <v>17893.7</v>
      </c>
      <c r="E72" s="221">
        <f>Données!O66+Données!P66+Données!R66</f>
        <v>555509.4</v>
      </c>
      <c r="F72" s="440">
        <f t="shared" si="2"/>
        <v>283122.81</v>
      </c>
      <c r="G72" s="440">
        <f>Ecrêtage!M66</f>
        <v>0</v>
      </c>
      <c r="H72" s="441">
        <f t="shared" si="3"/>
        <v>627648.00223513623</v>
      </c>
      <c r="I72" s="294">
        <f t="shared" si="4"/>
        <v>910770.81223513628</v>
      </c>
    </row>
    <row r="73" spans="1:9" s="35" customFormat="1" x14ac:dyDescent="0.25">
      <c r="A73" s="38">
        <f>Données!A67</f>
        <v>5503</v>
      </c>
      <c r="B73" s="473" t="str">
        <f>Données!B67</f>
        <v>Vufflens-la-Ville</v>
      </c>
      <c r="C73" s="31">
        <f>VPI!R67</f>
        <v>75222.663980099518</v>
      </c>
      <c r="D73" s="8">
        <f>Données!N67</f>
        <v>217052.05</v>
      </c>
      <c r="E73" s="221">
        <f>Données!O67+Données!P67+Données!R67</f>
        <v>152868.79999999999</v>
      </c>
      <c r="F73" s="440">
        <f t="shared" si="2"/>
        <v>141550.01499999998</v>
      </c>
      <c r="G73" s="440">
        <f>Ecrêtage!M67</f>
        <v>141539.73316996897</v>
      </c>
      <c r="H73" s="441">
        <f t="shared" si="3"/>
        <v>876908.70172259584</v>
      </c>
      <c r="I73" s="294">
        <f t="shared" si="4"/>
        <v>1159998.4498925649</v>
      </c>
    </row>
    <row r="74" spans="1:9" s="35" customFormat="1" x14ac:dyDescent="0.25">
      <c r="A74" s="38">
        <f>Données!A68</f>
        <v>5511</v>
      </c>
      <c r="B74" s="473" t="str">
        <f>Données!B68</f>
        <v>Assens</v>
      </c>
      <c r="C74" s="31">
        <f>VPI!R68</f>
        <v>72835.778857142868</v>
      </c>
      <c r="D74" s="8">
        <f>Données!N68</f>
        <v>228206.35</v>
      </c>
      <c r="E74" s="221">
        <f>Données!O68+Données!P68+Données!R68</f>
        <v>181769.9</v>
      </c>
      <c r="F74" s="440">
        <f t="shared" si="2"/>
        <v>159346.85499999998</v>
      </c>
      <c r="G74" s="440">
        <f>Ecrêtage!M68</f>
        <v>0</v>
      </c>
      <c r="H74" s="441">
        <f t="shared" si="3"/>
        <v>849083.57265130128</v>
      </c>
      <c r="I74" s="294">
        <f t="shared" si="4"/>
        <v>1008430.4276513013</v>
      </c>
    </row>
    <row r="75" spans="1:9" s="35" customFormat="1" x14ac:dyDescent="0.25">
      <c r="A75" s="38">
        <f>Données!A69</f>
        <v>5512</v>
      </c>
      <c r="B75" s="473" t="str">
        <f>Données!B69</f>
        <v>Bercher</v>
      </c>
      <c r="C75" s="31">
        <f>VPI!R69</f>
        <v>41198.7282278481</v>
      </c>
      <c r="D75" s="8">
        <f>Données!N69</f>
        <v>89160.45</v>
      </c>
      <c r="E75" s="221">
        <f>Données!O69+Données!P69+Données!R69</f>
        <v>181971.85</v>
      </c>
      <c r="F75" s="440">
        <f t="shared" si="2"/>
        <v>117734.06</v>
      </c>
      <c r="G75" s="440">
        <f>Ecrêtage!M69</f>
        <v>0</v>
      </c>
      <c r="H75" s="441">
        <f t="shared" si="3"/>
        <v>480274.44617571682</v>
      </c>
      <c r="I75" s="294">
        <f t="shared" si="4"/>
        <v>598008.50617571687</v>
      </c>
    </row>
    <row r="76" spans="1:9" s="35" customFormat="1" x14ac:dyDescent="0.25">
      <c r="A76" s="38">
        <f>Données!A70</f>
        <v>5514</v>
      </c>
      <c r="B76" s="473" t="str">
        <f>Données!B70</f>
        <v>Bottens</v>
      </c>
      <c r="C76" s="31">
        <f>VPI!R70</f>
        <v>45712.235586206894</v>
      </c>
      <c r="D76" s="8">
        <f>Données!N70</f>
        <v>9237.1</v>
      </c>
      <c r="E76" s="221">
        <f>Données!O70+Données!P70+Données!R70</f>
        <v>200711.1</v>
      </c>
      <c r="F76" s="440">
        <f t="shared" si="2"/>
        <v>103126.68000000001</v>
      </c>
      <c r="G76" s="440">
        <f>Ecrêtage!M70</f>
        <v>0</v>
      </c>
      <c r="H76" s="441">
        <f t="shared" si="3"/>
        <v>532890.68798923306</v>
      </c>
      <c r="I76" s="294">
        <f t="shared" si="4"/>
        <v>636017.36798923311</v>
      </c>
    </row>
    <row r="77" spans="1:9" s="35" customFormat="1" x14ac:dyDescent="0.25">
      <c r="A77" s="38">
        <f>Données!A71</f>
        <v>5515</v>
      </c>
      <c r="B77" s="473" t="str">
        <f>Données!B71</f>
        <v>Bretigny-sur-Morrens</v>
      </c>
      <c r="C77" s="31">
        <f>VPI!R71</f>
        <v>29285.295897435899</v>
      </c>
      <c r="D77" s="8">
        <f>Données!N71</f>
        <v>7362.9</v>
      </c>
      <c r="E77" s="221">
        <f>Données!O71+Données!P71+Données!R71</f>
        <v>91376.15</v>
      </c>
      <c r="F77" s="440">
        <f t="shared" ref="F77:F140" si="5">D77*$D$11+E77*$E$11</f>
        <v>47896.945</v>
      </c>
      <c r="G77" s="440">
        <f>Ecrêtage!M71</f>
        <v>0</v>
      </c>
      <c r="H77" s="441">
        <f t="shared" ref="H77:H140" si="6">$H$11*C77</f>
        <v>341393.53017032833</v>
      </c>
      <c r="I77" s="294">
        <f t="shared" ref="I77:I140" si="7">F77+H77+G77</f>
        <v>389290.47517032834</v>
      </c>
    </row>
    <row r="78" spans="1:9" s="35" customFormat="1" x14ac:dyDescent="0.25">
      <c r="A78" s="38">
        <f>Données!A72</f>
        <v>5516</v>
      </c>
      <c r="B78" s="473" t="str">
        <f>Données!B72</f>
        <v>Cugy</v>
      </c>
      <c r="C78" s="31">
        <f>VPI!R72</f>
        <v>110290.24758771928</v>
      </c>
      <c r="D78" s="8">
        <f>Données!N72</f>
        <v>89061.8</v>
      </c>
      <c r="E78" s="221">
        <f>Données!O72+Données!P72+Données!R72</f>
        <v>564136.39999999991</v>
      </c>
      <c r="F78" s="440">
        <f t="shared" si="5"/>
        <v>308786.73999999993</v>
      </c>
      <c r="G78" s="440">
        <f>Ecrêtage!M72</f>
        <v>0</v>
      </c>
      <c r="H78" s="441">
        <f t="shared" si="6"/>
        <v>1285709.2890301892</v>
      </c>
      <c r="I78" s="294">
        <f t="shared" si="7"/>
        <v>1594496.0290301892</v>
      </c>
    </row>
    <row r="79" spans="1:9" s="35" customFormat="1" x14ac:dyDescent="0.25">
      <c r="A79" s="38">
        <f>Données!A73</f>
        <v>5518</v>
      </c>
      <c r="B79" s="473" t="str">
        <f>Données!B73</f>
        <v>Echallens</v>
      </c>
      <c r="C79" s="31">
        <f>VPI!R73</f>
        <v>193282.28662068967</v>
      </c>
      <c r="D79" s="8">
        <f>Données!N73</f>
        <v>223921.4</v>
      </c>
      <c r="E79" s="221">
        <f>Données!O73+Données!P73+Données!R73</f>
        <v>1109366.8999999999</v>
      </c>
      <c r="F79" s="440">
        <f t="shared" si="5"/>
        <v>621859.87</v>
      </c>
      <c r="G79" s="440">
        <f>Ecrêtage!M73</f>
        <v>0</v>
      </c>
      <c r="H79" s="441">
        <f t="shared" si="6"/>
        <v>2253189.531699691</v>
      </c>
      <c r="I79" s="294">
        <f t="shared" si="7"/>
        <v>2875049.4016996911</v>
      </c>
    </row>
    <row r="80" spans="1:9" s="35" customFormat="1" x14ac:dyDescent="0.25">
      <c r="A80" s="38">
        <f>Données!A74</f>
        <v>5520</v>
      </c>
      <c r="B80" s="473" t="str">
        <f>Données!B74</f>
        <v>Essertines-sur-Yverdon</v>
      </c>
      <c r="C80" s="31">
        <f>VPI!R74</f>
        <v>31422.035945945943</v>
      </c>
      <c r="D80" s="8">
        <f>Données!N74</f>
        <v>7550.95</v>
      </c>
      <c r="E80" s="221">
        <f>Données!O74+Données!P74+Données!R74</f>
        <v>256261.65</v>
      </c>
      <c r="F80" s="440">
        <f t="shared" si="5"/>
        <v>130396.11</v>
      </c>
      <c r="G80" s="440">
        <f>Ecrêtage!M74</f>
        <v>0</v>
      </c>
      <c r="H80" s="441">
        <f t="shared" si="6"/>
        <v>366302.59138562012</v>
      </c>
      <c r="I80" s="294">
        <f t="shared" si="7"/>
        <v>496698.70138562011</v>
      </c>
    </row>
    <row r="81" spans="1:9" s="35" customFormat="1" x14ac:dyDescent="0.25">
      <c r="A81" s="38">
        <f>Données!A75</f>
        <v>5521</v>
      </c>
      <c r="B81" s="473" t="str">
        <f>Données!B75</f>
        <v>Etagnières</v>
      </c>
      <c r="C81" s="31">
        <f>VPI!R75</f>
        <v>47189.665890410972</v>
      </c>
      <c r="D81" s="8">
        <f>Données!N75</f>
        <v>100109.65</v>
      </c>
      <c r="E81" s="221">
        <f>Données!O75+Données!P75+Données!R75</f>
        <v>680606.5</v>
      </c>
      <c r="F81" s="440">
        <f t="shared" si="5"/>
        <v>370336.14500000002</v>
      </c>
      <c r="G81" s="440">
        <f>Ecrêtage!M75</f>
        <v>0</v>
      </c>
      <c r="H81" s="441">
        <f t="shared" si="6"/>
        <v>550113.84150966629</v>
      </c>
      <c r="I81" s="294">
        <f t="shared" si="7"/>
        <v>920449.98650966631</v>
      </c>
    </row>
    <row r="82" spans="1:9" s="35" customFormat="1" x14ac:dyDescent="0.25">
      <c r="A82" s="38">
        <f>Données!A76</f>
        <v>5522</v>
      </c>
      <c r="B82" s="473" t="str">
        <f>Données!B76</f>
        <v>Fey</v>
      </c>
      <c r="C82" s="31">
        <f>VPI!R76</f>
        <v>24172.463733333334</v>
      </c>
      <c r="D82" s="8">
        <f>Données!N76</f>
        <v>4142.45</v>
      </c>
      <c r="E82" s="221">
        <f>Données!O76+Données!P76+Données!R76</f>
        <v>144783.15</v>
      </c>
      <c r="F82" s="440">
        <f t="shared" si="5"/>
        <v>73634.31</v>
      </c>
      <c r="G82" s="440">
        <f>Ecrêtage!M76</f>
        <v>0</v>
      </c>
      <c r="H82" s="441">
        <f t="shared" si="6"/>
        <v>281790.6554790673</v>
      </c>
      <c r="I82" s="294">
        <f t="shared" si="7"/>
        <v>355424.96547906729</v>
      </c>
    </row>
    <row r="83" spans="1:9" s="35" customFormat="1" x14ac:dyDescent="0.25">
      <c r="A83" s="38">
        <f>Données!A77</f>
        <v>5523</v>
      </c>
      <c r="B83" s="473" t="str">
        <f>Données!B77</f>
        <v>Froideville</v>
      </c>
      <c r="C83" s="31">
        <f>VPI!R77</f>
        <v>92224.237222222204</v>
      </c>
      <c r="D83" s="8">
        <f>Données!N77</f>
        <v>6529.5</v>
      </c>
      <c r="E83" s="221">
        <f>Données!O77+Données!P77+Données!R77</f>
        <v>721211.55</v>
      </c>
      <c r="F83" s="440">
        <f t="shared" si="5"/>
        <v>362564.625</v>
      </c>
      <c r="G83" s="440">
        <f>Ecrêtage!M77</f>
        <v>0</v>
      </c>
      <c r="H83" s="441">
        <f t="shared" si="6"/>
        <v>1075104.6539815536</v>
      </c>
      <c r="I83" s="294">
        <f t="shared" si="7"/>
        <v>1437669.2789815536</v>
      </c>
    </row>
    <row r="84" spans="1:9" s="35" customFormat="1" x14ac:dyDescent="0.25">
      <c r="A84" s="38">
        <f>Données!A78</f>
        <v>5527</v>
      </c>
      <c r="B84" s="473" t="str">
        <f>Données!B78</f>
        <v>Morrens</v>
      </c>
      <c r="C84" s="31">
        <f>VPI!R78</f>
        <v>40722.505675675682</v>
      </c>
      <c r="D84" s="8">
        <f>Données!N78</f>
        <v>11668.5</v>
      </c>
      <c r="E84" s="221">
        <f>Données!O78+Données!P78+Données!R78</f>
        <v>279168.40000000002</v>
      </c>
      <c r="F84" s="440">
        <f t="shared" si="5"/>
        <v>143084.75</v>
      </c>
      <c r="G84" s="440">
        <f>Ecrêtage!M78</f>
        <v>0</v>
      </c>
      <c r="H84" s="441">
        <f t="shared" si="6"/>
        <v>474722.87863129948</v>
      </c>
      <c r="I84" s="294">
        <f t="shared" si="7"/>
        <v>617807.62863129948</v>
      </c>
    </row>
    <row r="85" spans="1:9" s="35" customFormat="1" x14ac:dyDescent="0.25">
      <c r="A85" s="38">
        <f>Données!A79</f>
        <v>5529</v>
      </c>
      <c r="B85" s="473" t="str">
        <f>Données!B79</f>
        <v>Oulens-sous-Echallens</v>
      </c>
      <c r="C85" s="31">
        <f>VPI!R79</f>
        <v>22677.013380281693</v>
      </c>
      <c r="D85" s="8">
        <f>Données!N79</f>
        <v>0</v>
      </c>
      <c r="E85" s="221">
        <f>Données!O79+Données!P79+Données!R79</f>
        <v>12210</v>
      </c>
      <c r="F85" s="440">
        <f t="shared" si="5"/>
        <v>6105</v>
      </c>
      <c r="G85" s="440">
        <f>Ecrêtage!M79</f>
        <v>0</v>
      </c>
      <c r="H85" s="441">
        <f t="shared" si="6"/>
        <v>264357.433120284</v>
      </c>
      <c r="I85" s="294">
        <f t="shared" si="7"/>
        <v>270462.433120284</v>
      </c>
    </row>
    <row r="86" spans="1:9" s="35" customFormat="1" x14ac:dyDescent="0.25">
      <c r="A86" s="38">
        <f>Données!A80</f>
        <v>5530</v>
      </c>
      <c r="B86" s="473" t="str">
        <f>Données!B80</f>
        <v>Pailly</v>
      </c>
      <c r="C86" s="31">
        <f>VPI!R80</f>
        <v>20359.246820175435</v>
      </c>
      <c r="D86" s="8">
        <f>Données!N80</f>
        <v>20999.9</v>
      </c>
      <c r="E86" s="221">
        <f>Données!O80+Données!P80+Données!R80</f>
        <v>532950.6</v>
      </c>
      <c r="F86" s="440">
        <f t="shared" si="5"/>
        <v>272775.26999999996</v>
      </c>
      <c r="G86" s="440">
        <f>Ecrêtage!M80</f>
        <v>0</v>
      </c>
      <c r="H86" s="441">
        <f t="shared" si="6"/>
        <v>237338.05415151303</v>
      </c>
      <c r="I86" s="294">
        <f t="shared" si="7"/>
        <v>510113.32415151299</v>
      </c>
    </row>
    <row r="87" spans="1:9" s="35" customFormat="1" x14ac:dyDescent="0.25">
      <c r="A87" s="38">
        <f>Données!A81</f>
        <v>5531</v>
      </c>
      <c r="B87" s="473" t="str">
        <f>Données!B81</f>
        <v>Penthéréaz</v>
      </c>
      <c r="C87" s="31">
        <f>VPI!R81</f>
        <v>17299.306216216217</v>
      </c>
      <c r="D87" s="8">
        <f>Données!N81</f>
        <v>27044.6</v>
      </c>
      <c r="E87" s="221">
        <f>Données!O81+Données!P81+Données!R81</f>
        <v>31415.05</v>
      </c>
      <c r="F87" s="440">
        <f t="shared" si="5"/>
        <v>23820.904999999999</v>
      </c>
      <c r="G87" s="440">
        <f>Ecrêtage!M81</f>
        <v>0</v>
      </c>
      <c r="H87" s="441">
        <f t="shared" si="6"/>
        <v>201666.77636911478</v>
      </c>
      <c r="I87" s="294">
        <f t="shared" si="7"/>
        <v>225487.68136911478</v>
      </c>
    </row>
    <row r="88" spans="1:9" s="35" customFormat="1" x14ac:dyDescent="0.25">
      <c r="A88" s="38">
        <f>Données!A82</f>
        <v>5533</v>
      </c>
      <c r="B88" s="473" t="str">
        <f>Données!B82</f>
        <v>Poliez-Pittet</v>
      </c>
      <c r="C88" s="31">
        <f>VPI!R82</f>
        <v>28012.381095890411</v>
      </c>
      <c r="D88" s="8">
        <f>Données!N82</f>
        <v>14127</v>
      </c>
      <c r="E88" s="221">
        <f>Données!O82+Données!P82+Données!R82</f>
        <v>110619.35</v>
      </c>
      <c r="F88" s="440">
        <f t="shared" si="5"/>
        <v>59547.775000000001</v>
      </c>
      <c r="G88" s="440">
        <f>Ecrêtage!M82</f>
        <v>0</v>
      </c>
      <c r="H88" s="441">
        <f t="shared" si="6"/>
        <v>326554.51747168164</v>
      </c>
      <c r="I88" s="294">
        <f t="shared" si="7"/>
        <v>386102.29247168166</v>
      </c>
    </row>
    <row r="89" spans="1:9" s="35" customFormat="1" x14ac:dyDescent="0.25">
      <c r="A89" s="38">
        <f>Données!A83</f>
        <v>5534</v>
      </c>
      <c r="B89" s="473" t="str">
        <f>Données!B83</f>
        <v>Rueyres</v>
      </c>
      <c r="C89" s="31">
        <f>VPI!R83</f>
        <v>15042.055228310503</v>
      </c>
      <c r="D89" s="8">
        <f>Données!N83</f>
        <v>22036.5</v>
      </c>
      <c r="E89" s="221">
        <f>Données!O83+Données!P83+Données!R83</f>
        <v>37607.399999999994</v>
      </c>
      <c r="F89" s="440">
        <f t="shared" si="5"/>
        <v>25414.649999999998</v>
      </c>
      <c r="G89" s="440">
        <f>Ecrêtage!M83</f>
        <v>5189.0466863345146</v>
      </c>
      <c r="H89" s="441">
        <f t="shared" si="6"/>
        <v>175352.85808259802</v>
      </c>
      <c r="I89" s="294">
        <f t="shared" si="7"/>
        <v>205956.55476893252</v>
      </c>
    </row>
    <row r="90" spans="1:9" s="35" customFormat="1" x14ac:dyDescent="0.25">
      <c r="A90" s="38">
        <f>Données!A84</f>
        <v>5535</v>
      </c>
      <c r="B90" s="473" t="str">
        <f>Données!B84</f>
        <v>Saint-Barthélemy</v>
      </c>
      <c r="C90" s="31">
        <f>VPI!R84</f>
        <v>25492.610399999998</v>
      </c>
      <c r="D90" s="8">
        <f>Données!N84</f>
        <v>51430.3</v>
      </c>
      <c r="E90" s="221">
        <f>Données!O84+Données!P84+Données!R84</f>
        <v>136336.85</v>
      </c>
      <c r="F90" s="440">
        <f t="shared" si="5"/>
        <v>83597.514999999999</v>
      </c>
      <c r="G90" s="440">
        <f>Ecrêtage!M84</f>
        <v>0</v>
      </c>
      <c r="H90" s="441">
        <f t="shared" si="6"/>
        <v>297180.27395703475</v>
      </c>
      <c r="I90" s="294">
        <f t="shared" si="7"/>
        <v>380777.78895703476</v>
      </c>
    </row>
    <row r="91" spans="1:9" s="35" customFormat="1" x14ac:dyDescent="0.25">
      <c r="A91" s="38">
        <f>Données!A85</f>
        <v>5537</v>
      </c>
      <c r="B91" s="473" t="str">
        <f>Données!B85</f>
        <v>Villars-le-Terroir</v>
      </c>
      <c r="C91" s="31">
        <f>VPI!R85</f>
        <v>39162.728026315795</v>
      </c>
      <c r="D91" s="8">
        <f>Données!N85</f>
        <v>0</v>
      </c>
      <c r="E91" s="221">
        <f>Données!O85+Données!P85+Données!R85</f>
        <v>129651.20000000001</v>
      </c>
      <c r="F91" s="440">
        <f t="shared" si="5"/>
        <v>64825.600000000006</v>
      </c>
      <c r="G91" s="440">
        <f>Ecrêtage!M85</f>
        <v>0</v>
      </c>
      <c r="H91" s="441">
        <f t="shared" si="6"/>
        <v>456539.76039132389</v>
      </c>
      <c r="I91" s="294">
        <f t="shared" si="7"/>
        <v>521365.36039132392</v>
      </c>
    </row>
    <row r="92" spans="1:9" s="35" customFormat="1" x14ac:dyDescent="0.25">
      <c r="A92" s="38">
        <f>Données!A86</f>
        <v>5539</v>
      </c>
      <c r="B92" s="473" t="str">
        <f>Données!B86</f>
        <v>Vuarrens</v>
      </c>
      <c r="C92" s="31">
        <f>VPI!R86</f>
        <v>34442.458945578233</v>
      </c>
      <c r="D92" s="8">
        <f>Données!N86</f>
        <v>18487.849999999999</v>
      </c>
      <c r="E92" s="221">
        <f>Données!O86+Données!P86+Données!R86</f>
        <v>201580.05</v>
      </c>
      <c r="F92" s="440">
        <f t="shared" si="5"/>
        <v>106336.37999999999</v>
      </c>
      <c r="G92" s="440">
        <f>Ecrêtage!M86</f>
        <v>0</v>
      </c>
      <c r="H92" s="441">
        <f t="shared" si="6"/>
        <v>401513.19243481092</v>
      </c>
      <c r="I92" s="294">
        <f t="shared" si="7"/>
        <v>507849.57243481092</v>
      </c>
    </row>
    <row r="93" spans="1:9" s="35" customFormat="1" x14ac:dyDescent="0.25">
      <c r="A93" s="38">
        <f>Données!A87</f>
        <v>5540</v>
      </c>
      <c r="B93" s="473" t="str">
        <f>Données!B87</f>
        <v>Montilliez</v>
      </c>
      <c r="C93" s="31">
        <f>VPI!R87</f>
        <v>67464.467689655183</v>
      </c>
      <c r="D93" s="8">
        <f>Données!N87</f>
        <v>6525.8</v>
      </c>
      <c r="E93" s="221">
        <f>Données!O87+Données!P87+Données!R87</f>
        <v>235980.34999999998</v>
      </c>
      <c r="F93" s="440">
        <f t="shared" si="5"/>
        <v>119947.91499999999</v>
      </c>
      <c r="G93" s="440">
        <f>Ecrêtage!M87</f>
        <v>0</v>
      </c>
      <c r="H93" s="441">
        <f t="shared" si="6"/>
        <v>786467.47727244312</v>
      </c>
      <c r="I93" s="294">
        <f t="shared" si="7"/>
        <v>906415.39227244316</v>
      </c>
    </row>
    <row r="94" spans="1:9" s="35" customFormat="1" x14ac:dyDescent="0.25">
      <c r="A94" s="38">
        <f>Données!A88</f>
        <v>5541</v>
      </c>
      <c r="B94" s="473" t="str">
        <f>Données!B88</f>
        <v>Goumoëns</v>
      </c>
      <c r="C94" s="31">
        <f>VPI!R88</f>
        <v>41726.211258278148</v>
      </c>
      <c r="D94" s="8">
        <f>Données!N88</f>
        <v>6812.1</v>
      </c>
      <c r="E94" s="221">
        <f>Données!O88+Données!P88+Données!R88</f>
        <v>271237.75</v>
      </c>
      <c r="F94" s="440">
        <f t="shared" si="5"/>
        <v>137662.505</v>
      </c>
      <c r="G94" s="440">
        <f>Ecrêtage!M88</f>
        <v>0</v>
      </c>
      <c r="H94" s="441">
        <f t="shared" si="6"/>
        <v>486423.58308367699</v>
      </c>
      <c r="I94" s="294">
        <f t="shared" si="7"/>
        <v>624086.08808367699</v>
      </c>
    </row>
    <row r="95" spans="1:9" s="35" customFormat="1" x14ac:dyDescent="0.25">
      <c r="A95" s="38">
        <f>Données!A89</f>
        <v>5551</v>
      </c>
      <c r="B95" s="473" t="str">
        <f>Données!B89</f>
        <v>Bonvillars</v>
      </c>
      <c r="C95" s="31">
        <f>VPI!R89</f>
        <v>18575.023035714283</v>
      </c>
      <c r="D95" s="8">
        <f>Données!N89</f>
        <v>4739.05</v>
      </c>
      <c r="E95" s="221">
        <f>Données!O89+Données!P89+Données!R89</f>
        <v>350352.5</v>
      </c>
      <c r="F95" s="440">
        <f t="shared" si="5"/>
        <v>176597.965</v>
      </c>
      <c r="G95" s="440">
        <f>Ecrêtage!M89</f>
        <v>0</v>
      </c>
      <c r="H95" s="441">
        <f t="shared" si="6"/>
        <v>216538.45361053344</v>
      </c>
      <c r="I95" s="294">
        <f t="shared" si="7"/>
        <v>393136.41861053347</v>
      </c>
    </row>
    <row r="96" spans="1:9" s="35" customFormat="1" x14ac:dyDescent="0.25">
      <c r="A96" s="38">
        <f>Données!A90</f>
        <v>5552</v>
      </c>
      <c r="B96" s="473" t="str">
        <f>Données!B90</f>
        <v>Bullet</v>
      </c>
      <c r="C96" s="31">
        <f>VPI!R90</f>
        <v>19038.952167832165</v>
      </c>
      <c r="D96" s="8">
        <f>Données!N90</f>
        <v>75308.75</v>
      </c>
      <c r="E96" s="221">
        <f>Données!O90+Données!P90+Données!R90</f>
        <v>117266.35</v>
      </c>
      <c r="F96" s="440">
        <f t="shared" si="5"/>
        <v>81225.8</v>
      </c>
      <c r="G96" s="440">
        <f>Ecrêtage!M90</f>
        <v>0</v>
      </c>
      <c r="H96" s="441">
        <f t="shared" si="6"/>
        <v>221946.71052954404</v>
      </c>
      <c r="I96" s="294">
        <f t="shared" si="7"/>
        <v>303172.51052954403</v>
      </c>
    </row>
    <row r="97" spans="1:9" s="35" customFormat="1" x14ac:dyDescent="0.25">
      <c r="A97" s="38">
        <f>Données!A91</f>
        <v>5553</v>
      </c>
      <c r="B97" s="473" t="str">
        <f>Données!B91</f>
        <v>Champagne</v>
      </c>
      <c r="C97" s="31">
        <f>VPI!R91</f>
        <v>38263.796923076923</v>
      </c>
      <c r="D97" s="8">
        <f>Données!N91</f>
        <v>163610.25</v>
      </c>
      <c r="E97" s="221">
        <f>Données!O91+Données!P91+Données!R91</f>
        <v>159660.5</v>
      </c>
      <c r="F97" s="440">
        <f t="shared" si="5"/>
        <v>128913.325</v>
      </c>
      <c r="G97" s="440">
        <f>Ecrêtage!M91</f>
        <v>0</v>
      </c>
      <c r="H97" s="441">
        <f t="shared" si="6"/>
        <v>446060.46512350667</v>
      </c>
      <c r="I97" s="294">
        <f t="shared" si="7"/>
        <v>574973.79012350668</v>
      </c>
    </row>
    <row r="98" spans="1:9" s="35" customFormat="1" x14ac:dyDescent="0.25">
      <c r="A98" s="38">
        <f>Données!A92</f>
        <v>5554</v>
      </c>
      <c r="B98" s="473" t="str">
        <f>Données!B92</f>
        <v>Concise</v>
      </c>
      <c r="C98" s="31">
        <f>VPI!R92</f>
        <v>33907.166000000005</v>
      </c>
      <c r="D98" s="8">
        <f>Données!N92</f>
        <v>12823.55</v>
      </c>
      <c r="E98" s="221">
        <f>Données!O92+Données!P92+Données!R92</f>
        <v>259569.2</v>
      </c>
      <c r="F98" s="440">
        <f t="shared" si="5"/>
        <v>133631.66500000001</v>
      </c>
      <c r="G98" s="440">
        <f>Ecrêtage!M92</f>
        <v>0</v>
      </c>
      <c r="H98" s="441">
        <f t="shared" si="6"/>
        <v>395273.01138947526</v>
      </c>
      <c r="I98" s="294">
        <f t="shared" si="7"/>
        <v>528904.67638947524</v>
      </c>
    </row>
    <row r="99" spans="1:9" s="35" customFormat="1" x14ac:dyDescent="0.25">
      <c r="A99" s="38">
        <f>Données!A93</f>
        <v>5555</v>
      </c>
      <c r="B99" s="473" t="str">
        <f>Données!B93</f>
        <v>Corcelles-près-Concise</v>
      </c>
      <c r="C99" s="31">
        <f>VPI!R93</f>
        <v>13425.201594202899</v>
      </c>
      <c r="D99" s="8">
        <f>Données!N93</f>
        <v>9002.75</v>
      </c>
      <c r="E99" s="221">
        <f>Données!O93+Données!P93+Données!R93</f>
        <v>25554.55</v>
      </c>
      <c r="F99" s="440">
        <f t="shared" si="5"/>
        <v>15478.099999999999</v>
      </c>
      <c r="G99" s="440">
        <f>Ecrêtage!M93</f>
        <v>0</v>
      </c>
      <c r="H99" s="441">
        <f t="shared" si="6"/>
        <v>156504.37617379651</v>
      </c>
      <c r="I99" s="294">
        <f t="shared" si="7"/>
        <v>171982.47617379652</v>
      </c>
    </row>
    <row r="100" spans="1:9" s="35" customFormat="1" x14ac:dyDescent="0.25">
      <c r="A100" s="38">
        <f>Données!A94</f>
        <v>5556</v>
      </c>
      <c r="B100" s="473" t="str">
        <f>Données!B94</f>
        <v>Fiez</v>
      </c>
      <c r="C100" s="31">
        <f>VPI!R94</f>
        <v>13304.241787439612</v>
      </c>
      <c r="D100" s="8">
        <f>Données!N94</f>
        <v>0</v>
      </c>
      <c r="E100" s="221">
        <f>Données!O94+Données!P94+Données!R94</f>
        <v>123237.95000000001</v>
      </c>
      <c r="F100" s="440">
        <f t="shared" si="5"/>
        <v>61618.975000000006</v>
      </c>
      <c r="G100" s="440">
        <f>Ecrêtage!M94</f>
        <v>0</v>
      </c>
      <c r="H100" s="441">
        <f t="shared" si="6"/>
        <v>155094.28642827153</v>
      </c>
      <c r="I100" s="294">
        <f t="shared" si="7"/>
        <v>216713.26142827154</v>
      </c>
    </row>
    <row r="101" spans="1:9" s="35" customFormat="1" x14ac:dyDescent="0.25">
      <c r="A101" s="38">
        <f>Données!A95</f>
        <v>5557</v>
      </c>
      <c r="B101" s="473" t="str">
        <f>Données!B95</f>
        <v>Fontaines-sur-Grandson</v>
      </c>
      <c r="C101" s="31">
        <f>VPI!R95</f>
        <v>5098.7534782608691</v>
      </c>
      <c r="D101" s="8">
        <f>Données!N95</f>
        <v>0</v>
      </c>
      <c r="E101" s="221">
        <f>Données!O95+Données!P95+Données!R95</f>
        <v>17748.350000000002</v>
      </c>
      <c r="F101" s="440">
        <f t="shared" si="5"/>
        <v>8874.1750000000011</v>
      </c>
      <c r="G101" s="440">
        <f>Ecrêtage!M95</f>
        <v>0</v>
      </c>
      <c r="H101" s="441">
        <f t="shared" si="6"/>
        <v>59438.752318159968</v>
      </c>
      <c r="I101" s="294">
        <f t="shared" si="7"/>
        <v>68312.927318159971</v>
      </c>
    </row>
    <row r="102" spans="1:9" s="35" customFormat="1" x14ac:dyDescent="0.25">
      <c r="A102" s="38">
        <f>Données!A96</f>
        <v>5559</v>
      </c>
      <c r="B102" s="473" t="str">
        <f>Données!B96</f>
        <v>Giez</v>
      </c>
      <c r="C102" s="31">
        <f>VPI!R96</f>
        <v>21011.030606060605</v>
      </c>
      <c r="D102" s="8">
        <f>Données!N96</f>
        <v>6024.7</v>
      </c>
      <c r="E102" s="221">
        <f>Données!O96+Données!P96+Données!R96</f>
        <v>120160.05</v>
      </c>
      <c r="F102" s="440">
        <f t="shared" si="5"/>
        <v>61887.434999999998</v>
      </c>
      <c r="G102" s="440">
        <f>Ecrêtage!M96</f>
        <v>0</v>
      </c>
      <c r="H102" s="441">
        <f t="shared" si="6"/>
        <v>244936.22793641928</v>
      </c>
      <c r="I102" s="294">
        <f t="shared" si="7"/>
        <v>306823.66293641925</v>
      </c>
    </row>
    <row r="103" spans="1:9" s="35" customFormat="1" x14ac:dyDescent="0.25">
      <c r="A103" s="38">
        <f>Données!A97</f>
        <v>5560</v>
      </c>
      <c r="B103" s="473" t="str">
        <f>Données!B97</f>
        <v>Grandevent</v>
      </c>
      <c r="C103" s="31">
        <f>VPI!R97</f>
        <v>8996.1449295774655</v>
      </c>
      <c r="D103" s="8">
        <f>Données!N97</f>
        <v>0</v>
      </c>
      <c r="E103" s="221">
        <f>Données!O97+Données!P97+Données!R97</f>
        <v>53297</v>
      </c>
      <c r="F103" s="440">
        <f t="shared" si="5"/>
        <v>26648.5</v>
      </c>
      <c r="G103" s="440">
        <f>Ecrêtage!M97</f>
        <v>0</v>
      </c>
      <c r="H103" s="441">
        <f t="shared" si="6"/>
        <v>104872.61887974487</v>
      </c>
      <c r="I103" s="294">
        <f t="shared" si="7"/>
        <v>131521.11887974487</v>
      </c>
    </row>
    <row r="104" spans="1:9" s="35" customFormat="1" x14ac:dyDescent="0.25">
      <c r="A104" s="38">
        <f>Données!A98</f>
        <v>5561</v>
      </c>
      <c r="B104" s="473" t="str">
        <f>Données!B98</f>
        <v>Grandson</v>
      </c>
      <c r="C104" s="31">
        <f>VPI!R98</f>
        <v>132376.08594202899</v>
      </c>
      <c r="D104" s="8">
        <f>Données!N98</f>
        <v>389122</v>
      </c>
      <c r="E104" s="221">
        <f>Données!O98+Données!P98+Données!R98</f>
        <v>649969.55000000005</v>
      </c>
      <c r="F104" s="440">
        <f t="shared" si="5"/>
        <v>441721.375</v>
      </c>
      <c r="G104" s="440">
        <f>Ecrêtage!M98</f>
        <v>0</v>
      </c>
      <c r="H104" s="441">
        <f t="shared" si="6"/>
        <v>1543175.0953841964</v>
      </c>
      <c r="I104" s="294">
        <f t="shared" si="7"/>
        <v>1984896.4703841964</v>
      </c>
    </row>
    <row r="105" spans="1:9" s="35" customFormat="1" x14ac:dyDescent="0.25">
      <c r="A105" s="38">
        <f>Données!A99</f>
        <v>5562</v>
      </c>
      <c r="B105" s="473" t="str">
        <f>Données!B99</f>
        <v>Mauborget</v>
      </c>
      <c r="C105" s="31">
        <f>VPI!R99</f>
        <v>4559.8505476190467</v>
      </c>
      <c r="D105" s="8">
        <f>Données!N99</f>
        <v>0</v>
      </c>
      <c r="E105" s="221">
        <f>Données!O99+Données!P99+Données!R99</f>
        <v>8098</v>
      </c>
      <c r="F105" s="440">
        <f t="shared" si="5"/>
        <v>4049</v>
      </c>
      <c r="G105" s="440">
        <f>Ecrêtage!M99</f>
        <v>0</v>
      </c>
      <c r="H105" s="441">
        <f t="shared" si="6"/>
        <v>53156.487848124147</v>
      </c>
      <c r="I105" s="294">
        <f t="shared" si="7"/>
        <v>57205.487848124147</v>
      </c>
    </row>
    <row r="106" spans="1:9" s="35" customFormat="1" x14ac:dyDescent="0.25">
      <c r="A106" s="38">
        <f>Données!A100</f>
        <v>5563</v>
      </c>
      <c r="B106" s="473" t="str">
        <f>Données!B100</f>
        <v>Mutrux</v>
      </c>
      <c r="C106" s="31">
        <f>VPI!R100</f>
        <v>2282.08925</v>
      </c>
      <c r="D106" s="8">
        <f>Données!N100</f>
        <v>0</v>
      </c>
      <c r="E106" s="221">
        <f>Données!O100+Données!P100+Données!R100</f>
        <v>61694.75</v>
      </c>
      <c r="F106" s="440">
        <f t="shared" si="5"/>
        <v>30847.375</v>
      </c>
      <c r="G106" s="440">
        <f>Ecrêtage!M100</f>
        <v>0</v>
      </c>
      <c r="H106" s="441">
        <f t="shared" si="6"/>
        <v>26603.470490782067</v>
      </c>
      <c r="I106" s="294">
        <f t="shared" si="7"/>
        <v>57450.845490782071</v>
      </c>
    </row>
    <row r="107" spans="1:9" s="35" customFormat="1" x14ac:dyDescent="0.25">
      <c r="A107" s="38">
        <f>Données!A101</f>
        <v>5564</v>
      </c>
      <c r="B107" s="473" t="str">
        <f>Données!B101</f>
        <v>Novalles</v>
      </c>
      <c r="C107" s="31">
        <f>VPI!R101</f>
        <v>2548.8725328947371</v>
      </c>
      <c r="D107" s="8">
        <f>Données!N101</f>
        <v>0</v>
      </c>
      <c r="E107" s="221">
        <f>Données!O101+Données!P101+Données!R101</f>
        <v>0</v>
      </c>
      <c r="F107" s="440">
        <f t="shared" si="5"/>
        <v>0</v>
      </c>
      <c r="G107" s="440">
        <f>Ecrêtage!M101</f>
        <v>0</v>
      </c>
      <c r="H107" s="441">
        <f t="shared" si="6"/>
        <v>29713.498371560217</v>
      </c>
      <c r="I107" s="294">
        <f t="shared" si="7"/>
        <v>29713.498371560217</v>
      </c>
    </row>
    <row r="108" spans="1:9" s="35" customFormat="1" x14ac:dyDescent="0.25">
      <c r="A108" s="38">
        <f>Données!A102</f>
        <v>5565</v>
      </c>
      <c r="B108" s="473" t="str">
        <f>Données!B102</f>
        <v>Onnens</v>
      </c>
      <c r="C108" s="31">
        <f>VPI!R102</f>
        <v>11658.700944881888</v>
      </c>
      <c r="D108" s="8">
        <f>Données!N102</f>
        <v>33324.1</v>
      </c>
      <c r="E108" s="221">
        <f>Données!O102+Données!P102+Données!R102</f>
        <v>57305.7</v>
      </c>
      <c r="F108" s="440">
        <f t="shared" si="5"/>
        <v>38650.080000000002</v>
      </c>
      <c r="G108" s="440">
        <f>Ecrêtage!M102</f>
        <v>0</v>
      </c>
      <c r="H108" s="441">
        <f t="shared" si="6"/>
        <v>135911.38319766341</v>
      </c>
      <c r="I108" s="294">
        <f t="shared" si="7"/>
        <v>174561.46319766343</v>
      </c>
    </row>
    <row r="109" spans="1:9" s="35" customFormat="1" x14ac:dyDescent="0.25">
      <c r="A109" s="38">
        <f>Données!A103</f>
        <v>5566</v>
      </c>
      <c r="B109" s="473" t="str">
        <f>Données!B103</f>
        <v>Provence</v>
      </c>
      <c r="C109" s="31">
        <f>VPI!R103</f>
        <v>8528.9197942386818</v>
      </c>
      <c r="D109" s="8">
        <f>Données!N103</f>
        <v>14030.45</v>
      </c>
      <c r="E109" s="221">
        <f>Données!O103+Données!P103+Données!R103</f>
        <v>69454.150000000009</v>
      </c>
      <c r="F109" s="440">
        <f t="shared" si="5"/>
        <v>38936.210000000006</v>
      </c>
      <c r="G109" s="440">
        <f>Ecrêtage!M103</f>
        <v>0</v>
      </c>
      <c r="H109" s="441">
        <f t="shared" si="6"/>
        <v>99425.938781437144</v>
      </c>
      <c r="I109" s="294">
        <f t="shared" si="7"/>
        <v>138362.14878143714</v>
      </c>
    </row>
    <row r="110" spans="1:9" s="35" customFormat="1" x14ac:dyDescent="0.25">
      <c r="A110" s="38">
        <f>Données!A104</f>
        <v>5568</v>
      </c>
      <c r="B110" s="473" t="str">
        <f>Données!B104</f>
        <v>Sainte-Croix</v>
      </c>
      <c r="C110" s="31">
        <f>VPI!R104</f>
        <v>106004.96942857141</v>
      </c>
      <c r="D110" s="8">
        <f>Données!N104</f>
        <v>2185427.75</v>
      </c>
      <c r="E110" s="221">
        <f>Données!O104+Données!P104+Données!R104</f>
        <v>841506.4</v>
      </c>
      <c r="F110" s="440">
        <f t="shared" si="5"/>
        <v>1076381.5249999999</v>
      </c>
      <c r="G110" s="440">
        <f>Ecrêtage!M104</f>
        <v>0</v>
      </c>
      <c r="H110" s="441">
        <f t="shared" si="6"/>
        <v>1235753.6306124988</v>
      </c>
      <c r="I110" s="294">
        <f t="shared" si="7"/>
        <v>2312135.1556124985</v>
      </c>
    </row>
    <row r="111" spans="1:9" s="35" customFormat="1" x14ac:dyDescent="0.25">
      <c r="A111" s="38">
        <f>Données!A105</f>
        <v>5571</v>
      </c>
      <c r="B111" s="473" t="str">
        <f>Données!B105</f>
        <v>Tévenon</v>
      </c>
      <c r="C111" s="31">
        <f>VPI!R105</f>
        <v>25907.008578088578</v>
      </c>
      <c r="D111" s="8">
        <f>Données!N105</f>
        <v>51701.55</v>
      </c>
      <c r="E111" s="221">
        <f>Données!O105+Données!P105+Données!R105</f>
        <v>82478.75</v>
      </c>
      <c r="F111" s="440">
        <f t="shared" si="5"/>
        <v>56749.84</v>
      </c>
      <c r="G111" s="440">
        <f>Ecrêtage!M105</f>
        <v>0</v>
      </c>
      <c r="H111" s="441">
        <f t="shared" si="6"/>
        <v>302011.12345260702</v>
      </c>
      <c r="I111" s="294">
        <f t="shared" si="7"/>
        <v>358760.96345260704</v>
      </c>
    </row>
    <row r="112" spans="1:9" s="35" customFormat="1" x14ac:dyDescent="0.25">
      <c r="A112" s="38">
        <f>Données!A106</f>
        <v>5581</v>
      </c>
      <c r="B112" s="473" t="str">
        <f>Données!B106</f>
        <v>Belmont-sur-Lausanne</v>
      </c>
      <c r="C112" s="31">
        <f>VPI!R106</f>
        <v>233670.95416666666</v>
      </c>
      <c r="D112" s="8">
        <f>Données!N106</f>
        <v>7195.2</v>
      </c>
      <c r="E112" s="221">
        <f>Données!O106+Données!P106+Données!R106</f>
        <v>1234613.1500000001</v>
      </c>
      <c r="F112" s="440">
        <f t="shared" si="5"/>
        <v>619465.13500000013</v>
      </c>
      <c r="G112" s="440">
        <f>Ecrêtage!M106</f>
        <v>764493.5787433018</v>
      </c>
      <c r="H112" s="441">
        <f t="shared" si="6"/>
        <v>2724020.6901311181</v>
      </c>
      <c r="I112" s="294">
        <f t="shared" si="7"/>
        <v>4107979.4038744201</v>
      </c>
    </row>
    <row r="113" spans="1:9" s="35" customFormat="1" x14ac:dyDescent="0.25">
      <c r="A113" s="38">
        <f>Données!A107</f>
        <v>5582</v>
      </c>
      <c r="B113" s="473" t="str">
        <f>Données!B107</f>
        <v>Cheseaux-sur-Lausanne</v>
      </c>
      <c r="C113" s="31">
        <f>VPI!R107</f>
        <v>170428.79082191776</v>
      </c>
      <c r="D113" s="8">
        <f>Données!N107</f>
        <v>473500.2</v>
      </c>
      <c r="E113" s="221">
        <f>Données!O107+Données!P107+Données!R107</f>
        <v>607803.44999999995</v>
      </c>
      <c r="F113" s="440">
        <f t="shared" si="5"/>
        <v>445951.78499999997</v>
      </c>
      <c r="G113" s="440">
        <f>Ecrêtage!M107</f>
        <v>0</v>
      </c>
      <c r="H113" s="441">
        <f t="shared" si="6"/>
        <v>1986774.7536212963</v>
      </c>
      <c r="I113" s="294">
        <f t="shared" si="7"/>
        <v>2432726.5386212962</v>
      </c>
    </row>
    <row r="114" spans="1:9" s="35" customFormat="1" x14ac:dyDescent="0.25">
      <c r="A114" s="38">
        <f>Données!A108</f>
        <v>5583</v>
      </c>
      <c r="B114" s="473" t="str">
        <f>Données!B108</f>
        <v>Crissier</v>
      </c>
      <c r="C114" s="31">
        <f>VPI!R108</f>
        <v>340496.54456692917</v>
      </c>
      <c r="D114" s="8">
        <f>Données!N108</f>
        <v>2567265.7999999998</v>
      </c>
      <c r="E114" s="221">
        <f>Données!O108+Données!P108+Données!R108</f>
        <v>2876619.5</v>
      </c>
      <c r="F114" s="440">
        <f t="shared" si="5"/>
        <v>2208489.4899999998</v>
      </c>
      <c r="G114" s="440">
        <f>Ecrêtage!M108</f>
        <v>0</v>
      </c>
      <c r="H114" s="441">
        <f t="shared" si="6"/>
        <v>3969340.7151361676</v>
      </c>
      <c r="I114" s="294">
        <f t="shared" si="7"/>
        <v>6177830.2051361669</v>
      </c>
    </row>
    <row r="115" spans="1:9" s="35" customFormat="1" x14ac:dyDescent="0.25">
      <c r="A115" s="38">
        <f>Données!A109</f>
        <v>5584</v>
      </c>
      <c r="B115" s="473" t="str">
        <f>Données!B109</f>
        <v>Epalinges</v>
      </c>
      <c r="C115" s="31">
        <f>VPI!R109</f>
        <v>489766.22341085278</v>
      </c>
      <c r="D115" s="8">
        <f>Données!N109</f>
        <v>351357.3</v>
      </c>
      <c r="E115" s="221">
        <f>Données!O109+Données!P109+Données!R109</f>
        <v>4706387.9000000004</v>
      </c>
      <c r="F115" s="440">
        <f t="shared" si="5"/>
        <v>2458601.14</v>
      </c>
      <c r="G115" s="440">
        <f>Ecrêtage!M109</f>
        <v>174678.65153303798</v>
      </c>
      <c r="H115" s="441">
        <f t="shared" si="6"/>
        <v>5709452.9812505795</v>
      </c>
      <c r="I115" s="294">
        <f t="shared" si="7"/>
        <v>8342732.7727836175</v>
      </c>
    </row>
    <row r="116" spans="1:9" s="35" customFormat="1" x14ac:dyDescent="0.25">
      <c r="A116" s="38">
        <f>Données!A110</f>
        <v>5585</v>
      </c>
      <c r="B116" s="473" t="str">
        <f>Données!B110</f>
        <v>Jouxtens-Mézery</v>
      </c>
      <c r="C116" s="31">
        <f>VPI!R110</f>
        <v>252946.52254237281</v>
      </c>
      <c r="D116" s="8">
        <f>Données!N110</f>
        <v>770.1</v>
      </c>
      <c r="E116" s="221">
        <f>Données!O110+Données!P110+Données!R110</f>
        <v>735313.55</v>
      </c>
      <c r="F116" s="440">
        <f t="shared" si="5"/>
        <v>367887.80500000005</v>
      </c>
      <c r="G116" s="440">
        <f>Ecrêtage!M110</f>
        <v>4882101.6973133748</v>
      </c>
      <c r="H116" s="441">
        <f t="shared" si="6"/>
        <v>2948725.7556653209</v>
      </c>
      <c r="I116" s="294">
        <f t="shared" si="7"/>
        <v>8198715.2579786964</v>
      </c>
    </row>
    <row r="117" spans="1:9" s="35" customFormat="1" x14ac:dyDescent="0.25">
      <c r="A117" s="38">
        <f>Données!A111</f>
        <v>5586</v>
      </c>
      <c r="B117" s="473" t="str">
        <f>Données!B111</f>
        <v>Lausanne</v>
      </c>
      <c r="C117" s="31">
        <f>VPI!R111</f>
        <v>6671978.8432696378</v>
      </c>
      <c r="D117" s="8">
        <f>Données!N111</f>
        <v>13587309.25</v>
      </c>
      <c r="E117" s="221">
        <f>Données!O111+Données!P111+Données!R111</f>
        <v>38255611.700000003</v>
      </c>
      <c r="F117" s="440">
        <f t="shared" si="5"/>
        <v>23203998.625</v>
      </c>
      <c r="G117" s="440">
        <f>Ecrêtage!M111</f>
        <v>0</v>
      </c>
      <c r="H117" s="441">
        <f t="shared" si="6"/>
        <v>77778637.392050326</v>
      </c>
      <c r="I117" s="294">
        <f t="shared" si="7"/>
        <v>100982636.01705033</v>
      </c>
    </row>
    <row r="118" spans="1:9" s="35" customFormat="1" x14ac:dyDescent="0.25">
      <c r="A118" s="38">
        <f>Données!A112</f>
        <v>5587</v>
      </c>
      <c r="B118" s="473" t="str">
        <f>Données!B112</f>
        <v>Le Mont-sur-Lausanne</v>
      </c>
      <c r="C118" s="31">
        <f>VPI!R112</f>
        <v>484050.33068027202</v>
      </c>
      <c r="D118" s="8">
        <f>Données!N112</f>
        <v>464624.55</v>
      </c>
      <c r="E118" s="221">
        <f>Données!O112+Données!P112+Données!R112</f>
        <v>4417103.9499999993</v>
      </c>
      <c r="F118" s="440">
        <f t="shared" si="5"/>
        <v>2347939.34</v>
      </c>
      <c r="G118" s="440">
        <f>Ecrêtage!M112</f>
        <v>491239.46482006815</v>
      </c>
      <c r="H118" s="441">
        <f t="shared" si="6"/>
        <v>5642819.9240261605</v>
      </c>
      <c r="I118" s="294">
        <f t="shared" si="7"/>
        <v>8481998.7288462278</v>
      </c>
    </row>
    <row r="119" spans="1:9" s="35" customFormat="1" x14ac:dyDescent="0.25">
      <c r="A119" s="38">
        <f>Données!A113</f>
        <v>5588</v>
      </c>
      <c r="B119" s="473" t="str">
        <f>Données!B113</f>
        <v>Paudex</v>
      </c>
      <c r="C119" s="31">
        <f>VPI!R113</f>
        <v>137556.51114930178</v>
      </c>
      <c r="D119" s="8">
        <f>Données!N113</f>
        <v>15604.6</v>
      </c>
      <c r="E119" s="221">
        <f>Données!O113+Données!P113+Données!R113</f>
        <v>578630.35</v>
      </c>
      <c r="F119" s="440">
        <f t="shared" si="5"/>
        <v>293996.55499999999</v>
      </c>
      <c r="G119" s="440">
        <f>Ecrêtage!M113</f>
        <v>1310824.9840982661</v>
      </c>
      <c r="H119" s="441">
        <f t="shared" si="6"/>
        <v>1603565.9364222428</v>
      </c>
      <c r="I119" s="294">
        <f t="shared" si="7"/>
        <v>3208387.4755205088</v>
      </c>
    </row>
    <row r="120" spans="1:9" s="35" customFormat="1" x14ac:dyDescent="0.25">
      <c r="A120" s="38">
        <f>Données!A114</f>
        <v>5589</v>
      </c>
      <c r="B120" s="473" t="str">
        <f>Données!B114</f>
        <v>Prilly</v>
      </c>
      <c r="C120" s="31">
        <f>VPI!R114</f>
        <v>404219.10002122016</v>
      </c>
      <c r="D120" s="8">
        <f>Données!N114</f>
        <v>1184545.2</v>
      </c>
      <c r="E120" s="221">
        <f>Données!O114+Données!P114+Données!R114</f>
        <v>2778237.25</v>
      </c>
      <c r="F120" s="440">
        <f t="shared" si="5"/>
        <v>1744482.1850000001</v>
      </c>
      <c r="G120" s="440">
        <f>Ecrêtage!M114</f>
        <v>0</v>
      </c>
      <c r="H120" s="441">
        <f t="shared" si="6"/>
        <v>4712186.8258329574</v>
      </c>
      <c r="I120" s="294">
        <f t="shared" si="7"/>
        <v>6456669.0108329579</v>
      </c>
    </row>
    <row r="121" spans="1:9" s="35" customFormat="1" x14ac:dyDescent="0.25">
      <c r="A121" s="38">
        <f>Données!A115</f>
        <v>5590</v>
      </c>
      <c r="B121" s="473" t="str">
        <f>Données!B115</f>
        <v>Pully</v>
      </c>
      <c r="C121" s="31">
        <f>VPI!R115</f>
        <v>1396472.1616393442</v>
      </c>
      <c r="D121" s="8">
        <f>Données!N115</f>
        <v>201845.05</v>
      </c>
      <c r="E121" s="221">
        <f>Données!O115+Données!P115+Données!R115</f>
        <v>8769257.1000000015</v>
      </c>
      <c r="F121" s="440">
        <f t="shared" si="5"/>
        <v>4445182.0650000004</v>
      </c>
      <c r="G121" s="440">
        <f>Ecrêtage!M115</f>
        <v>7663493.942048043</v>
      </c>
      <c r="H121" s="441">
        <f t="shared" si="6"/>
        <v>16279383.439263357</v>
      </c>
      <c r="I121" s="294">
        <f t="shared" si="7"/>
        <v>28388059.446311399</v>
      </c>
    </row>
    <row r="122" spans="1:9" s="35" customFormat="1" x14ac:dyDescent="0.25">
      <c r="A122" s="38">
        <f>Données!A116</f>
        <v>5591</v>
      </c>
      <c r="B122" s="473" t="str">
        <f>Données!B116</f>
        <v>Renens</v>
      </c>
      <c r="C122" s="31">
        <f>VPI!R116</f>
        <v>592907.73419294995</v>
      </c>
      <c r="D122" s="8">
        <f>Données!N116</f>
        <v>2707366.5</v>
      </c>
      <c r="E122" s="221">
        <f>Données!O116+Données!P116+Données!R116</f>
        <v>4271756.75</v>
      </c>
      <c r="F122" s="440">
        <f t="shared" si="5"/>
        <v>2948088.3250000002</v>
      </c>
      <c r="G122" s="440">
        <f>Ecrêtage!M116</f>
        <v>0</v>
      </c>
      <c r="H122" s="441">
        <f t="shared" si="6"/>
        <v>6911825.8237965936</v>
      </c>
      <c r="I122" s="294">
        <f t="shared" si="7"/>
        <v>9859914.1487965938</v>
      </c>
    </row>
    <row r="123" spans="1:9" s="35" customFormat="1" x14ac:dyDescent="0.25">
      <c r="A123" s="38">
        <f>Données!A117</f>
        <v>5592</v>
      </c>
      <c r="B123" s="473" t="str">
        <f>Données!B117</f>
        <v>Romanel-sur-Lausanne</v>
      </c>
      <c r="C123" s="31">
        <f>VPI!R117</f>
        <v>113604.64354609928</v>
      </c>
      <c r="D123" s="8">
        <f>Données!N117</f>
        <v>267061.65000000002</v>
      </c>
      <c r="E123" s="221">
        <f>Données!O117+Données!P117+Données!R117</f>
        <v>1407768.5</v>
      </c>
      <c r="F123" s="440">
        <f t="shared" si="5"/>
        <v>784002.745</v>
      </c>
      <c r="G123" s="440">
        <f>Ecrêtage!M117</f>
        <v>0</v>
      </c>
      <c r="H123" s="441">
        <f t="shared" si="6"/>
        <v>1324346.8817858316</v>
      </c>
      <c r="I123" s="294">
        <f t="shared" si="7"/>
        <v>2108349.6267858315</v>
      </c>
    </row>
    <row r="124" spans="1:9" s="35" customFormat="1" x14ac:dyDescent="0.25">
      <c r="A124" s="38">
        <f>Données!A118</f>
        <v>5601</v>
      </c>
      <c r="B124" s="473" t="str">
        <f>Données!B118</f>
        <v>Chexbres</v>
      </c>
      <c r="C124" s="31">
        <f>VPI!R118</f>
        <v>106015.29511111112</v>
      </c>
      <c r="D124" s="8">
        <f>Données!N118</f>
        <v>66937.55</v>
      </c>
      <c r="E124" s="221">
        <f>Données!O118+Données!P118+Données!R118</f>
        <v>879301.3</v>
      </c>
      <c r="F124" s="440">
        <f t="shared" si="5"/>
        <v>459731.91500000004</v>
      </c>
      <c r="G124" s="440">
        <f>Ecrêtage!M118</f>
        <v>0</v>
      </c>
      <c r="H124" s="441">
        <f t="shared" si="6"/>
        <v>1235874.0023248419</v>
      </c>
      <c r="I124" s="294">
        <f t="shared" si="7"/>
        <v>1695605.917324842</v>
      </c>
    </row>
    <row r="125" spans="1:9" s="35" customFormat="1" x14ac:dyDescent="0.25">
      <c r="A125" s="38">
        <f>Données!A119</f>
        <v>5604</v>
      </c>
      <c r="B125" s="473" t="str">
        <f>Données!B119</f>
        <v>Forel (Lavaux)</v>
      </c>
      <c r="C125" s="31">
        <f>VPI!R119</f>
        <v>70961.315942029003</v>
      </c>
      <c r="D125" s="8">
        <f>Données!N119</f>
        <v>123228.75</v>
      </c>
      <c r="E125" s="221">
        <f>Données!O119+Données!P119+Données!R119</f>
        <v>382898.5</v>
      </c>
      <c r="F125" s="440">
        <f t="shared" si="5"/>
        <v>228417.875</v>
      </c>
      <c r="G125" s="440">
        <f>Ecrêtage!M119</f>
        <v>0</v>
      </c>
      <c r="H125" s="441">
        <f t="shared" si="6"/>
        <v>827232.00884927332</v>
      </c>
      <c r="I125" s="294">
        <f t="shared" si="7"/>
        <v>1055649.8838492734</v>
      </c>
    </row>
    <row r="126" spans="1:9" s="35" customFormat="1" x14ac:dyDescent="0.25">
      <c r="A126" s="38">
        <f>Données!A120</f>
        <v>5606</v>
      </c>
      <c r="B126" s="473" t="str">
        <f>Données!B120</f>
        <v>Lutry</v>
      </c>
      <c r="C126" s="31">
        <f>VPI!R120</f>
        <v>1212171.2253174603</v>
      </c>
      <c r="D126" s="8">
        <f>Données!N120</f>
        <v>156322.04999999999</v>
      </c>
      <c r="E126" s="221">
        <f>Données!O120+Données!P120+Données!R120</f>
        <v>6355844.6500000004</v>
      </c>
      <c r="F126" s="440">
        <f t="shared" si="5"/>
        <v>3224818.9400000004</v>
      </c>
      <c r="G126" s="440">
        <f>Ecrêtage!M120</f>
        <v>13941532.897798009</v>
      </c>
      <c r="H126" s="441">
        <f t="shared" si="6"/>
        <v>14130894.057937564</v>
      </c>
      <c r="I126" s="294">
        <f t="shared" si="7"/>
        <v>31297245.895735573</v>
      </c>
    </row>
    <row r="127" spans="1:9" s="35" customFormat="1" x14ac:dyDescent="0.25">
      <c r="A127" s="38">
        <f>Données!A121</f>
        <v>5607</v>
      </c>
      <c r="B127" s="473" t="str">
        <f>Données!B121</f>
        <v>Puidoux</v>
      </c>
      <c r="C127" s="31">
        <f>VPI!R121</f>
        <v>117496.04099650904</v>
      </c>
      <c r="D127" s="8">
        <f>Données!N121</f>
        <v>235821.95</v>
      </c>
      <c r="E127" s="221">
        <f>Données!O121+Données!P121+Données!R121</f>
        <v>1212441.5999999999</v>
      </c>
      <c r="F127" s="440">
        <f t="shared" si="5"/>
        <v>676967.38499999989</v>
      </c>
      <c r="G127" s="440">
        <f>Ecrêtage!M121</f>
        <v>0</v>
      </c>
      <c r="H127" s="441">
        <f t="shared" si="6"/>
        <v>1369710.8732422923</v>
      </c>
      <c r="I127" s="294">
        <f t="shared" si="7"/>
        <v>2046678.2582422923</v>
      </c>
    </row>
    <row r="128" spans="1:9" s="35" customFormat="1" x14ac:dyDescent="0.25">
      <c r="A128" s="38">
        <f>Données!A122</f>
        <v>5609</v>
      </c>
      <c r="B128" s="473" t="str">
        <f>Données!B122</f>
        <v>Rivaz</v>
      </c>
      <c r="C128" s="31">
        <f>VPI!R122</f>
        <v>14930.201612903227</v>
      </c>
      <c r="D128" s="8">
        <f>Données!N122</f>
        <v>0</v>
      </c>
      <c r="E128" s="221">
        <f>Données!O122+Données!P122+Données!R122</f>
        <v>141174.34999999998</v>
      </c>
      <c r="F128" s="440">
        <f t="shared" si="5"/>
        <v>70587.174999999988</v>
      </c>
      <c r="G128" s="440">
        <f>Ecrêtage!M122</f>
        <v>0</v>
      </c>
      <c r="H128" s="441">
        <f t="shared" si="6"/>
        <v>174048.9238228951</v>
      </c>
      <c r="I128" s="294">
        <f t="shared" si="7"/>
        <v>244636.09882289509</v>
      </c>
    </row>
    <row r="129" spans="1:9" s="35" customFormat="1" x14ac:dyDescent="0.25">
      <c r="A129" s="38">
        <f>Données!A123</f>
        <v>5610</v>
      </c>
      <c r="B129" s="473" t="str">
        <f>Données!B123</f>
        <v>St-Saphorin (Lavaux)</v>
      </c>
      <c r="C129" s="31">
        <f>VPI!R123</f>
        <v>21326.679629629627</v>
      </c>
      <c r="D129" s="8">
        <f>Données!N123</f>
        <v>0</v>
      </c>
      <c r="E129" s="221">
        <f>Données!O123+Données!P123+Données!R123</f>
        <v>75011.350000000006</v>
      </c>
      <c r="F129" s="440">
        <f t="shared" si="5"/>
        <v>37505.675000000003</v>
      </c>
      <c r="G129" s="440">
        <f>Ecrêtage!M123</f>
        <v>26516.636053043308</v>
      </c>
      <c r="H129" s="441">
        <f t="shared" si="6"/>
        <v>248615.90851156009</v>
      </c>
      <c r="I129" s="294">
        <f t="shared" si="7"/>
        <v>312638.21956460341</v>
      </c>
    </row>
    <row r="130" spans="1:9" s="35" customFormat="1" x14ac:dyDescent="0.25">
      <c r="A130" s="38">
        <f>Données!A124</f>
        <v>5611</v>
      </c>
      <c r="B130" s="473" t="str">
        <f>Données!B124</f>
        <v>Savigny</v>
      </c>
      <c r="C130" s="31">
        <f>VPI!R124</f>
        <v>139629.67036231884</v>
      </c>
      <c r="D130" s="8">
        <f>Données!N124</f>
        <v>144819.9</v>
      </c>
      <c r="E130" s="221">
        <f>Données!O124+Données!P124+Données!R124</f>
        <v>825711.60000000009</v>
      </c>
      <c r="F130" s="440">
        <f t="shared" si="5"/>
        <v>456301.77</v>
      </c>
      <c r="G130" s="440">
        <f>Ecrêtage!M124</f>
        <v>0</v>
      </c>
      <c r="H130" s="441">
        <f t="shared" si="6"/>
        <v>1627733.8036282219</v>
      </c>
      <c r="I130" s="294">
        <f t="shared" si="7"/>
        <v>2084035.5736282219</v>
      </c>
    </row>
    <row r="131" spans="1:9" s="35" customFormat="1" x14ac:dyDescent="0.25">
      <c r="A131" s="38">
        <f>Données!A125</f>
        <v>5613</v>
      </c>
      <c r="B131" s="473" t="str">
        <f>Données!B125</f>
        <v>Bourg-en-Lavaux</v>
      </c>
      <c r="C131" s="31">
        <f>VPI!R125</f>
        <v>367206.35685333336</v>
      </c>
      <c r="D131" s="8">
        <f>Données!N125</f>
        <v>47430.1</v>
      </c>
      <c r="E131" s="221">
        <f>Données!O125+Données!P125+Données!R125</f>
        <v>3453656.05</v>
      </c>
      <c r="F131" s="440">
        <f t="shared" si="5"/>
        <v>1741057.0549999999</v>
      </c>
      <c r="G131" s="440">
        <f>Ecrêtage!M125</f>
        <v>1660940.3965803755</v>
      </c>
      <c r="H131" s="441">
        <f t="shared" si="6"/>
        <v>4280710.5281159543</v>
      </c>
      <c r="I131" s="294">
        <f t="shared" si="7"/>
        <v>7682707.9796963297</v>
      </c>
    </row>
    <row r="132" spans="1:9" s="35" customFormat="1" x14ac:dyDescent="0.25">
      <c r="A132" s="38">
        <f>Données!A126</f>
        <v>5621</v>
      </c>
      <c r="B132" s="473" t="str">
        <f>Données!B126</f>
        <v>Aclens</v>
      </c>
      <c r="C132" s="31">
        <f>VPI!R126</f>
        <v>39203.094076246336</v>
      </c>
      <c r="D132" s="8">
        <f>Données!N126</f>
        <v>263613.5</v>
      </c>
      <c r="E132" s="221">
        <f>Données!O126+Données!P126+Données!R126</f>
        <v>183816.05</v>
      </c>
      <c r="F132" s="440">
        <f t="shared" si="5"/>
        <v>170992.07500000001</v>
      </c>
      <c r="G132" s="440">
        <f>Ecrêtage!M126</f>
        <v>193532.96867440801</v>
      </c>
      <c r="H132" s="441">
        <f t="shared" si="6"/>
        <v>457010.32788475411</v>
      </c>
      <c r="I132" s="294">
        <f t="shared" si="7"/>
        <v>821535.37155916216</v>
      </c>
    </row>
    <row r="133" spans="1:9" s="35" customFormat="1" x14ac:dyDescent="0.25">
      <c r="A133" s="38">
        <f>Données!A127</f>
        <v>5622</v>
      </c>
      <c r="B133" s="473" t="str">
        <f>Données!B127</f>
        <v>Bremblens</v>
      </c>
      <c r="C133" s="31">
        <f>VPI!R127</f>
        <v>30852.761617647058</v>
      </c>
      <c r="D133" s="8">
        <f>Données!N127</f>
        <v>29179.1</v>
      </c>
      <c r="E133" s="221">
        <f>Données!O127+Données!P127+Données!R127</f>
        <v>298422.30000000005</v>
      </c>
      <c r="F133" s="440">
        <f t="shared" si="5"/>
        <v>157964.88000000003</v>
      </c>
      <c r="G133" s="440">
        <f>Ecrêtage!M127</f>
        <v>21439.325592498051</v>
      </c>
      <c r="H133" s="441">
        <f t="shared" si="6"/>
        <v>359666.27214698418</v>
      </c>
      <c r="I133" s="294">
        <f t="shared" si="7"/>
        <v>539070.4777394823</v>
      </c>
    </row>
    <row r="134" spans="1:9" s="35" customFormat="1" x14ac:dyDescent="0.25">
      <c r="A134" s="38">
        <f>Données!A128</f>
        <v>5623</v>
      </c>
      <c r="B134" s="473" t="str">
        <f>Données!B128</f>
        <v>Buchillon</v>
      </c>
      <c r="C134" s="31">
        <f>VPI!R128</f>
        <v>88403.083461538452</v>
      </c>
      <c r="D134" s="8">
        <f>Données!N128</f>
        <v>3341.85</v>
      </c>
      <c r="E134" s="221">
        <f>Données!O128+Données!P128+Données!R128</f>
        <v>179221.7</v>
      </c>
      <c r="F134" s="440">
        <f t="shared" si="5"/>
        <v>90613.404999999999</v>
      </c>
      <c r="G134" s="440">
        <f>Ecrêtage!M128</f>
        <v>1167036.8524793242</v>
      </c>
      <c r="H134" s="441">
        <f t="shared" si="6"/>
        <v>1030559.5288015937</v>
      </c>
      <c r="I134" s="294">
        <f t="shared" si="7"/>
        <v>2288209.7862809179</v>
      </c>
    </row>
    <row r="135" spans="1:9" s="35" customFormat="1" x14ac:dyDescent="0.25">
      <c r="A135" s="38">
        <f>Données!A129</f>
        <v>5624</v>
      </c>
      <c r="B135" s="473" t="str">
        <f>Données!B129</f>
        <v>Bussigny</v>
      </c>
      <c r="C135" s="31">
        <f>VPI!R129</f>
        <v>522420.75055999996</v>
      </c>
      <c r="D135" s="8">
        <f>Données!N129</f>
        <v>1175452</v>
      </c>
      <c r="E135" s="221">
        <f>Données!O129+Données!P129+Données!R129</f>
        <v>2365453.9</v>
      </c>
      <c r="F135" s="440">
        <f t="shared" si="5"/>
        <v>1535362.5499999998</v>
      </c>
      <c r="G135" s="440">
        <f>Ecrêtage!M129</f>
        <v>233907.31858276812</v>
      </c>
      <c r="H135" s="441">
        <f t="shared" si="6"/>
        <v>6090123.3469704036</v>
      </c>
      <c r="I135" s="294">
        <f t="shared" si="7"/>
        <v>7859393.2155531719</v>
      </c>
    </row>
    <row r="136" spans="1:9" s="35" customFormat="1" x14ac:dyDescent="0.25">
      <c r="A136" s="38">
        <f>Données!A130</f>
        <v>5627</v>
      </c>
      <c r="B136" s="473" t="str">
        <f>Données!B130</f>
        <v>Chavannes-près-Renens</v>
      </c>
      <c r="C136" s="31">
        <f>VPI!R130</f>
        <v>188690.75535483871</v>
      </c>
      <c r="D136" s="8">
        <f>Données!N130</f>
        <v>448239.95</v>
      </c>
      <c r="E136" s="221">
        <f>Données!O130+Données!P130+Données!R130</f>
        <v>1715907.75</v>
      </c>
      <c r="F136" s="440">
        <f t="shared" si="5"/>
        <v>992425.86</v>
      </c>
      <c r="G136" s="440">
        <f>Ecrêtage!M130</f>
        <v>0</v>
      </c>
      <c r="H136" s="441">
        <f t="shared" si="6"/>
        <v>2199663.7256697253</v>
      </c>
      <c r="I136" s="294">
        <f t="shared" si="7"/>
        <v>3192089.5856697252</v>
      </c>
    </row>
    <row r="137" spans="1:9" s="35" customFormat="1" x14ac:dyDescent="0.25">
      <c r="A137" s="38">
        <f>Données!A131</f>
        <v>5628</v>
      </c>
      <c r="B137" s="473" t="str">
        <f>Données!B131</f>
        <v>Chigny</v>
      </c>
      <c r="C137" s="31">
        <f>VPI!R131</f>
        <v>27627.379193548386</v>
      </c>
      <c r="D137" s="8">
        <f>Données!N131</f>
        <v>811.3</v>
      </c>
      <c r="E137" s="221">
        <f>Données!O131+Données!P131+Données!R131</f>
        <v>197242.8</v>
      </c>
      <c r="F137" s="440">
        <f t="shared" si="5"/>
        <v>98864.79</v>
      </c>
      <c r="G137" s="440">
        <f>Ecrêtage!M131</f>
        <v>110933.74222936938</v>
      </c>
      <c r="H137" s="441">
        <f t="shared" si="6"/>
        <v>322066.35525460314</v>
      </c>
      <c r="I137" s="294">
        <f t="shared" si="7"/>
        <v>531864.88748397247</v>
      </c>
    </row>
    <row r="138" spans="1:9" s="35" customFormat="1" x14ac:dyDescent="0.25">
      <c r="A138" s="38">
        <f>Données!A132</f>
        <v>5629</v>
      </c>
      <c r="B138" s="473" t="str">
        <f>Données!B132</f>
        <v>Clarmont</v>
      </c>
      <c r="C138" s="31">
        <f>VPI!R132</f>
        <v>9964.7430555555547</v>
      </c>
      <c r="D138" s="8">
        <f>Données!N132</f>
        <v>1329.8</v>
      </c>
      <c r="E138" s="221">
        <f>Données!O132+Données!P132+Données!R132</f>
        <v>31333.599999999999</v>
      </c>
      <c r="F138" s="440">
        <f t="shared" si="5"/>
        <v>16065.74</v>
      </c>
      <c r="G138" s="440">
        <f>Ecrêtage!M132</f>
        <v>0</v>
      </c>
      <c r="H138" s="441">
        <f t="shared" si="6"/>
        <v>116164.05792485886</v>
      </c>
      <c r="I138" s="294">
        <f t="shared" si="7"/>
        <v>132229.79792485887</v>
      </c>
    </row>
    <row r="139" spans="1:9" s="35" customFormat="1" x14ac:dyDescent="0.25">
      <c r="A139" s="38">
        <f>Données!A133</f>
        <v>5631</v>
      </c>
      <c r="B139" s="473" t="str">
        <f>Données!B133</f>
        <v>Denens</v>
      </c>
      <c r="C139" s="31">
        <f>VPI!R133</f>
        <v>41694.310588235297</v>
      </c>
      <c r="D139" s="8">
        <f>Données!N133</f>
        <v>1062.3</v>
      </c>
      <c r="E139" s="221">
        <f>Données!O133+Données!P133+Données!R133</f>
        <v>278743.65000000002</v>
      </c>
      <c r="F139" s="440">
        <f t="shared" si="5"/>
        <v>139690.51500000001</v>
      </c>
      <c r="G139" s="440">
        <f>Ecrêtage!M133</f>
        <v>96436.422963274468</v>
      </c>
      <c r="H139" s="441">
        <f t="shared" si="6"/>
        <v>486051.70081214834</v>
      </c>
      <c r="I139" s="294">
        <f t="shared" si="7"/>
        <v>722178.6387754227</v>
      </c>
    </row>
    <row r="140" spans="1:9" s="35" customFormat="1" x14ac:dyDescent="0.25">
      <c r="A140" s="38">
        <f>Données!A134</f>
        <v>5632</v>
      </c>
      <c r="B140" s="473" t="str">
        <f>Données!B134</f>
        <v>Denges</v>
      </c>
      <c r="C140" s="31">
        <f>VPI!R134</f>
        <v>81642.531612903229</v>
      </c>
      <c r="D140" s="8">
        <f>Données!N134</f>
        <v>124686.15</v>
      </c>
      <c r="E140" s="221">
        <f>Données!O134+Données!P134+Données!R134</f>
        <v>604003.39999999991</v>
      </c>
      <c r="F140" s="440">
        <f t="shared" si="5"/>
        <v>339407.54499999993</v>
      </c>
      <c r="G140" s="440">
        <f>Ecrêtage!M134</f>
        <v>0</v>
      </c>
      <c r="H140" s="441">
        <f t="shared" si="6"/>
        <v>951748.351015024</v>
      </c>
      <c r="I140" s="294">
        <f t="shared" si="7"/>
        <v>1291155.8960150238</v>
      </c>
    </row>
    <row r="141" spans="1:9" s="35" customFormat="1" x14ac:dyDescent="0.25">
      <c r="A141" s="38">
        <f>Données!A135</f>
        <v>5633</v>
      </c>
      <c r="B141" s="473" t="str">
        <f>Données!B135</f>
        <v>Echandens</v>
      </c>
      <c r="C141" s="31">
        <f>VPI!R135</f>
        <v>149835.3479338843</v>
      </c>
      <c r="D141" s="8">
        <f>Données!N135</f>
        <v>142644.15</v>
      </c>
      <c r="E141" s="221">
        <f>Données!O135+Données!P135+Données!R135</f>
        <v>1025344.8</v>
      </c>
      <c r="F141" s="440">
        <f t="shared" ref="F141:F204" si="8">D141*$D$11+E141*$E$11</f>
        <v>555465.64500000002</v>
      </c>
      <c r="G141" s="440">
        <f>Ecrêtage!M135</f>
        <v>117447.11596147406</v>
      </c>
      <c r="H141" s="441">
        <f t="shared" ref="H141:H204" si="9">$H$11*C141</f>
        <v>1746706.5572633299</v>
      </c>
      <c r="I141" s="294">
        <f t="shared" ref="I141:I204" si="10">F141+H141+G141</f>
        <v>2419619.318224804</v>
      </c>
    </row>
    <row r="142" spans="1:9" s="35" customFormat="1" x14ac:dyDescent="0.25">
      <c r="A142" s="38">
        <f>Données!A136</f>
        <v>5634</v>
      </c>
      <c r="B142" s="473" t="str">
        <f>Données!B136</f>
        <v>Echichens</v>
      </c>
      <c r="C142" s="31">
        <f>VPI!R136</f>
        <v>183137.63424242428</v>
      </c>
      <c r="D142" s="8">
        <f>Données!N136</f>
        <v>61138.1</v>
      </c>
      <c r="E142" s="221">
        <f>Données!O136+Données!P136+Données!R136</f>
        <v>1804824.2</v>
      </c>
      <c r="F142" s="440">
        <f t="shared" si="8"/>
        <v>920753.53</v>
      </c>
      <c r="G142" s="440">
        <f>Ecrêtage!M136</f>
        <v>362973.80449921486</v>
      </c>
      <c r="H142" s="441">
        <f t="shared" si="9"/>
        <v>2134928.179658168</v>
      </c>
      <c r="I142" s="294">
        <f t="shared" si="10"/>
        <v>3418655.5141573832</v>
      </c>
    </row>
    <row r="143" spans="1:9" s="35" customFormat="1" x14ac:dyDescent="0.25">
      <c r="A143" s="38">
        <f>Données!A137</f>
        <v>5635</v>
      </c>
      <c r="B143" s="473" t="str">
        <f>Données!B137</f>
        <v>Ecublens</v>
      </c>
      <c r="C143" s="31">
        <f>VPI!R137</f>
        <v>516165.47293333331</v>
      </c>
      <c r="D143" s="8">
        <f>Données!N137</f>
        <v>1479159.55</v>
      </c>
      <c r="E143" s="221">
        <f>Données!O137+Données!P137+Données!R137</f>
        <v>3687250.95</v>
      </c>
      <c r="F143" s="440">
        <f t="shared" si="8"/>
        <v>2287373.34</v>
      </c>
      <c r="G143" s="440">
        <f>Ecrêtage!M137</f>
        <v>0</v>
      </c>
      <c r="H143" s="441">
        <f t="shared" si="9"/>
        <v>6017202.4067606041</v>
      </c>
      <c r="I143" s="294">
        <f t="shared" si="10"/>
        <v>8304575.746760604</v>
      </c>
    </row>
    <row r="144" spans="1:9" s="35" customFormat="1" x14ac:dyDescent="0.25">
      <c r="A144" s="38">
        <f>Données!A138</f>
        <v>5636</v>
      </c>
      <c r="B144" s="473" t="str">
        <f>Données!B138</f>
        <v>Etoy</v>
      </c>
      <c r="C144" s="31">
        <f>VPI!R138</f>
        <v>189458.35050000003</v>
      </c>
      <c r="D144" s="8">
        <f>Données!N138</f>
        <v>642974.15</v>
      </c>
      <c r="E144" s="221">
        <f>Données!O138+Données!P138+Données!R138</f>
        <v>1463388.75</v>
      </c>
      <c r="F144" s="440">
        <f t="shared" si="8"/>
        <v>924586.62</v>
      </c>
      <c r="G144" s="440">
        <f>Ecrêtage!M138</f>
        <v>676033.97831069585</v>
      </c>
      <c r="H144" s="441">
        <f t="shared" si="9"/>
        <v>2208611.9711396024</v>
      </c>
      <c r="I144" s="294">
        <f t="shared" si="10"/>
        <v>3809232.5694502983</v>
      </c>
    </row>
    <row r="145" spans="1:9" s="35" customFormat="1" x14ac:dyDescent="0.25">
      <c r="A145" s="38">
        <f>Données!A139</f>
        <v>5637</v>
      </c>
      <c r="B145" s="473" t="str">
        <f>Données!B139</f>
        <v>Lavigny</v>
      </c>
      <c r="C145" s="31">
        <f>VPI!R139</f>
        <v>36293.809863013703</v>
      </c>
      <c r="D145" s="8">
        <f>Données!N139</f>
        <v>298364.55</v>
      </c>
      <c r="E145" s="221">
        <f>Données!O139+Données!P139+Données!R139</f>
        <v>206884.7</v>
      </c>
      <c r="F145" s="440">
        <f t="shared" si="8"/>
        <v>192951.715</v>
      </c>
      <c r="G145" s="440">
        <f>Ecrêtage!M139</f>
        <v>0</v>
      </c>
      <c r="H145" s="441">
        <f t="shared" si="9"/>
        <v>423095.32797139295</v>
      </c>
      <c r="I145" s="294">
        <f t="shared" si="10"/>
        <v>616047.04297139298</v>
      </c>
    </row>
    <row r="146" spans="1:9" s="35" customFormat="1" x14ac:dyDescent="0.25">
      <c r="A146" s="38">
        <f>Données!A140</f>
        <v>5638</v>
      </c>
      <c r="B146" s="473" t="str">
        <f>Données!B140</f>
        <v>Lonay</v>
      </c>
      <c r="C146" s="31">
        <f>VPI!R140</f>
        <v>153893.84090909091</v>
      </c>
      <c r="D146" s="8">
        <f>Données!N140</f>
        <v>285838.84999999998</v>
      </c>
      <c r="E146" s="221">
        <f>Données!O140+Données!P140+Données!R140</f>
        <v>6123343.7000000002</v>
      </c>
      <c r="F146" s="440">
        <f t="shared" si="8"/>
        <v>3147423.5049999999</v>
      </c>
      <c r="G146" s="440">
        <f>Ecrêtage!M140</f>
        <v>266580.06011507299</v>
      </c>
      <c r="H146" s="441">
        <f t="shared" si="9"/>
        <v>1794018.4659027292</v>
      </c>
      <c r="I146" s="294">
        <f t="shared" si="10"/>
        <v>5208022.0310178017</v>
      </c>
    </row>
    <row r="147" spans="1:9" s="35" customFormat="1" x14ac:dyDescent="0.25">
      <c r="A147" s="38">
        <f>Données!A141</f>
        <v>5639</v>
      </c>
      <c r="B147" s="473" t="str">
        <f>Données!B141</f>
        <v>Lully</v>
      </c>
      <c r="C147" s="31">
        <f>VPI!R141</f>
        <v>52242.173114754092</v>
      </c>
      <c r="D147" s="8">
        <f>Données!N141</f>
        <v>18593.8</v>
      </c>
      <c r="E147" s="221">
        <f>Données!O141+Données!P141+Données!R141</f>
        <v>222885.05</v>
      </c>
      <c r="F147" s="440">
        <f t="shared" si="8"/>
        <v>117020.66499999999</v>
      </c>
      <c r="G147" s="440">
        <f>Ecrêtage!M141</f>
        <v>175458.60688166969</v>
      </c>
      <c r="H147" s="441">
        <f t="shared" si="9"/>
        <v>609013.47781761328</v>
      </c>
      <c r="I147" s="294">
        <f t="shared" si="10"/>
        <v>901492.74969928304</v>
      </c>
    </row>
    <row r="148" spans="1:9" s="35" customFormat="1" x14ac:dyDescent="0.25">
      <c r="A148" s="38">
        <f>Données!A142</f>
        <v>5640</v>
      </c>
      <c r="B148" s="473" t="str">
        <f>Données!B142</f>
        <v>Lussy-sur-Morges</v>
      </c>
      <c r="C148" s="31">
        <f>VPI!R142</f>
        <v>57771.49271317829</v>
      </c>
      <c r="D148" s="8">
        <f>Données!N142</f>
        <v>16539.650000000001</v>
      </c>
      <c r="E148" s="221">
        <f>Données!O142+Données!P142+Données!R142</f>
        <v>4284479.7</v>
      </c>
      <c r="F148" s="440">
        <f t="shared" si="8"/>
        <v>2147201.7450000001</v>
      </c>
      <c r="G148" s="440">
        <f>Ecrêtage!M142</f>
        <v>417848.95891439432</v>
      </c>
      <c r="H148" s="441">
        <f t="shared" si="9"/>
        <v>673471.5575227699</v>
      </c>
      <c r="I148" s="294">
        <f t="shared" si="10"/>
        <v>3238522.2614371646</v>
      </c>
    </row>
    <row r="149" spans="1:9" s="35" customFormat="1" x14ac:dyDescent="0.25">
      <c r="A149" s="38">
        <f>Données!A143</f>
        <v>5642</v>
      </c>
      <c r="B149" s="473" t="str">
        <f>Données!B143</f>
        <v>Morges</v>
      </c>
      <c r="C149" s="31">
        <f>VPI!R143</f>
        <v>980547.23447761196</v>
      </c>
      <c r="D149" s="8">
        <f>Données!N143</f>
        <v>1601890.1</v>
      </c>
      <c r="E149" s="221">
        <f>Données!O143+Données!P143+Données!R143</f>
        <v>6117946.7999999998</v>
      </c>
      <c r="F149" s="440">
        <f t="shared" si="8"/>
        <v>3539540.4299999997</v>
      </c>
      <c r="G149" s="440">
        <f>Ecrêtage!M143</f>
        <v>1753453.8627018135</v>
      </c>
      <c r="H149" s="441">
        <f t="shared" si="9"/>
        <v>11430735.856296204</v>
      </c>
      <c r="I149" s="294">
        <f t="shared" si="10"/>
        <v>16723730.148998016</v>
      </c>
    </row>
    <row r="150" spans="1:9" s="35" customFormat="1" x14ac:dyDescent="0.25">
      <c r="A150" s="38">
        <f>Données!A144</f>
        <v>5643</v>
      </c>
      <c r="B150" s="473" t="str">
        <f>Données!B144</f>
        <v>Préverenges</v>
      </c>
      <c r="C150" s="31">
        <f>VPI!R144</f>
        <v>252724.38943999997</v>
      </c>
      <c r="D150" s="8">
        <f>Données!N144</f>
        <v>183126.6</v>
      </c>
      <c r="E150" s="221">
        <f>Données!O144+Données!P144+Données!R144</f>
        <v>1123119.3500000001</v>
      </c>
      <c r="F150" s="440">
        <f t="shared" si="8"/>
        <v>616497.65500000003</v>
      </c>
      <c r="G150" s="440">
        <f>Ecrêtage!M144</f>
        <v>3002.3373667855308</v>
      </c>
      <c r="H150" s="441">
        <f t="shared" si="9"/>
        <v>2946136.2375586117</v>
      </c>
      <c r="I150" s="294">
        <f t="shared" si="10"/>
        <v>3565636.2299253973</v>
      </c>
    </row>
    <row r="151" spans="1:9" s="35" customFormat="1" x14ac:dyDescent="0.25">
      <c r="A151" s="38">
        <f>Données!A145</f>
        <v>5645</v>
      </c>
      <c r="B151" s="473" t="str">
        <f>Données!B145</f>
        <v>Romanel-sur-Morges</v>
      </c>
      <c r="C151" s="31">
        <f>VPI!R145</f>
        <v>23768.997321428575</v>
      </c>
      <c r="D151" s="8">
        <f>Données!N145</f>
        <v>105835.3</v>
      </c>
      <c r="E151" s="221">
        <f>Données!O145+Données!P145+Données!R145</f>
        <v>59353</v>
      </c>
      <c r="F151" s="440">
        <f t="shared" si="8"/>
        <v>61427.09</v>
      </c>
      <c r="G151" s="440">
        <f>Ecrêtage!M145</f>
        <v>17577.146100808102</v>
      </c>
      <c r="H151" s="441">
        <f t="shared" si="9"/>
        <v>277087.24311991874</v>
      </c>
      <c r="I151" s="294">
        <f t="shared" si="10"/>
        <v>356091.47922072682</v>
      </c>
    </row>
    <row r="152" spans="1:9" s="35" customFormat="1" x14ac:dyDescent="0.25">
      <c r="A152" s="38">
        <f>Données!A146</f>
        <v>5646</v>
      </c>
      <c r="B152" s="473" t="str">
        <f>Données!B146</f>
        <v>Saint-Prex</v>
      </c>
      <c r="C152" s="31">
        <f>VPI!R146</f>
        <v>515578.26330508466</v>
      </c>
      <c r="D152" s="8">
        <f>Données!N146</f>
        <v>672225.75</v>
      </c>
      <c r="E152" s="221">
        <f>Données!O146+Données!P146+Données!R146</f>
        <v>4417103.5999999996</v>
      </c>
      <c r="F152" s="440">
        <f t="shared" si="8"/>
        <v>2410219.5249999999</v>
      </c>
      <c r="G152" s="440">
        <f>Ecrêtage!M146</f>
        <v>4269749.2171234973</v>
      </c>
      <c r="H152" s="441">
        <f t="shared" si="9"/>
        <v>6010357.0066444539</v>
      </c>
      <c r="I152" s="294">
        <f t="shared" si="10"/>
        <v>12690325.748767952</v>
      </c>
    </row>
    <row r="153" spans="1:9" s="35" customFormat="1" x14ac:dyDescent="0.25">
      <c r="A153" s="38">
        <f>Données!A147</f>
        <v>5648</v>
      </c>
      <c r="B153" s="473" t="str">
        <f>Données!B147</f>
        <v>Saint-Sulpice</v>
      </c>
      <c r="C153" s="31">
        <f>VPI!R147</f>
        <v>417040.44568181824</v>
      </c>
      <c r="D153" s="8">
        <f>Données!N147</f>
        <v>77180.149999999994</v>
      </c>
      <c r="E153" s="221">
        <f>Données!O147+Données!P147+Données!R147</f>
        <v>1706986.4500000002</v>
      </c>
      <c r="F153" s="440">
        <f t="shared" si="8"/>
        <v>876647.27000000014</v>
      </c>
      <c r="G153" s="440">
        <f>Ecrêtage!M147</f>
        <v>2864936.845593587</v>
      </c>
      <c r="H153" s="441">
        <f t="shared" si="9"/>
        <v>4861651.7474760693</v>
      </c>
      <c r="I153" s="294">
        <f t="shared" si="10"/>
        <v>8603235.8630696572</v>
      </c>
    </row>
    <row r="154" spans="1:9" s="35" customFormat="1" x14ac:dyDescent="0.25">
      <c r="A154" s="38">
        <f>Données!A148</f>
        <v>5649</v>
      </c>
      <c r="B154" s="473" t="str">
        <f>Données!B148</f>
        <v>Tolochenaz</v>
      </c>
      <c r="C154" s="31">
        <f>VPI!R148</f>
        <v>173464.05234375002</v>
      </c>
      <c r="D154" s="8">
        <f>Données!N148</f>
        <v>438984.5</v>
      </c>
      <c r="E154" s="221">
        <f>Données!O148+Données!P148+Données!R148</f>
        <v>746140.10000000009</v>
      </c>
      <c r="F154" s="440">
        <f t="shared" si="8"/>
        <v>504765.4</v>
      </c>
      <c r="G154" s="440">
        <f>Ecrêtage!M148</f>
        <v>1685058.7205408341</v>
      </c>
      <c r="H154" s="441">
        <f t="shared" si="9"/>
        <v>2022158.3348409487</v>
      </c>
      <c r="I154" s="294">
        <f t="shared" si="10"/>
        <v>4211982.4553817827</v>
      </c>
    </row>
    <row r="155" spans="1:9" s="35" customFormat="1" x14ac:dyDescent="0.25">
      <c r="A155" s="38">
        <f>Données!A149</f>
        <v>5650</v>
      </c>
      <c r="B155" s="473" t="str">
        <f>Données!B149</f>
        <v>Vaux-sur-Morges</v>
      </c>
      <c r="C155" s="31">
        <f>VPI!R149</f>
        <v>90407.863928571445</v>
      </c>
      <c r="D155" s="8">
        <f>Données!N149</f>
        <v>0</v>
      </c>
      <c r="E155" s="221">
        <f>Données!O149+Données!P149+Données!R149</f>
        <v>32535.4</v>
      </c>
      <c r="F155" s="440">
        <f t="shared" si="8"/>
        <v>16267.7</v>
      </c>
      <c r="G155" s="440">
        <f>Ecrêtage!M149</f>
        <v>2550611.840350328</v>
      </c>
      <c r="H155" s="441">
        <f t="shared" si="9"/>
        <v>1053930.27032505</v>
      </c>
      <c r="I155" s="294">
        <f t="shared" si="10"/>
        <v>3620809.810675378</v>
      </c>
    </row>
    <row r="156" spans="1:9" s="35" customFormat="1" x14ac:dyDescent="0.25">
      <c r="A156" s="38">
        <f>Données!A150</f>
        <v>5651</v>
      </c>
      <c r="B156" s="473" t="str">
        <f>Données!B150</f>
        <v>Villars-Sainte-Croix</v>
      </c>
      <c r="C156" s="31">
        <f>VPI!R150</f>
        <v>56008.147272727285</v>
      </c>
      <c r="D156" s="8">
        <f>Données!N150</f>
        <v>218515.45</v>
      </c>
      <c r="E156" s="221">
        <f>Données!O150+Données!P150+Données!R150</f>
        <v>293319.40000000002</v>
      </c>
      <c r="F156" s="440">
        <f t="shared" si="8"/>
        <v>212214.33500000002</v>
      </c>
      <c r="G156" s="440">
        <f>Ecrêtage!M150</f>
        <v>104105.2713913255</v>
      </c>
      <c r="H156" s="441">
        <f t="shared" si="9"/>
        <v>652915.34641485929</v>
      </c>
      <c r="I156" s="294">
        <f t="shared" si="10"/>
        <v>969234.95280618488</v>
      </c>
    </row>
    <row r="157" spans="1:9" s="35" customFormat="1" x14ac:dyDescent="0.25">
      <c r="A157" s="38">
        <f>Données!A151</f>
        <v>5652</v>
      </c>
      <c r="B157" s="473" t="str">
        <f>Données!B151</f>
        <v>Villars-sous-Yens</v>
      </c>
      <c r="C157" s="31">
        <f>VPI!R151</f>
        <v>25957.212521929825</v>
      </c>
      <c r="D157" s="8">
        <f>Données!N151</f>
        <v>0</v>
      </c>
      <c r="E157" s="221">
        <f>Données!O151+Données!P151+Données!R151</f>
        <v>491322.45</v>
      </c>
      <c r="F157" s="440">
        <f t="shared" si="8"/>
        <v>245661.22500000001</v>
      </c>
      <c r="G157" s="440">
        <f>Ecrêtage!M151</f>
        <v>0</v>
      </c>
      <c r="H157" s="441">
        <f t="shared" si="9"/>
        <v>302596.37625921896</v>
      </c>
      <c r="I157" s="294">
        <f t="shared" si="10"/>
        <v>548257.60125921899</v>
      </c>
    </row>
    <row r="158" spans="1:9" s="35" customFormat="1" x14ac:dyDescent="0.25">
      <c r="A158" s="38">
        <f>Données!A152</f>
        <v>5653</v>
      </c>
      <c r="B158" s="473" t="str">
        <f>Données!B152</f>
        <v>Vufflens-le-Château</v>
      </c>
      <c r="C158" s="31">
        <f>VPI!R152</f>
        <v>71346.970598290602</v>
      </c>
      <c r="D158" s="8">
        <f>Données!N152</f>
        <v>4772.5</v>
      </c>
      <c r="E158" s="221">
        <f>Données!O152+Données!P152+Données!R152</f>
        <v>359982.3</v>
      </c>
      <c r="F158" s="440">
        <f t="shared" si="8"/>
        <v>181422.9</v>
      </c>
      <c r="G158" s="440">
        <f>Ecrêtage!M152</f>
        <v>491409.11365086533</v>
      </c>
      <c r="H158" s="441">
        <f t="shared" si="9"/>
        <v>831727.78054947662</v>
      </c>
      <c r="I158" s="294">
        <f t="shared" si="10"/>
        <v>1504559.7942003419</v>
      </c>
    </row>
    <row r="159" spans="1:9" s="35" customFormat="1" x14ac:dyDescent="0.25">
      <c r="A159" s="38">
        <f>Données!A153</f>
        <v>5654</v>
      </c>
      <c r="B159" s="473" t="str">
        <f>Données!B153</f>
        <v>Vullierens</v>
      </c>
      <c r="C159" s="31">
        <f>VPI!R153</f>
        <v>20741.31131578947</v>
      </c>
      <c r="D159" s="8">
        <f>Données!N153</f>
        <v>6384.2</v>
      </c>
      <c r="E159" s="221">
        <f>Données!O153+Données!P153+Données!R153</f>
        <v>79267.899999999994</v>
      </c>
      <c r="F159" s="440">
        <f t="shared" si="8"/>
        <v>41549.21</v>
      </c>
      <c r="G159" s="440">
        <f>Ecrêtage!M153</f>
        <v>0</v>
      </c>
      <c r="H159" s="441">
        <f t="shared" si="9"/>
        <v>241791.97353027682</v>
      </c>
      <c r="I159" s="294">
        <f t="shared" si="10"/>
        <v>283341.18353027682</v>
      </c>
    </row>
    <row r="160" spans="1:9" s="35" customFormat="1" x14ac:dyDescent="0.25">
      <c r="A160" s="38">
        <f>Données!A154</f>
        <v>5655</v>
      </c>
      <c r="B160" s="473" t="str">
        <f>Données!B154</f>
        <v>Yens</v>
      </c>
      <c r="C160" s="31">
        <f>VPI!R154</f>
        <v>81488.710349650341</v>
      </c>
      <c r="D160" s="8">
        <f>Données!N154</f>
        <v>90461.05</v>
      </c>
      <c r="E160" s="221">
        <f>Données!O154+Données!P154+Données!R154</f>
        <v>635844.9</v>
      </c>
      <c r="F160" s="440">
        <f t="shared" si="8"/>
        <v>345060.76500000001</v>
      </c>
      <c r="G160" s="440">
        <f>Ecrêtage!M154</f>
        <v>116579.9851833033</v>
      </c>
      <c r="H160" s="441">
        <f t="shared" si="9"/>
        <v>949955.17862362741</v>
      </c>
      <c r="I160" s="294">
        <f t="shared" si="10"/>
        <v>1411595.9288069308</v>
      </c>
    </row>
    <row r="161" spans="1:9" s="35" customFormat="1" x14ac:dyDescent="0.25">
      <c r="A161" s="38">
        <f>Données!A155</f>
        <v>5656</v>
      </c>
      <c r="B161" s="473" t="str">
        <f>Données!B155</f>
        <v>Hautemorges</v>
      </c>
      <c r="C161" s="31">
        <f>VPI!R155</f>
        <v>168934.99020689653</v>
      </c>
      <c r="D161" s="8">
        <f>Données!N155</f>
        <v>56090.15</v>
      </c>
      <c r="E161" s="221">
        <f>Données!O155+Données!P155+Données!R155</f>
        <v>1180812.2999999998</v>
      </c>
      <c r="F161" s="440">
        <f t="shared" si="8"/>
        <v>607233.19499999995</v>
      </c>
      <c r="G161" s="440">
        <f>Ecrêtage!M155</f>
        <v>0</v>
      </c>
      <c r="H161" s="441">
        <f t="shared" si="9"/>
        <v>1969360.7630944885</v>
      </c>
      <c r="I161" s="294">
        <f t="shared" si="10"/>
        <v>2576593.9580944884</v>
      </c>
    </row>
    <row r="162" spans="1:9" s="35" customFormat="1" x14ac:dyDescent="0.25">
      <c r="A162" s="38">
        <f>Données!A156</f>
        <v>5661</v>
      </c>
      <c r="B162" s="473" t="str">
        <f>Données!B156</f>
        <v>Boulens</v>
      </c>
      <c r="C162" s="31">
        <f>VPI!R156</f>
        <v>11008.776923076925</v>
      </c>
      <c r="D162" s="8">
        <f>Données!N156</f>
        <v>20927.2</v>
      </c>
      <c r="E162" s="221">
        <f>Données!O156+Données!P156+Données!R156</f>
        <v>14233.849999999999</v>
      </c>
      <c r="F162" s="440">
        <f t="shared" si="8"/>
        <v>13395.084999999999</v>
      </c>
      <c r="G162" s="440">
        <f>Ecrêtage!M156</f>
        <v>0</v>
      </c>
      <c r="H162" s="441">
        <f t="shared" si="9"/>
        <v>128334.88962479428</v>
      </c>
      <c r="I162" s="294">
        <f t="shared" si="10"/>
        <v>141729.97462479427</v>
      </c>
    </row>
    <row r="163" spans="1:9" s="35" customFormat="1" x14ac:dyDescent="0.25">
      <c r="A163" s="38">
        <f>Données!A157</f>
        <v>5663</v>
      </c>
      <c r="B163" s="473" t="str">
        <f>Données!B157</f>
        <v>Bussy-sur-Moudon</v>
      </c>
      <c r="C163" s="31">
        <f>VPI!R157</f>
        <v>6460.7661146496821</v>
      </c>
      <c r="D163" s="8">
        <f>Données!N157</f>
        <v>0</v>
      </c>
      <c r="E163" s="221">
        <f>Données!O157+Données!P157+Données!R157</f>
        <v>41282.75</v>
      </c>
      <c r="F163" s="440">
        <f t="shared" si="8"/>
        <v>20641.375</v>
      </c>
      <c r="G163" s="440">
        <f>Ecrêtage!M157</f>
        <v>0</v>
      </c>
      <c r="H163" s="441">
        <f t="shared" si="9"/>
        <v>75316.423614425905</v>
      </c>
      <c r="I163" s="294">
        <f t="shared" si="10"/>
        <v>95957.798614425905</v>
      </c>
    </row>
    <row r="164" spans="1:9" s="35" customFormat="1" x14ac:dyDescent="0.25">
      <c r="A164" s="38">
        <f>Données!A158</f>
        <v>5665</v>
      </c>
      <c r="B164" s="473" t="str">
        <f>Données!B158</f>
        <v>Chavannes-sur-Moudon</v>
      </c>
      <c r="C164" s="31">
        <f>VPI!R158</f>
        <v>5786.5608571428584</v>
      </c>
      <c r="D164" s="8">
        <f>Données!N158</f>
        <v>0</v>
      </c>
      <c r="E164" s="221">
        <f>Données!O158+Données!P158+Données!R158</f>
        <v>52499.8</v>
      </c>
      <c r="F164" s="440">
        <f t="shared" si="8"/>
        <v>26249.9</v>
      </c>
      <c r="G164" s="440">
        <f>Ecrêtage!M158</f>
        <v>0</v>
      </c>
      <c r="H164" s="441">
        <f t="shared" si="9"/>
        <v>67456.871376136842</v>
      </c>
      <c r="I164" s="294">
        <f t="shared" si="10"/>
        <v>93706.771376136836</v>
      </c>
    </row>
    <row r="165" spans="1:9" s="35" customFormat="1" x14ac:dyDescent="0.25">
      <c r="A165" s="38">
        <f>Données!A159</f>
        <v>5669</v>
      </c>
      <c r="B165" s="473" t="str">
        <f>Données!B159</f>
        <v>Curtilles</v>
      </c>
      <c r="C165" s="31">
        <f>VPI!R159</f>
        <v>8428.0279452054765</v>
      </c>
      <c r="D165" s="8">
        <f>Données!N159</f>
        <v>0</v>
      </c>
      <c r="E165" s="221">
        <f>Données!O159+Données!P159+Données!R159</f>
        <v>10350.050000000001</v>
      </c>
      <c r="F165" s="440">
        <f t="shared" si="8"/>
        <v>5175.0250000000005</v>
      </c>
      <c r="G165" s="440">
        <f>Ecrêtage!M159</f>
        <v>0</v>
      </c>
      <c r="H165" s="441">
        <f t="shared" si="9"/>
        <v>98249.791385573772</v>
      </c>
      <c r="I165" s="294">
        <f t="shared" si="10"/>
        <v>103424.81638557377</v>
      </c>
    </row>
    <row r="166" spans="1:9" s="35" customFormat="1" x14ac:dyDescent="0.25">
      <c r="A166" s="38">
        <f>Données!A160</f>
        <v>5671</v>
      </c>
      <c r="B166" s="473" t="str">
        <f>Données!B160</f>
        <v>Dompierre</v>
      </c>
      <c r="C166" s="31">
        <f>VPI!R160</f>
        <v>6751.3758974358971</v>
      </c>
      <c r="D166" s="8">
        <f>Données!N160</f>
        <v>3329.85</v>
      </c>
      <c r="E166" s="221">
        <f>Données!O160+Données!P160+Données!R160</f>
        <v>16510.7</v>
      </c>
      <c r="F166" s="440">
        <f t="shared" si="8"/>
        <v>9254.3050000000003</v>
      </c>
      <c r="G166" s="440">
        <f>Ecrêtage!M160</f>
        <v>0</v>
      </c>
      <c r="H166" s="441">
        <f t="shared" si="9"/>
        <v>78704.209074913771</v>
      </c>
      <c r="I166" s="294">
        <f t="shared" si="10"/>
        <v>87958.514074913779</v>
      </c>
    </row>
    <row r="167" spans="1:9" s="35" customFormat="1" x14ac:dyDescent="0.25">
      <c r="A167" s="38">
        <f>Données!A161</f>
        <v>5673</v>
      </c>
      <c r="B167" s="473" t="str">
        <f>Données!B161</f>
        <v>Hermenches</v>
      </c>
      <c r="C167" s="31">
        <f>VPI!R161</f>
        <v>9675.0074829931946</v>
      </c>
      <c r="D167" s="8">
        <f>Données!N161</f>
        <v>12176</v>
      </c>
      <c r="E167" s="221">
        <f>Données!O161+Données!P161+Données!R161</f>
        <v>58774.95</v>
      </c>
      <c r="F167" s="440">
        <f t="shared" si="8"/>
        <v>33040.275000000001</v>
      </c>
      <c r="G167" s="440">
        <f>Ecrêtage!M161</f>
        <v>0</v>
      </c>
      <c r="H167" s="441">
        <f t="shared" si="9"/>
        <v>112786.46357582427</v>
      </c>
      <c r="I167" s="294">
        <f t="shared" si="10"/>
        <v>145826.73857582427</v>
      </c>
    </row>
    <row r="168" spans="1:9" s="35" customFormat="1" x14ac:dyDescent="0.25">
      <c r="A168" s="38">
        <f>Données!A162</f>
        <v>5674</v>
      </c>
      <c r="B168" s="473" t="str">
        <f>Données!B162</f>
        <v>Lovatens</v>
      </c>
      <c r="C168" s="31">
        <f>VPI!R162</f>
        <v>3538.9463999999998</v>
      </c>
      <c r="D168" s="8">
        <f>Données!N162</f>
        <v>0</v>
      </c>
      <c r="E168" s="221">
        <f>Données!O162+Données!P162+Données!R162</f>
        <v>37950.15</v>
      </c>
      <c r="F168" s="440">
        <f t="shared" si="8"/>
        <v>18975.075000000001</v>
      </c>
      <c r="G168" s="440">
        <f>Ecrêtage!M162</f>
        <v>0</v>
      </c>
      <c r="H168" s="441">
        <f t="shared" si="9"/>
        <v>41255.291010577006</v>
      </c>
      <c r="I168" s="294">
        <f t="shared" si="10"/>
        <v>60230.36601057701</v>
      </c>
    </row>
    <row r="169" spans="1:9" s="35" customFormat="1" x14ac:dyDescent="0.25">
      <c r="A169" s="38">
        <f>Données!A163</f>
        <v>5675</v>
      </c>
      <c r="B169" s="473" t="str">
        <f>Données!B163</f>
        <v>Lucens</v>
      </c>
      <c r="C169" s="31">
        <f>VPI!R163</f>
        <v>92803.818404185746</v>
      </c>
      <c r="D169" s="8">
        <f>Données!N163</f>
        <v>34660.699999999997</v>
      </c>
      <c r="E169" s="221">
        <f>Données!O163+Données!P163+Données!R163</f>
        <v>762471.64999999991</v>
      </c>
      <c r="F169" s="440">
        <f t="shared" si="8"/>
        <v>391634.03499999997</v>
      </c>
      <c r="G169" s="440">
        <f>Ecrêtage!M163</f>
        <v>0</v>
      </c>
      <c r="H169" s="441">
        <f t="shared" si="9"/>
        <v>1081861.1254347975</v>
      </c>
      <c r="I169" s="294">
        <f t="shared" si="10"/>
        <v>1473495.1604347974</v>
      </c>
    </row>
    <row r="170" spans="1:9" s="35" customFormat="1" x14ac:dyDescent="0.25">
      <c r="A170" s="38">
        <f>Données!A164</f>
        <v>5678</v>
      </c>
      <c r="B170" s="473" t="str">
        <f>Données!B164</f>
        <v>Moudon</v>
      </c>
      <c r="C170" s="31">
        <f>VPI!R164</f>
        <v>130675.7416551724</v>
      </c>
      <c r="D170" s="8">
        <f>Données!N164</f>
        <v>241493.45</v>
      </c>
      <c r="E170" s="221">
        <f>Données!O164+Données!P164+Données!R164</f>
        <v>998833.15</v>
      </c>
      <c r="F170" s="440">
        <f t="shared" si="8"/>
        <v>571864.61</v>
      </c>
      <c r="G170" s="440">
        <f>Ecrêtage!M164</f>
        <v>0</v>
      </c>
      <c r="H170" s="441">
        <f t="shared" si="9"/>
        <v>1523353.3206400406</v>
      </c>
      <c r="I170" s="294">
        <f t="shared" si="10"/>
        <v>2095217.9306400404</v>
      </c>
    </row>
    <row r="171" spans="1:9" s="35" customFormat="1" x14ac:dyDescent="0.25">
      <c r="A171" s="38">
        <f>Données!A165</f>
        <v>5680</v>
      </c>
      <c r="B171" s="473" t="str">
        <f>Données!B165</f>
        <v>Ogens</v>
      </c>
      <c r="C171" s="31">
        <f>VPI!R165</f>
        <v>10096.830811965814</v>
      </c>
      <c r="D171" s="8">
        <f>Données!N165</f>
        <v>0</v>
      </c>
      <c r="E171" s="221">
        <f>Données!O165+Données!P165+Données!R165</f>
        <v>149443.70000000001</v>
      </c>
      <c r="F171" s="440">
        <f t="shared" si="8"/>
        <v>74721.850000000006</v>
      </c>
      <c r="G171" s="440">
        <f>Ecrêtage!M165</f>
        <v>0</v>
      </c>
      <c r="H171" s="441">
        <f t="shared" si="9"/>
        <v>117703.87181682384</v>
      </c>
      <c r="I171" s="294">
        <f t="shared" si="10"/>
        <v>192425.72181682385</v>
      </c>
    </row>
    <row r="172" spans="1:9" s="35" customFormat="1" x14ac:dyDescent="0.25">
      <c r="A172" s="38">
        <f>Données!A166</f>
        <v>5683</v>
      </c>
      <c r="B172" s="473" t="str">
        <f>Données!B166</f>
        <v>Prévonloup</v>
      </c>
      <c r="C172" s="31">
        <f>VPI!R166</f>
        <v>5181.5891034482765</v>
      </c>
      <c r="D172" s="8">
        <f>Données!N166</f>
        <v>0</v>
      </c>
      <c r="E172" s="221">
        <f>Données!O166+Données!P166+Données!R166</f>
        <v>11117</v>
      </c>
      <c r="F172" s="440">
        <f t="shared" si="8"/>
        <v>5558.5</v>
      </c>
      <c r="G172" s="440">
        <f>Ecrêtage!M166</f>
        <v>0</v>
      </c>
      <c r="H172" s="441">
        <f t="shared" si="9"/>
        <v>60404.409165392688</v>
      </c>
      <c r="I172" s="294">
        <f t="shared" si="10"/>
        <v>65962.909165392688</v>
      </c>
    </row>
    <row r="173" spans="1:9" s="35" customFormat="1" x14ac:dyDescent="0.25">
      <c r="A173" s="38">
        <f>Données!A167</f>
        <v>5684</v>
      </c>
      <c r="B173" s="473" t="str">
        <f>Données!B167</f>
        <v>Rossenges</v>
      </c>
      <c r="C173" s="31">
        <f>VPI!R167</f>
        <v>7033.3142000000007</v>
      </c>
      <c r="D173" s="8">
        <f>Données!N167</f>
        <v>0</v>
      </c>
      <c r="E173" s="221">
        <f>Données!O167+Données!P167+Données!R167</f>
        <v>12926.65</v>
      </c>
      <c r="F173" s="440">
        <f t="shared" si="8"/>
        <v>6463.3249999999998</v>
      </c>
      <c r="G173" s="440">
        <f>Ecrêtage!M167</f>
        <v>52100.148464222199</v>
      </c>
      <c r="H173" s="441">
        <f t="shared" si="9"/>
        <v>81990.906697491562</v>
      </c>
      <c r="I173" s="294">
        <f t="shared" si="10"/>
        <v>140554.38016171375</v>
      </c>
    </row>
    <row r="174" spans="1:9" s="35" customFormat="1" x14ac:dyDescent="0.25">
      <c r="A174" s="38">
        <f>Données!A168</f>
        <v>5688</v>
      </c>
      <c r="B174" s="473" t="str">
        <f>Données!B168</f>
        <v>Syens</v>
      </c>
      <c r="C174" s="31">
        <f>VPI!R168</f>
        <v>5277.0104615384616</v>
      </c>
      <c r="D174" s="8">
        <f>Données!N168</f>
        <v>925.7</v>
      </c>
      <c r="E174" s="221">
        <f>Données!O168+Données!P168+Données!R168</f>
        <v>25477.3</v>
      </c>
      <c r="F174" s="440">
        <f t="shared" si="8"/>
        <v>13016.359999999999</v>
      </c>
      <c r="G174" s="440">
        <f>Ecrêtage!M168</f>
        <v>0</v>
      </c>
      <c r="H174" s="441">
        <f t="shared" si="9"/>
        <v>61516.784276989478</v>
      </c>
      <c r="I174" s="294">
        <f t="shared" si="10"/>
        <v>74533.144276989478</v>
      </c>
    </row>
    <row r="175" spans="1:9" s="35" customFormat="1" x14ac:dyDescent="0.25">
      <c r="A175" s="38">
        <f>Données!A169</f>
        <v>5690</v>
      </c>
      <c r="B175" s="473" t="str">
        <f>Données!B169</f>
        <v>Villars-le-Comte</v>
      </c>
      <c r="C175" s="31">
        <f>VPI!R169</f>
        <v>4331.3836666666666</v>
      </c>
      <c r="D175" s="8">
        <f>Données!N169</f>
        <v>0</v>
      </c>
      <c r="E175" s="221">
        <f>Données!O169+Données!P169+Données!R169</f>
        <v>34360.5</v>
      </c>
      <c r="F175" s="440">
        <f t="shared" si="8"/>
        <v>17180.25</v>
      </c>
      <c r="G175" s="440">
        <f>Ecrêtage!M169</f>
        <v>0</v>
      </c>
      <c r="H175" s="441">
        <f t="shared" si="9"/>
        <v>50493.133675828889</v>
      </c>
      <c r="I175" s="294">
        <f t="shared" si="10"/>
        <v>67673.383675828896</v>
      </c>
    </row>
    <row r="176" spans="1:9" s="35" customFormat="1" x14ac:dyDescent="0.25">
      <c r="A176" s="38">
        <f>Données!A170</f>
        <v>5692</v>
      </c>
      <c r="B176" s="473" t="str">
        <f>Données!B170</f>
        <v>Vucherens</v>
      </c>
      <c r="C176" s="31">
        <f>VPI!R170</f>
        <v>18948.300519480523</v>
      </c>
      <c r="D176" s="8">
        <f>Données!N170</f>
        <v>13129.25</v>
      </c>
      <c r="E176" s="221">
        <f>Données!O170+Données!P170+Données!R170</f>
        <v>174345.25</v>
      </c>
      <c r="F176" s="440">
        <f t="shared" si="8"/>
        <v>91111.4</v>
      </c>
      <c r="G176" s="440">
        <f>Ecrêtage!M170</f>
        <v>0</v>
      </c>
      <c r="H176" s="441">
        <f t="shared" si="9"/>
        <v>220889.93834069837</v>
      </c>
      <c r="I176" s="294">
        <f t="shared" si="10"/>
        <v>312001.33834069839</v>
      </c>
    </row>
    <row r="177" spans="1:9" s="35" customFormat="1" x14ac:dyDescent="0.25">
      <c r="A177" s="38">
        <f>Données!A171</f>
        <v>5693</v>
      </c>
      <c r="B177" s="473" t="str">
        <f>Données!B171</f>
        <v>Montanaire</v>
      </c>
      <c r="C177" s="31">
        <f>VPI!R171</f>
        <v>80078.044999999984</v>
      </c>
      <c r="D177" s="8">
        <f>Données!N171</f>
        <v>74880.2</v>
      </c>
      <c r="E177" s="221">
        <f>Données!O171+Données!P171+Données!R171</f>
        <v>395721</v>
      </c>
      <c r="F177" s="440">
        <f t="shared" si="8"/>
        <v>220324.56</v>
      </c>
      <c r="G177" s="440">
        <f>Ecrêtage!M171</f>
        <v>0</v>
      </c>
      <c r="H177" s="441">
        <f t="shared" si="9"/>
        <v>933510.33800146857</v>
      </c>
      <c r="I177" s="294">
        <f t="shared" si="10"/>
        <v>1153834.8980014685</v>
      </c>
    </row>
    <row r="178" spans="1:9" s="35" customFormat="1" x14ac:dyDescent="0.25">
      <c r="A178" s="38">
        <f>Données!A172</f>
        <v>5701</v>
      </c>
      <c r="B178" s="473" t="str">
        <f>Données!B172</f>
        <v>Arnex-sur-Nyon</v>
      </c>
      <c r="C178" s="31">
        <f>VPI!R172</f>
        <v>12996.826285714285</v>
      </c>
      <c r="D178" s="8">
        <f>Données!N172</f>
        <v>1445.9</v>
      </c>
      <c r="E178" s="221">
        <f>Données!O172+Données!P172+Données!R172</f>
        <v>411475.85</v>
      </c>
      <c r="F178" s="440">
        <f t="shared" si="8"/>
        <v>206171.69499999998</v>
      </c>
      <c r="G178" s="440">
        <f>Ecrêtage!M172</f>
        <v>19093.80562061664</v>
      </c>
      <c r="H178" s="441">
        <f t="shared" si="9"/>
        <v>151510.58818835445</v>
      </c>
      <c r="I178" s="294">
        <f t="shared" si="10"/>
        <v>376776.08880897111</v>
      </c>
    </row>
    <row r="179" spans="1:9" s="35" customFormat="1" x14ac:dyDescent="0.25">
      <c r="A179" s="38">
        <f>Données!A173</f>
        <v>5702</v>
      </c>
      <c r="B179" s="473" t="str">
        <f>Données!B173</f>
        <v>Arzier-Le Muids</v>
      </c>
      <c r="C179" s="31">
        <f>VPI!R173</f>
        <v>187984.45531250001</v>
      </c>
      <c r="D179" s="8">
        <f>Données!N173</f>
        <v>82459.899999999994</v>
      </c>
      <c r="E179" s="221">
        <f>Données!O173+Données!P173+Données!R173</f>
        <v>1637186</v>
      </c>
      <c r="F179" s="440">
        <f t="shared" si="8"/>
        <v>843330.97</v>
      </c>
      <c r="G179" s="440">
        <f>Ecrêtage!M173</f>
        <v>676921.22310507623</v>
      </c>
      <c r="H179" s="441">
        <f t="shared" si="9"/>
        <v>2191430.0282654739</v>
      </c>
      <c r="I179" s="294">
        <f t="shared" si="10"/>
        <v>3711682.2213705503</v>
      </c>
    </row>
    <row r="180" spans="1:9" s="35" customFormat="1" x14ac:dyDescent="0.25">
      <c r="A180" s="38">
        <f>Données!A174</f>
        <v>5703</v>
      </c>
      <c r="B180" s="473" t="str">
        <f>Données!B174</f>
        <v>Bassins</v>
      </c>
      <c r="C180" s="31">
        <f>VPI!R174</f>
        <v>65441.246975369453</v>
      </c>
      <c r="D180" s="8">
        <f>Données!N174</f>
        <v>43670.25</v>
      </c>
      <c r="E180" s="221">
        <f>Données!O174+Données!P174+Données!R174</f>
        <v>452512.75</v>
      </c>
      <c r="F180" s="440">
        <f t="shared" si="8"/>
        <v>239357.45</v>
      </c>
      <c r="G180" s="440">
        <f>Ecrêtage!M174</f>
        <v>0</v>
      </c>
      <c r="H180" s="441">
        <f t="shared" si="9"/>
        <v>762881.76844495558</v>
      </c>
      <c r="I180" s="294">
        <f t="shared" si="10"/>
        <v>1002239.2184449555</v>
      </c>
    </row>
    <row r="181" spans="1:9" s="35" customFormat="1" x14ac:dyDescent="0.25">
      <c r="A181" s="38">
        <f>Données!A175</f>
        <v>5704</v>
      </c>
      <c r="B181" s="473" t="str">
        <f>Données!B175</f>
        <v>Begnins</v>
      </c>
      <c r="C181" s="31">
        <f>VPI!R175</f>
        <v>129730.03685333332</v>
      </c>
      <c r="D181" s="8">
        <f>Données!N175</f>
        <v>16362.45</v>
      </c>
      <c r="E181" s="221">
        <f>Données!O175+Données!P175+Données!R175</f>
        <v>2621209.1</v>
      </c>
      <c r="F181" s="440">
        <f t="shared" si="8"/>
        <v>1315513.2850000001</v>
      </c>
      <c r="G181" s="440">
        <f>Ecrêtage!M175</f>
        <v>553711.4321235416</v>
      </c>
      <c r="H181" s="441">
        <f t="shared" si="9"/>
        <v>1512328.7606721441</v>
      </c>
      <c r="I181" s="294">
        <f t="shared" si="10"/>
        <v>3381553.4777956856</v>
      </c>
    </row>
    <row r="182" spans="1:9" s="35" customFormat="1" x14ac:dyDescent="0.25">
      <c r="A182" s="38">
        <f>Données!A176</f>
        <v>5705</v>
      </c>
      <c r="B182" s="473" t="str">
        <f>Données!B176</f>
        <v>Bogis-Bossey</v>
      </c>
      <c r="C182" s="31">
        <f>VPI!R176</f>
        <v>51044.070201342278</v>
      </c>
      <c r="D182" s="8">
        <f>Données!N176</f>
        <v>50994.15</v>
      </c>
      <c r="E182" s="221">
        <f>Données!O176+Données!P176+Données!R176</f>
        <v>663216</v>
      </c>
      <c r="F182" s="440">
        <f t="shared" si="8"/>
        <v>346906.245</v>
      </c>
      <c r="G182" s="440">
        <f>Ecrêtage!M176</f>
        <v>93952.789013408998</v>
      </c>
      <c r="H182" s="441">
        <f t="shared" si="9"/>
        <v>595046.58519854886</v>
      </c>
      <c r="I182" s="294">
        <f t="shared" si="10"/>
        <v>1035905.6192119578</v>
      </c>
    </row>
    <row r="183" spans="1:9" s="35" customFormat="1" x14ac:dyDescent="0.25">
      <c r="A183" s="38">
        <f>Données!A177</f>
        <v>5706</v>
      </c>
      <c r="B183" s="473" t="str">
        <f>Données!B177</f>
        <v>Borex</v>
      </c>
      <c r="C183" s="31">
        <f>VPI!R177</f>
        <v>156857.9796491228</v>
      </c>
      <c r="D183" s="8">
        <f>Données!N177</f>
        <v>9334.2000000000007</v>
      </c>
      <c r="E183" s="221">
        <f>Données!O177+Données!P177+Données!R177</f>
        <v>388901.3</v>
      </c>
      <c r="F183" s="440">
        <f t="shared" si="8"/>
        <v>197250.91</v>
      </c>
      <c r="G183" s="440">
        <f>Ecrêtage!M177</f>
        <v>2376860.102244392</v>
      </c>
      <c r="H183" s="441">
        <f t="shared" si="9"/>
        <v>1828572.9328242233</v>
      </c>
      <c r="I183" s="294">
        <f t="shared" si="10"/>
        <v>4402683.9450686155</v>
      </c>
    </row>
    <row r="184" spans="1:9" s="35" customFormat="1" x14ac:dyDescent="0.25">
      <c r="A184" s="38">
        <f>Données!A178</f>
        <v>5707</v>
      </c>
      <c r="B184" s="473" t="str">
        <f>Données!B178</f>
        <v>Chavannes-de-Bogis</v>
      </c>
      <c r="C184" s="31">
        <f>VPI!R178</f>
        <v>86804.197126436775</v>
      </c>
      <c r="D184" s="8">
        <f>Données!N178</f>
        <v>677002.4</v>
      </c>
      <c r="E184" s="221">
        <f>Données!O178+Données!P178+Données!R178</f>
        <v>648259.35</v>
      </c>
      <c r="F184" s="440">
        <f t="shared" si="8"/>
        <v>527230.39500000002</v>
      </c>
      <c r="G184" s="440">
        <f>Ecrêtage!M178</f>
        <v>328295.82671832718</v>
      </c>
      <c r="H184" s="441">
        <f t="shared" si="9"/>
        <v>1011920.5007995153</v>
      </c>
      <c r="I184" s="294">
        <f t="shared" si="10"/>
        <v>1867446.7225178424</v>
      </c>
    </row>
    <row r="185" spans="1:9" s="35" customFormat="1" x14ac:dyDescent="0.25">
      <c r="A185" s="38">
        <f>Données!A179</f>
        <v>5708</v>
      </c>
      <c r="B185" s="473" t="str">
        <f>Données!B179</f>
        <v>Chavannes-des-Bois</v>
      </c>
      <c r="C185" s="31">
        <f>VPI!R179</f>
        <v>68806.761617647047</v>
      </c>
      <c r="D185" s="8">
        <f>Données!N179</f>
        <v>14254.75</v>
      </c>
      <c r="E185" s="221">
        <f>Données!O179+Données!P179+Données!R179</f>
        <v>239306.10000000003</v>
      </c>
      <c r="F185" s="440">
        <f t="shared" si="8"/>
        <v>123929.47500000002</v>
      </c>
      <c r="G185" s="440">
        <f>Ecrêtage!M179</f>
        <v>328894.39044835861</v>
      </c>
      <c r="H185" s="441">
        <f t="shared" si="9"/>
        <v>802115.27759545308</v>
      </c>
      <c r="I185" s="294">
        <f t="shared" si="10"/>
        <v>1254939.1430438117</v>
      </c>
    </row>
    <row r="186" spans="1:9" s="35" customFormat="1" x14ac:dyDescent="0.25">
      <c r="A186" s="38">
        <f>Données!A180</f>
        <v>5709</v>
      </c>
      <c r="B186" s="473" t="str">
        <f>Données!B180</f>
        <v>Chéserex</v>
      </c>
      <c r="C186" s="31">
        <f>VPI!R180</f>
        <v>90983.63491228073</v>
      </c>
      <c r="D186" s="8">
        <f>Données!N180</f>
        <v>56721.8</v>
      </c>
      <c r="E186" s="221">
        <f>Données!O180+Données!P180+Données!R180</f>
        <v>537884.6</v>
      </c>
      <c r="F186" s="440">
        <f t="shared" si="8"/>
        <v>285958.83999999997</v>
      </c>
      <c r="G186" s="440">
        <f>Ecrêtage!M180</f>
        <v>449963.68126971991</v>
      </c>
      <c r="H186" s="441">
        <f t="shared" si="9"/>
        <v>1060642.3243670024</v>
      </c>
      <c r="I186" s="294">
        <f t="shared" si="10"/>
        <v>1796564.8456367224</v>
      </c>
    </row>
    <row r="187" spans="1:9" s="35" customFormat="1" x14ac:dyDescent="0.25">
      <c r="A187" s="38">
        <f>Données!A181</f>
        <v>5710</v>
      </c>
      <c r="B187" s="473" t="str">
        <f>Données!B181</f>
        <v>Coinsins</v>
      </c>
      <c r="C187" s="31">
        <f>VPI!R181</f>
        <v>33549.646470588232</v>
      </c>
      <c r="D187" s="8">
        <f>Données!N181</f>
        <v>42380.65</v>
      </c>
      <c r="E187" s="221">
        <f>Données!O181+Données!P181+Données!R181</f>
        <v>189893.2</v>
      </c>
      <c r="F187" s="440">
        <f t="shared" si="8"/>
        <v>107660.79500000001</v>
      </c>
      <c r="G187" s="440">
        <f>Ecrêtage!M181</f>
        <v>118579.21092448306</v>
      </c>
      <c r="H187" s="441">
        <f t="shared" si="9"/>
        <v>391105.22511618014</v>
      </c>
      <c r="I187" s="294">
        <f t="shared" si="10"/>
        <v>617345.2310406632</v>
      </c>
    </row>
    <row r="188" spans="1:9" s="35" customFormat="1" x14ac:dyDescent="0.25">
      <c r="A188" s="38">
        <f>Données!A182</f>
        <v>5711</v>
      </c>
      <c r="B188" s="473" t="str">
        <f>Données!B182</f>
        <v>Commugny</v>
      </c>
      <c r="C188" s="31">
        <f>VPI!R182</f>
        <v>305461.09360323887</v>
      </c>
      <c r="D188" s="8">
        <f>Données!N182</f>
        <v>27324.400000000001</v>
      </c>
      <c r="E188" s="221">
        <f>Données!O182+Données!P182+Données!R182</f>
        <v>2364425.4</v>
      </c>
      <c r="F188" s="440">
        <f t="shared" si="8"/>
        <v>1190410.02</v>
      </c>
      <c r="G188" s="440">
        <f>Ecrêtage!M182</f>
        <v>3183814.568342194</v>
      </c>
      <c r="H188" s="441">
        <f t="shared" si="9"/>
        <v>3560914.7143372172</v>
      </c>
      <c r="I188" s="294">
        <f t="shared" si="10"/>
        <v>7935139.3026794111</v>
      </c>
    </row>
    <row r="189" spans="1:9" s="35" customFormat="1" x14ac:dyDescent="0.25">
      <c r="A189" s="38">
        <f>Données!A183</f>
        <v>5712</v>
      </c>
      <c r="B189" s="473" t="str">
        <f>Données!B183</f>
        <v>Coppet</v>
      </c>
      <c r="C189" s="31">
        <f>VPI!R183</f>
        <v>422782.58779874217</v>
      </c>
      <c r="D189" s="8">
        <f>Données!N183</f>
        <v>171358.1</v>
      </c>
      <c r="E189" s="221">
        <f>Données!O183+Données!P183+Données!R183</f>
        <v>2940108.55</v>
      </c>
      <c r="F189" s="440">
        <f t="shared" si="8"/>
        <v>1521461.7049999998</v>
      </c>
      <c r="G189" s="440">
        <f>Ecrêtage!M183</f>
        <v>5723448.0279224366</v>
      </c>
      <c r="H189" s="441">
        <f t="shared" si="9"/>
        <v>4928590.8070949968</v>
      </c>
      <c r="I189" s="294">
        <f t="shared" si="10"/>
        <v>12173500.540017433</v>
      </c>
    </row>
    <row r="190" spans="1:9" s="35" customFormat="1" x14ac:dyDescent="0.25">
      <c r="A190" s="38">
        <f>Données!A184</f>
        <v>5713</v>
      </c>
      <c r="B190" s="473" t="str">
        <f>Données!B184</f>
        <v>Crans</v>
      </c>
      <c r="C190" s="31">
        <f>VPI!R184</f>
        <v>284269.17355932208</v>
      </c>
      <c r="D190" s="8">
        <f>Données!N184</f>
        <v>38257.35</v>
      </c>
      <c r="E190" s="221">
        <f>Données!O184+Données!P184+Données!R184</f>
        <v>1669448.1</v>
      </c>
      <c r="F190" s="440">
        <f t="shared" si="8"/>
        <v>846201.255</v>
      </c>
      <c r="G190" s="440">
        <f>Ecrêtage!M184</f>
        <v>3869812.5469696424</v>
      </c>
      <c r="H190" s="441">
        <f t="shared" si="9"/>
        <v>3313869.7665853472</v>
      </c>
      <c r="I190" s="294">
        <f t="shared" si="10"/>
        <v>8029883.56855499</v>
      </c>
    </row>
    <row r="191" spans="1:9" s="35" customFormat="1" x14ac:dyDescent="0.25">
      <c r="A191" s="38">
        <f>Données!A185</f>
        <v>5714</v>
      </c>
      <c r="B191" s="473" t="str">
        <f>Données!B185</f>
        <v>Crassier</v>
      </c>
      <c r="C191" s="31">
        <f>VPI!R185</f>
        <v>62524.655789473691</v>
      </c>
      <c r="D191" s="8">
        <f>Données!N185</f>
        <v>131082.9</v>
      </c>
      <c r="E191" s="221">
        <f>Données!O185+Données!P185+Données!R185</f>
        <v>464090.45</v>
      </c>
      <c r="F191" s="440">
        <f t="shared" si="8"/>
        <v>271370.09499999997</v>
      </c>
      <c r="G191" s="440">
        <f>Ecrêtage!M185</f>
        <v>36710.732987122225</v>
      </c>
      <c r="H191" s="441">
        <f t="shared" si="9"/>
        <v>728881.58744955715</v>
      </c>
      <c r="I191" s="294">
        <f t="shared" si="10"/>
        <v>1036962.4154366794</v>
      </c>
    </row>
    <row r="192" spans="1:9" s="35" customFormat="1" x14ac:dyDescent="0.25">
      <c r="A192" s="38">
        <f>Données!A186</f>
        <v>5715</v>
      </c>
      <c r="B192" s="473" t="str">
        <f>Données!B186</f>
        <v>Duillier</v>
      </c>
      <c r="C192" s="31">
        <f>VPI!R186</f>
        <v>60550.113787878792</v>
      </c>
      <c r="D192" s="8">
        <f>Données!N186</f>
        <v>117778.5</v>
      </c>
      <c r="E192" s="221">
        <f>Données!O186+Données!P186+Données!R186</f>
        <v>368954.85</v>
      </c>
      <c r="F192" s="440">
        <f t="shared" si="8"/>
        <v>219810.97499999998</v>
      </c>
      <c r="G192" s="440">
        <f>Ecrêtage!M186</f>
        <v>85229.00379667501</v>
      </c>
      <c r="H192" s="441">
        <f t="shared" si="9"/>
        <v>705863.35103648098</v>
      </c>
      <c r="I192" s="294">
        <f t="shared" si="10"/>
        <v>1010903.329833156</v>
      </c>
    </row>
    <row r="193" spans="1:9" s="35" customFormat="1" x14ac:dyDescent="0.25">
      <c r="A193" s="38">
        <f>Données!A187</f>
        <v>5716</v>
      </c>
      <c r="B193" s="473" t="str">
        <f>Données!B187</f>
        <v>Eysins</v>
      </c>
      <c r="C193" s="31">
        <f>VPI!R187</f>
        <v>232557.04084033609</v>
      </c>
      <c r="D193" s="8">
        <f>Données!N187</f>
        <v>672454.95</v>
      </c>
      <c r="E193" s="221">
        <f>Données!O187+Données!P187+Données!R187</f>
        <v>464270.64999999997</v>
      </c>
      <c r="F193" s="440">
        <f t="shared" si="8"/>
        <v>433871.80999999994</v>
      </c>
      <c r="G193" s="440">
        <f>Ecrêtage!M187</f>
        <v>3502288.6346353316</v>
      </c>
      <c r="H193" s="441">
        <f t="shared" si="9"/>
        <v>2711035.2381789978</v>
      </c>
      <c r="I193" s="294">
        <f t="shared" si="10"/>
        <v>6647195.6828143299</v>
      </c>
    </row>
    <row r="194" spans="1:9" s="35" customFormat="1" x14ac:dyDescent="0.25">
      <c r="A194" s="38">
        <f>Données!A188</f>
        <v>5717</v>
      </c>
      <c r="B194" s="473" t="str">
        <f>Données!B188</f>
        <v>Founex</v>
      </c>
      <c r="C194" s="31">
        <f>VPI!R188</f>
        <v>361582.97087719297</v>
      </c>
      <c r="D194" s="8">
        <f>Données!N188</f>
        <v>206504.3</v>
      </c>
      <c r="E194" s="221">
        <f>Données!O188+Données!P188+Données!R188</f>
        <v>3620464.9</v>
      </c>
      <c r="F194" s="440">
        <f t="shared" si="8"/>
        <v>1872183.74</v>
      </c>
      <c r="G194" s="440">
        <f>Ecrêtage!M188</f>
        <v>3357716.8345051585</v>
      </c>
      <c r="H194" s="441">
        <f t="shared" si="9"/>
        <v>4215155.8689918518</v>
      </c>
      <c r="I194" s="294">
        <f t="shared" si="10"/>
        <v>9445056.4434970096</v>
      </c>
    </row>
    <row r="195" spans="1:9" s="35" customFormat="1" x14ac:dyDescent="0.25">
      <c r="A195" s="38">
        <f>Données!A189</f>
        <v>5718</v>
      </c>
      <c r="B195" s="473" t="str">
        <f>Données!B189</f>
        <v>Genolier</v>
      </c>
      <c r="C195" s="31">
        <f>VPI!R189</f>
        <v>212699.2265454545</v>
      </c>
      <c r="D195" s="8">
        <f>Données!N189</f>
        <v>253669.75</v>
      </c>
      <c r="E195" s="221">
        <f>Données!O189+Données!P189+Données!R189</f>
        <v>1130565.8</v>
      </c>
      <c r="F195" s="440">
        <f t="shared" si="8"/>
        <v>641383.82500000007</v>
      </c>
      <c r="G195" s="440">
        <f>Ecrêtage!M189</f>
        <v>2230493.6877689743</v>
      </c>
      <c r="H195" s="441">
        <f t="shared" si="9"/>
        <v>2479542.6369999191</v>
      </c>
      <c r="I195" s="294">
        <f t="shared" si="10"/>
        <v>5351420.1497688936</v>
      </c>
    </row>
    <row r="196" spans="1:9" s="35" customFormat="1" x14ac:dyDescent="0.25">
      <c r="A196" s="38">
        <f>Données!A190</f>
        <v>5719</v>
      </c>
      <c r="B196" s="473" t="str">
        <f>Données!B190</f>
        <v>Gingins</v>
      </c>
      <c r="C196" s="31">
        <f>VPI!R190</f>
        <v>119943.29911111109</v>
      </c>
      <c r="D196" s="8">
        <f>Données!N190</f>
        <v>56832</v>
      </c>
      <c r="E196" s="221">
        <f>Données!O190+Données!P190+Données!R190</f>
        <v>1146505.4500000002</v>
      </c>
      <c r="F196" s="440">
        <f t="shared" si="8"/>
        <v>590302.32500000007</v>
      </c>
      <c r="G196" s="440">
        <f>Ecrêtage!M190</f>
        <v>1142707.2864478459</v>
      </c>
      <c r="H196" s="441">
        <f t="shared" si="9"/>
        <v>1398239.8008620788</v>
      </c>
      <c r="I196" s="294">
        <f t="shared" si="10"/>
        <v>3131249.4123099246</v>
      </c>
    </row>
    <row r="197" spans="1:9" s="35" customFormat="1" x14ac:dyDescent="0.25">
      <c r="A197" s="38">
        <f>Données!A191</f>
        <v>5720</v>
      </c>
      <c r="B197" s="473" t="str">
        <f>Données!B191</f>
        <v>Givrins</v>
      </c>
      <c r="C197" s="31">
        <f>VPI!R191</f>
        <v>84868.432139303477</v>
      </c>
      <c r="D197" s="8">
        <f>Données!N191</f>
        <v>16911.75</v>
      </c>
      <c r="E197" s="221">
        <f>Données!O191+Données!P191+Données!R191</f>
        <v>430178.25</v>
      </c>
      <c r="F197" s="440">
        <f t="shared" si="8"/>
        <v>220162.65</v>
      </c>
      <c r="G197" s="440">
        <f>Ecrêtage!M191</f>
        <v>711497.4031004092</v>
      </c>
      <c r="H197" s="441">
        <f t="shared" si="9"/>
        <v>989354.30768840446</v>
      </c>
      <c r="I197" s="294">
        <f t="shared" si="10"/>
        <v>1921014.3607888138</v>
      </c>
    </row>
    <row r="198" spans="1:9" s="35" customFormat="1" x14ac:dyDescent="0.25">
      <c r="A198" s="38">
        <f>Données!A192</f>
        <v>5721</v>
      </c>
      <c r="B198" s="473" t="str">
        <f>Données!B192</f>
        <v>Gland</v>
      </c>
      <c r="C198" s="31">
        <f>VPI!R192</f>
        <v>688985.30491803284</v>
      </c>
      <c r="D198" s="8">
        <f>Données!N192</f>
        <v>2399698.6</v>
      </c>
      <c r="E198" s="221">
        <f>Données!O192+Données!P192+Données!R192</f>
        <v>3637519.7</v>
      </c>
      <c r="F198" s="440">
        <f t="shared" si="8"/>
        <v>2538669.4300000002</v>
      </c>
      <c r="G198" s="440">
        <f>Ecrêtage!M192</f>
        <v>312496.26313222217</v>
      </c>
      <c r="H198" s="441">
        <f t="shared" si="9"/>
        <v>8031850.7385148806</v>
      </c>
      <c r="I198" s="294">
        <f t="shared" si="10"/>
        <v>10883016.431647103</v>
      </c>
    </row>
    <row r="199" spans="1:9" s="35" customFormat="1" x14ac:dyDescent="0.25">
      <c r="A199" s="38">
        <f>Données!A193</f>
        <v>5722</v>
      </c>
      <c r="B199" s="473" t="str">
        <f>Données!B193</f>
        <v>Grens</v>
      </c>
      <c r="C199" s="31">
        <f>VPI!R193</f>
        <v>20912.723225806454</v>
      </c>
      <c r="D199" s="8">
        <f>Données!N193</f>
        <v>19125.8</v>
      </c>
      <c r="E199" s="221">
        <f>Données!O193+Données!P193+Données!R193</f>
        <v>216352.8</v>
      </c>
      <c r="F199" s="440">
        <f t="shared" si="8"/>
        <v>113914.14</v>
      </c>
      <c r="G199" s="440">
        <f>Ecrêtage!M193</f>
        <v>18902.78543995793</v>
      </c>
      <c r="H199" s="441">
        <f t="shared" si="9"/>
        <v>243790.20900240194</v>
      </c>
      <c r="I199" s="294">
        <f t="shared" si="10"/>
        <v>376607.13444235985</v>
      </c>
    </row>
    <row r="200" spans="1:9" s="35" customFormat="1" x14ac:dyDescent="0.25">
      <c r="A200" s="38">
        <f>Données!A194</f>
        <v>5723</v>
      </c>
      <c r="B200" s="473" t="str">
        <f>Données!B194</f>
        <v>Mies</v>
      </c>
      <c r="C200" s="31">
        <f>VPI!R194</f>
        <v>253771.19326923077</v>
      </c>
      <c r="D200" s="8">
        <f>Données!N194</f>
        <v>212985</v>
      </c>
      <c r="E200" s="221">
        <f>Données!O194+Données!P194+Données!R194</f>
        <v>1982292.9</v>
      </c>
      <c r="F200" s="440">
        <f t="shared" si="8"/>
        <v>1055041.95</v>
      </c>
      <c r="G200" s="440">
        <f>Ecrêtage!M194</f>
        <v>2838957.2566402634</v>
      </c>
      <c r="H200" s="441">
        <f t="shared" si="9"/>
        <v>2958339.3601054531</v>
      </c>
      <c r="I200" s="294">
        <f t="shared" si="10"/>
        <v>6852338.5667457171</v>
      </c>
    </row>
    <row r="201" spans="1:9" s="35" customFormat="1" x14ac:dyDescent="0.25">
      <c r="A201" s="38">
        <f>Données!A195</f>
        <v>5724</v>
      </c>
      <c r="B201" s="473" t="str">
        <f>Données!B195</f>
        <v>Nyon</v>
      </c>
      <c r="C201" s="31">
        <f>VPI!R195</f>
        <v>1520148.6004918031</v>
      </c>
      <c r="D201" s="8">
        <f>Données!N195</f>
        <v>5455835.7000000002</v>
      </c>
      <c r="E201" s="221">
        <f>Données!O195+Données!P195+Données!R195</f>
        <v>8311215.4499999993</v>
      </c>
      <c r="F201" s="440">
        <f t="shared" si="8"/>
        <v>5792358.4349999996</v>
      </c>
      <c r="G201" s="440">
        <f>Ecrêtage!M195</f>
        <v>6567260.2715711314</v>
      </c>
      <c r="H201" s="441">
        <f t="shared" si="9"/>
        <v>17721142.341294207</v>
      </c>
      <c r="I201" s="294">
        <f t="shared" si="10"/>
        <v>30080761.047865339</v>
      </c>
    </row>
    <row r="202" spans="1:9" s="35" customFormat="1" x14ac:dyDescent="0.25">
      <c r="A202" s="38">
        <f>Données!A196</f>
        <v>5725</v>
      </c>
      <c r="B202" s="473" t="str">
        <f>Données!B196</f>
        <v>Prangins</v>
      </c>
      <c r="C202" s="31">
        <f>VPI!R196</f>
        <v>388958.996077922</v>
      </c>
      <c r="D202" s="8">
        <f>Données!N196</f>
        <v>1061787.3999999999</v>
      </c>
      <c r="E202" s="221">
        <f>Données!O196+Données!P196+Données!R196</f>
        <v>1596922.0999999999</v>
      </c>
      <c r="F202" s="440">
        <f t="shared" si="8"/>
        <v>1116997.27</v>
      </c>
      <c r="G202" s="440">
        <f>Ecrêtage!M196</f>
        <v>3198148.5873875897</v>
      </c>
      <c r="H202" s="441">
        <f t="shared" si="9"/>
        <v>4534292.0634165443</v>
      </c>
      <c r="I202" s="294">
        <f t="shared" si="10"/>
        <v>8849437.9208041336</v>
      </c>
    </row>
    <row r="203" spans="1:9" s="35" customFormat="1" x14ac:dyDescent="0.25">
      <c r="A203" s="38">
        <f>Données!A197</f>
        <v>5726</v>
      </c>
      <c r="B203" s="473" t="str">
        <f>Données!B197</f>
        <v>La Rippe</v>
      </c>
      <c r="C203" s="31">
        <f>VPI!R197</f>
        <v>69785.913125000021</v>
      </c>
      <c r="D203" s="8">
        <f>Données!N197</f>
        <v>20131.75</v>
      </c>
      <c r="E203" s="221">
        <f>Données!O197+Données!P197+Données!R197</f>
        <v>411332.55</v>
      </c>
      <c r="F203" s="440">
        <f t="shared" si="8"/>
        <v>211705.8</v>
      </c>
      <c r="G203" s="440">
        <f>Ecrêtage!M197</f>
        <v>151650.11368001951</v>
      </c>
      <c r="H203" s="441">
        <f t="shared" si="9"/>
        <v>813529.74275358371</v>
      </c>
      <c r="I203" s="294">
        <f t="shared" si="10"/>
        <v>1176885.6564336033</v>
      </c>
    </row>
    <row r="204" spans="1:9" s="35" customFormat="1" x14ac:dyDescent="0.25">
      <c r="A204" s="38">
        <f>Données!A198</f>
        <v>5727</v>
      </c>
      <c r="B204" s="473" t="str">
        <f>Données!B198</f>
        <v>Saint-Cergue</v>
      </c>
      <c r="C204" s="31">
        <f>VPI!R198</f>
        <v>107048.1634848485</v>
      </c>
      <c r="D204" s="8">
        <f>Données!N198</f>
        <v>188988.35</v>
      </c>
      <c r="E204" s="221">
        <f>Données!O198+Données!P198+Données!R198</f>
        <v>1409286.2</v>
      </c>
      <c r="F204" s="440">
        <f t="shared" si="8"/>
        <v>761339.60499999998</v>
      </c>
      <c r="G204" s="440">
        <f>Ecrêtage!M198</f>
        <v>0</v>
      </c>
      <c r="H204" s="441">
        <f t="shared" si="9"/>
        <v>1247914.6722073124</v>
      </c>
      <c r="I204" s="294">
        <f t="shared" si="10"/>
        <v>2009254.2772073124</v>
      </c>
    </row>
    <row r="205" spans="1:9" s="35" customFormat="1" x14ac:dyDescent="0.25">
      <c r="A205" s="38">
        <f>Données!A199</f>
        <v>5728</v>
      </c>
      <c r="B205" s="473" t="str">
        <f>Données!B199</f>
        <v>Signy-Avenex</v>
      </c>
      <c r="C205" s="31">
        <f>VPI!R199</f>
        <v>66000.760172413793</v>
      </c>
      <c r="D205" s="8">
        <f>Données!N199</f>
        <v>185182.65</v>
      </c>
      <c r="E205" s="221">
        <f>Données!O199+Données!P199+Données!R199</f>
        <v>219984.55</v>
      </c>
      <c r="F205" s="440">
        <f t="shared" ref="F205:F268" si="11">D205*$D$11+E205*$E$11</f>
        <v>165547.07</v>
      </c>
      <c r="G205" s="440">
        <f>Ecrêtage!M199</f>
        <v>815898.49911469233</v>
      </c>
      <c r="H205" s="441">
        <f t="shared" ref="H205:H268" si="12">$H$11*C205</f>
        <v>769404.29723158048</v>
      </c>
      <c r="I205" s="294">
        <f t="shared" ref="I205:I268" si="13">F205+H205+G205</f>
        <v>1750849.8663462726</v>
      </c>
    </row>
    <row r="206" spans="1:9" s="35" customFormat="1" x14ac:dyDescent="0.25">
      <c r="A206" s="38">
        <f>Données!A200</f>
        <v>5729</v>
      </c>
      <c r="B206" s="473" t="str">
        <f>Données!B200</f>
        <v>Tannay</v>
      </c>
      <c r="C206" s="31">
        <f>VPI!R200</f>
        <v>189085.86771349865</v>
      </c>
      <c r="D206" s="8">
        <f>Données!N200</f>
        <v>15753.15</v>
      </c>
      <c r="E206" s="221">
        <f>Données!O200+Données!P200+Données!R200</f>
        <v>1809913.5</v>
      </c>
      <c r="F206" s="440">
        <f t="shared" si="11"/>
        <v>909682.69499999995</v>
      </c>
      <c r="G206" s="440">
        <f>Ecrêtage!M200</f>
        <v>2340456.234808607</v>
      </c>
      <c r="H206" s="441">
        <f t="shared" si="12"/>
        <v>2204269.7505980465</v>
      </c>
      <c r="I206" s="294">
        <f t="shared" si="13"/>
        <v>5454408.6804066533</v>
      </c>
    </row>
    <row r="207" spans="1:9" s="35" customFormat="1" x14ac:dyDescent="0.25">
      <c r="A207" s="38">
        <f>Données!A201</f>
        <v>5730</v>
      </c>
      <c r="B207" s="473" t="str">
        <f>Données!B201</f>
        <v>Trélex</v>
      </c>
      <c r="C207" s="31">
        <f>VPI!R201</f>
        <v>121414.34176176177</v>
      </c>
      <c r="D207" s="8">
        <f>Données!N201</f>
        <v>17011.650000000001</v>
      </c>
      <c r="E207" s="221">
        <f>Données!O201+Données!P201+Données!R201</f>
        <v>1095255.6000000001</v>
      </c>
      <c r="F207" s="440">
        <f t="shared" si="11"/>
        <v>552731.29500000004</v>
      </c>
      <c r="G207" s="440">
        <f>Ecrêtage!M201</f>
        <v>891156.89149572782</v>
      </c>
      <c r="H207" s="441">
        <f t="shared" si="12"/>
        <v>1415388.4902690628</v>
      </c>
      <c r="I207" s="294">
        <f t="shared" si="13"/>
        <v>2859276.6767647909</v>
      </c>
    </row>
    <row r="208" spans="1:9" s="35" customFormat="1" x14ac:dyDescent="0.25">
      <c r="A208" s="38">
        <f>Données!A202</f>
        <v>5731</v>
      </c>
      <c r="B208" s="473" t="str">
        <f>Données!B202</f>
        <v>Le Vaud</v>
      </c>
      <c r="C208" s="31">
        <f>VPI!R202</f>
        <v>69610.558648648643</v>
      </c>
      <c r="D208" s="8">
        <f>Données!N202</f>
        <v>40435</v>
      </c>
      <c r="E208" s="221">
        <f>Données!O202+Données!P202+Données!R202</f>
        <v>224967.45</v>
      </c>
      <c r="F208" s="440">
        <f t="shared" si="11"/>
        <v>124614.22500000001</v>
      </c>
      <c r="G208" s="440">
        <f>Ecrêtage!M202</f>
        <v>18031.026507087136</v>
      </c>
      <c r="H208" s="441">
        <f t="shared" si="12"/>
        <v>811485.54678839946</v>
      </c>
      <c r="I208" s="294">
        <f t="shared" si="13"/>
        <v>954130.7982954866</v>
      </c>
    </row>
    <row r="209" spans="1:9" s="35" customFormat="1" x14ac:dyDescent="0.25">
      <c r="A209" s="38">
        <f>Données!A203</f>
        <v>5732</v>
      </c>
      <c r="B209" s="473" t="str">
        <f>Données!B203</f>
        <v>Vich</v>
      </c>
      <c r="C209" s="31">
        <f>VPI!R203</f>
        <v>79861.73920634923</v>
      </c>
      <c r="D209" s="8">
        <f>Données!N203</f>
        <v>112018.45</v>
      </c>
      <c r="E209" s="221">
        <f>Données!O203+Données!P203+Données!R203</f>
        <v>300613.8</v>
      </c>
      <c r="F209" s="440">
        <f t="shared" si="11"/>
        <v>183912.435</v>
      </c>
      <c r="G209" s="440">
        <f>Ecrêtage!M203</f>
        <v>375869.00483949226</v>
      </c>
      <c r="H209" s="441">
        <f t="shared" si="12"/>
        <v>930988.75178463978</v>
      </c>
      <c r="I209" s="294">
        <f t="shared" si="13"/>
        <v>1490770.191624132</v>
      </c>
    </row>
    <row r="210" spans="1:9" s="35" customFormat="1" x14ac:dyDescent="0.25">
      <c r="A210" s="38">
        <f>Données!A204</f>
        <v>5741</v>
      </c>
      <c r="B210" s="473" t="str">
        <f>Données!B204</f>
        <v>L'Abergement</v>
      </c>
      <c r="C210" s="31">
        <f>VPI!R204</f>
        <v>10833.904395833331</v>
      </c>
      <c r="D210" s="8">
        <f>Données!N204</f>
        <v>5545.6</v>
      </c>
      <c r="E210" s="221">
        <f>Données!O204+Données!P204+Données!R204</f>
        <v>30731.75</v>
      </c>
      <c r="F210" s="440">
        <f t="shared" si="11"/>
        <v>17029.555</v>
      </c>
      <c r="G210" s="440">
        <f>Ecrêtage!M204</f>
        <v>0</v>
      </c>
      <c r="H210" s="441">
        <f t="shared" si="12"/>
        <v>126296.31198451425</v>
      </c>
      <c r="I210" s="294">
        <f t="shared" si="13"/>
        <v>143325.86698451426</v>
      </c>
    </row>
    <row r="211" spans="1:9" s="35" customFormat="1" x14ac:dyDescent="0.25">
      <c r="A211" s="38">
        <f>Données!A205</f>
        <v>5742</v>
      </c>
      <c r="B211" s="473" t="str">
        <f>Données!B205</f>
        <v>Agiez</v>
      </c>
      <c r="C211" s="31">
        <f>VPI!R205</f>
        <v>9049.0364473684222</v>
      </c>
      <c r="D211" s="8">
        <f>Données!N205</f>
        <v>3021.6</v>
      </c>
      <c r="E211" s="221">
        <f>Données!O205+Données!P205+Données!R205</f>
        <v>0</v>
      </c>
      <c r="F211" s="440">
        <f t="shared" si="11"/>
        <v>906.4799999999999</v>
      </c>
      <c r="G211" s="440">
        <f>Ecrêtage!M205</f>
        <v>0</v>
      </c>
      <c r="H211" s="441">
        <f t="shared" si="12"/>
        <v>105489.20209741016</v>
      </c>
      <c r="I211" s="294">
        <f t="shared" si="13"/>
        <v>106395.68209741016</v>
      </c>
    </row>
    <row r="212" spans="1:9" s="35" customFormat="1" x14ac:dyDescent="0.25">
      <c r="A212" s="38">
        <f>Données!A206</f>
        <v>5743</v>
      </c>
      <c r="B212" s="473" t="str">
        <f>Données!B206</f>
        <v>Arnex-sur-Orbe</v>
      </c>
      <c r="C212" s="31">
        <f>VPI!R206</f>
        <v>19423.544507042254</v>
      </c>
      <c r="D212" s="8">
        <f>Données!N206</f>
        <v>27200.2</v>
      </c>
      <c r="E212" s="221">
        <f>Données!O206+Données!P206+Données!R206</f>
        <v>161662</v>
      </c>
      <c r="F212" s="440">
        <f t="shared" si="11"/>
        <v>88991.06</v>
      </c>
      <c r="G212" s="440">
        <f>Ecrêtage!M206</f>
        <v>0</v>
      </c>
      <c r="H212" s="441">
        <f t="shared" si="12"/>
        <v>226430.09826170938</v>
      </c>
      <c r="I212" s="294">
        <f t="shared" si="13"/>
        <v>315421.15826170938</v>
      </c>
    </row>
    <row r="213" spans="1:9" s="35" customFormat="1" x14ac:dyDescent="0.25">
      <c r="A213" s="38">
        <f>Données!A207</f>
        <v>5744</v>
      </c>
      <c r="B213" s="473" t="str">
        <f>Données!B207</f>
        <v>Ballaigues</v>
      </c>
      <c r="C213" s="31">
        <f>VPI!R207</f>
        <v>54105.101538461538</v>
      </c>
      <c r="D213" s="8">
        <f>Données!N207</f>
        <v>1643117.75</v>
      </c>
      <c r="E213" s="221">
        <f>Données!O207+Données!P207+Données!R207</f>
        <v>168565</v>
      </c>
      <c r="F213" s="440">
        <f t="shared" si="11"/>
        <v>577217.82499999995</v>
      </c>
      <c r="G213" s="440">
        <f>Ecrêtage!M207</f>
        <v>0</v>
      </c>
      <c r="H213" s="441">
        <f t="shared" si="12"/>
        <v>630730.57820995781</v>
      </c>
      <c r="I213" s="294">
        <f t="shared" si="13"/>
        <v>1207948.4032099578</v>
      </c>
    </row>
    <row r="214" spans="1:9" s="35" customFormat="1" x14ac:dyDescent="0.25">
      <c r="A214" s="38">
        <f>Données!A208</f>
        <v>5745</v>
      </c>
      <c r="B214" s="473" t="str">
        <f>Données!B208</f>
        <v>Baulmes</v>
      </c>
      <c r="C214" s="31">
        <f>VPI!R208</f>
        <v>27705.104967320265</v>
      </c>
      <c r="D214" s="8">
        <f>Données!N208</f>
        <v>212726.7</v>
      </c>
      <c r="E214" s="221">
        <f>Données!O208+Données!P208+Données!R208</f>
        <v>145742.70000000001</v>
      </c>
      <c r="F214" s="440">
        <f t="shared" si="11"/>
        <v>136689.36000000002</v>
      </c>
      <c r="G214" s="440">
        <f>Ecrêtage!M208</f>
        <v>0</v>
      </c>
      <c r="H214" s="441">
        <f t="shared" si="12"/>
        <v>322972.44397524081</v>
      </c>
      <c r="I214" s="294">
        <f t="shared" si="13"/>
        <v>459661.80397524079</v>
      </c>
    </row>
    <row r="215" spans="1:9" s="35" customFormat="1" x14ac:dyDescent="0.25">
      <c r="A215" s="38">
        <f>Données!A209</f>
        <v>5746</v>
      </c>
      <c r="B215" s="473" t="str">
        <f>Données!B209</f>
        <v>Bavois</v>
      </c>
      <c r="C215" s="31">
        <f>VPI!R209</f>
        <v>29513.59275462963</v>
      </c>
      <c r="D215" s="8">
        <f>Données!N209</f>
        <v>4091.65</v>
      </c>
      <c r="E215" s="221">
        <f>Données!O209+Données!P209+Données!R209</f>
        <v>251850.59999999998</v>
      </c>
      <c r="F215" s="440">
        <f t="shared" si="11"/>
        <v>127152.79499999998</v>
      </c>
      <c r="G215" s="440">
        <f>Ecrêtage!M209</f>
        <v>0</v>
      </c>
      <c r="H215" s="441">
        <f t="shared" si="12"/>
        <v>344054.90228953521</v>
      </c>
      <c r="I215" s="294">
        <f t="shared" si="13"/>
        <v>471207.69728953519</v>
      </c>
    </row>
    <row r="216" spans="1:9" s="35" customFormat="1" x14ac:dyDescent="0.25">
      <c r="A216" s="38">
        <f>Données!A210</f>
        <v>5747</v>
      </c>
      <c r="B216" s="473" t="str">
        <f>Données!B210</f>
        <v>Bofflens</v>
      </c>
      <c r="C216" s="31">
        <f>VPI!R210</f>
        <v>5778.0378260869547</v>
      </c>
      <c r="D216" s="8">
        <f>Données!N210</f>
        <v>0</v>
      </c>
      <c r="E216" s="221">
        <f>Données!O210+Données!P210+Données!R210</f>
        <v>79297.5</v>
      </c>
      <c r="F216" s="440">
        <f t="shared" si="11"/>
        <v>39648.75</v>
      </c>
      <c r="G216" s="440">
        <f>Ecrêtage!M210</f>
        <v>0</v>
      </c>
      <c r="H216" s="441">
        <f t="shared" si="12"/>
        <v>67357.514085361414</v>
      </c>
      <c r="I216" s="294">
        <f t="shared" si="13"/>
        <v>107006.26408536141</v>
      </c>
    </row>
    <row r="217" spans="1:9" s="35" customFormat="1" x14ac:dyDescent="0.25">
      <c r="A217" s="38">
        <f>Données!A211</f>
        <v>5748</v>
      </c>
      <c r="B217" s="473" t="str">
        <f>Données!B211</f>
        <v>Bretonnières</v>
      </c>
      <c r="C217" s="31">
        <f>VPI!R211</f>
        <v>6762.4759338061467</v>
      </c>
      <c r="D217" s="8">
        <f>Données!N211</f>
        <v>1720.55</v>
      </c>
      <c r="E217" s="221">
        <f>Données!O211+Données!P211+Données!R211</f>
        <v>38967.949999999997</v>
      </c>
      <c r="F217" s="440">
        <f t="shared" si="11"/>
        <v>20000.14</v>
      </c>
      <c r="G217" s="440">
        <f>Ecrêtage!M211</f>
        <v>0</v>
      </c>
      <c r="H217" s="441">
        <f t="shared" si="12"/>
        <v>78833.607822146179</v>
      </c>
      <c r="I217" s="294">
        <f t="shared" si="13"/>
        <v>98833.747822146179</v>
      </c>
    </row>
    <row r="218" spans="1:9" s="35" customFormat="1" x14ac:dyDescent="0.25">
      <c r="A218" s="38">
        <f>Données!A212</f>
        <v>5749</v>
      </c>
      <c r="B218" s="473" t="str">
        <f>Données!B212</f>
        <v>Chavornay</v>
      </c>
      <c r="C218" s="31">
        <f>VPI!R212</f>
        <v>144692.07858156026</v>
      </c>
      <c r="D218" s="8">
        <f>Données!N212</f>
        <v>650839.5</v>
      </c>
      <c r="E218" s="221">
        <f>Données!O212+Données!P212+Données!R212</f>
        <v>470950.10000000003</v>
      </c>
      <c r="F218" s="440">
        <f t="shared" si="11"/>
        <v>430726.9</v>
      </c>
      <c r="G218" s="440">
        <f>Ecrêtage!M212</f>
        <v>0</v>
      </c>
      <c r="H218" s="441">
        <f t="shared" si="12"/>
        <v>1686748.86084953</v>
      </c>
      <c r="I218" s="294">
        <f t="shared" si="13"/>
        <v>2117475.7608495299</v>
      </c>
    </row>
    <row r="219" spans="1:9" s="35" customFormat="1" x14ac:dyDescent="0.25">
      <c r="A219" s="38">
        <f>Données!A213</f>
        <v>5750</v>
      </c>
      <c r="B219" s="473" t="str">
        <f>Données!B213</f>
        <v>Les Clées</v>
      </c>
      <c r="C219" s="31">
        <f>VPI!R213</f>
        <v>5460.4465833333343</v>
      </c>
      <c r="D219" s="8">
        <f>Données!N213</f>
        <v>9772.5499999999993</v>
      </c>
      <c r="E219" s="221">
        <f>Données!O213+Données!P213+Données!R213</f>
        <v>55920.55</v>
      </c>
      <c r="F219" s="440">
        <f t="shared" si="11"/>
        <v>30892.04</v>
      </c>
      <c r="G219" s="440">
        <f>Ecrêtage!M213</f>
        <v>0</v>
      </c>
      <c r="H219" s="441">
        <f t="shared" si="12"/>
        <v>63655.192077259955</v>
      </c>
      <c r="I219" s="294">
        <f t="shared" si="13"/>
        <v>94547.232077259949</v>
      </c>
    </row>
    <row r="220" spans="1:9" s="35" customFormat="1" x14ac:dyDescent="0.25">
      <c r="A220" s="38">
        <f>Données!A214</f>
        <v>5752</v>
      </c>
      <c r="B220" s="473" t="str">
        <f>Données!B214</f>
        <v>Croy</v>
      </c>
      <c r="C220" s="31">
        <f>VPI!R214</f>
        <v>10204.254034749034</v>
      </c>
      <c r="D220" s="8">
        <f>Données!N214</f>
        <v>34274.050000000003</v>
      </c>
      <c r="E220" s="221">
        <f>Données!O214+Données!P214+Données!R214</f>
        <v>30677</v>
      </c>
      <c r="F220" s="440">
        <f t="shared" si="11"/>
        <v>25620.715</v>
      </c>
      <c r="G220" s="440">
        <f>Ecrêtage!M214</f>
        <v>0</v>
      </c>
      <c r="H220" s="441">
        <f t="shared" si="12"/>
        <v>118956.15874527683</v>
      </c>
      <c r="I220" s="294">
        <f t="shared" si="13"/>
        <v>144576.87374527683</v>
      </c>
    </row>
    <row r="221" spans="1:9" s="35" customFormat="1" x14ac:dyDescent="0.25">
      <c r="A221" s="38">
        <f>Données!A215</f>
        <v>5754</v>
      </c>
      <c r="B221" s="473" t="str">
        <f>Données!B215</f>
        <v>Juriens</v>
      </c>
      <c r="C221" s="31">
        <f>VPI!R215</f>
        <v>8633.2483544303759</v>
      </c>
      <c r="D221" s="8">
        <f>Données!N215</f>
        <v>0</v>
      </c>
      <c r="E221" s="221">
        <f>Données!O215+Données!P215+Données!R215</f>
        <v>325112.40000000002</v>
      </c>
      <c r="F221" s="440">
        <f t="shared" si="11"/>
        <v>162556.20000000001</v>
      </c>
      <c r="G221" s="440">
        <f>Ecrêtage!M215</f>
        <v>0</v>
      </c>
      <c r="H221" s="441">
        <f t="shared" si="12"/>
        <v>100642.14966030857</v>
      </c>
      <c r="I221" s="294">
        <f t="shared" si="13"/>
        <v>263198.34966030857</v>
      </c>
    </row>
    <row r="222" spans="1:9" s="35" customFormat="1" x14ac:dyDescent="0.25">
      <c r="A222" s="38">
        <f>Données!A216</f>
        <v>5755</v>
      </c>
      <c r="B222" s="473" t="str">
        <f>Données!B216</f>
        <v>Lignerolle</v>
      </c>
      <c r="C222" s="31">
        <f>VPI!R216</f>
        <v>10920.942602365787</v>
      </c>
      <c r="D222" s="8">
        <f>Données!N216</f>
        <v>50773.55</v>
      </c>
      <c r="E222" s="221">
        <f>Données!O216+Données!P216+Données!R216</f>
        <v>73124.95</v>
      </c>
      <c r="F222" s="440">
        <f t="shared" si="11"/>
        <v>51794.54</v>
      </c>
      <c r="G222" s="440">
        <f>Ecrêtage!M216</f>
        <v>0</v>
      </c>
      <c r="H222" s="441">
        <f t="shared" si="12"/>
        <v>127310.9604515086</v>
      </c>
      <c r="I222" s="294">
        <f t="shared" si="13"/>
        <v>179105.50045150859</v>
      </c>
    </row>
    <row r="223" spans="1:9" s="35" customFormat="1" x14ac:dyDescent="0.25">
      <c r="A223" s="38">
        <f>Données!A217</f>
        <v>5756</v>
      </c>
      <c r="B223" s="473" t="str">
        <f>Données!B217</f>
        <v>Montcherand</v>
      </c>
      <c r="C223" s="31">
        <f>VPI!R217</f>
        <v>17503.400416666664</v>
      </c>
      <c r="D223" s="8">
        <f>Données!N217</f>
        <v>11823.3</v>
      </c>
      <c r="E223" s="221">
        <f>Données!O217+Données!P217+Données!R217</f>
        <v>19326.25</v>
      </c>
      <c r="F223" s="440">
        <f t="shared" si="11"/>
        <v>13210.115</v>
      </c>
      <c r="G223" s="440">
        <f>Ecrêtage!M217</f>
        <v>0</v>
      </c>
      <c r="H223" s="441">
        <f t="shared" si="12"/>
        <v>204046.00585762985</v>
      </c>
      <c r="I223" s="294">
        <f t="shared" si="13"/>
        <v>217256.12085762984</v>
      </c>
    </row>
    <row r="224" spans="1:9" s="35" customFormat="1" x14ac:dyDescent="0.25">
      <c r="A224" s="38">
        <f>Données!A218</f>
        <v>5757</v>
      </c>
      <c r="B224" s="473" t="str">
        <f>Données!B218</f>
        <v>Orbe</v>
      </c>
      <c r="C224" s="31">
        <f>VPI!R218</f>
        <v>217762.06927152316</v>
      </c>
      <c r="D224" s="8">
        <f>Données!N218</f>
        <v>3330927</v>
      </c>
      <c r="E224" s="221">
        <f>Données!O218+Données!P218+Données!R218</f>
        <v>1528466.2000000002</v>
      </c>
      <c r="F224" s="440">
        <f t="shared" si="11"/>
        <v>1763511.2000000002</v>
      </c>
      <c r="G224" s="440">
        <f>Ecrêtage!M218</f>
        <v>0</v>
      </c>
      <c r="H224" s="441">
        <f t="shared" si="12"/>
        <v>2538562.7594874329</v>
      </c>
      <c r="I224" s="294">
        <f t="shared" si="13"/>
        <v>4302073.9594874326</v>
      </c>
    </row>
    <row r="225" spans="1:9" s="35" customFormat="1" x14ac:dyDescent="0.25">
      <c r="A225" s="38">
        <f>Données!A219</f>
        <v>5758</v>
      </c>
      <c r="B225" s="473" t="str">
        <f>Données!B219</f>
        <v>La Praz</v>
      </c>
      <c r="C225" s="31">
        <f>VPI!R219</f>
        <v>4500.7334939759048</v>
      </c>
      <c r="D225" s="8">
        <f>Données!N219</f>
        <v>497.55</v>
      </c>
      <c r="E225" s="221">
        <f>Données!O219+Données!P219+Données!R219</f>
        <v>2090</v>
      </c>
      <c r="F225" s="440">
        <f t="shared" si="11"/>
        <v>1194.2649999999999</v>
      </c>
      <c r="G225" s="440">
        <f>Ecrêtage!M219</f>
        <v>0</v>
      </c>
      <c r="H225" s="441">
        <f t="shared" si="12"/>
        <v>52467.330405181325</v>
      </c>
      <c r="I225" s="294">
        <f t="shared" si="13"/>
        <v>53661.595405181324</v>
      </c>
    </row>
    <row r="226" spans="1:9" s="35" customFormat="1" x14ac:dyDescent="0.25">
      <c r="A226" s="38">
        <f>Données!A220</f>
        <v>5759</v>
      </c>
      <c r="B226" s="473" t="str">
        <f>Données!B220</f>
        <v>Premier</v>
      </c>
      <c r="C226" s="31">
        <f>VPI!R220</f>
        <v>5667.0675471698114</v>
      </c>
      <c r="D226" s="8">
        <f>Données!N220</f>
        <v>4142.25</v>
      </c>
      <c r="E226" s="221">
        <f>Données!O220+Données!P220+Données!R220</f>
        <v>41408.65</v>
      </c>
      <c r="F226" s="440">
        <f t="shared" si="11"/>
        <v>21947</v>
      </c>
      <c r="G226" s="440">
        <f>Ecrêtage!M220</f>
        <v>0</v>
      </c>
      <c r="H226" s="441">
        <f t="shared" si="12"/>
        <v>66063.877326621106</v>
      </c>
      <c r="I226" s="294">
        <f t="shared" si="13"/>
        <v>88010.877326621106</v>
      </c>
    </row>
    <row r="227" spans="1:9" s="35" customFormat="1" x14ac:dyDescent="0.25">
      <c r="A227" s="38">
        <f>Données!A221</f>
        <v>5760</v>
      </c>
      <c r="B227" s="473" t="str">
        <f>Données!B221</f>
        <v>Rances</v>
      </c>
      <c r="C227" s="31">
        <f>VPI!R221</f>
        <v>16308.735686274507</v>
      </c>
      <c r="D227" s="8">
        <f>Données!N221</f>
        <v>31918.75</v>
      </c>
      <c r="E227" s="221">
        <f>Données!O221+Données!P221+Données!R221</f>
        <v>122747.29999999999</v>
      </c>
      <c r="F227" s="440">
        <f t="shared" si="11"/>
        <v>70949.274999999994</v>
      </c>
      <c r="G227" s="440">
        <f>Ecrêtage!M221</f>
        <v>0</v>
      </c>
      <c r="H227" s="441">
        <f t="shared" si="12"/>
        <v>190119.19387980478</v>
      </c>
      <c r="I227" s="294">
        <f t="shared" si="13"/>
        <v>261068.46887980477</v>
      </c>
    </row>
    <row r="228" spans="1:9" s="35" customFormat="1" x14ac:dyDescent="0.25">
      <c r="A228" s="38">
        <f>Données!A222</f>
        <v>5761</v>
      </c>
      <c r="B228" s="473" t="str">
        <f>Données!B222</f>
        <v>Romainmôtier-Envy</v>
      </c>
      <c r="C228" s="31">
        <f>VPI!R222</f>
        <v>14407.779147025813</v>
      </c>
      <c r="D228" s="8">
        <f>Données!N222</f>
        <v>75342.05</v>
      </c>
      <c r="E228" s="221">
        <f>Données!O222+Données!P222+Données!R222</f>
        <v>50770.2</v>
      </c>
      <c r="F228" s="440">
        <f t="shared" si="11"/>
        <v>47987.714999999997</v>
      </c>
      <c r="G228" s="440">
        <f>Ecrêtage!M222</f>
        <v>0</v>
      </c>
      <c r="H228" s="441">
        <f t="shared" si="12"/>
        <v>167958.78047960062</v>
      </c>
      <c r="I228" s="294">
        <f t="shared" si="13"/>
        <v>215946.49547960062</v>
      </c>
    </row>
    <row r="229" spans="1:9" s="35" customFormat="1" x14ac:dyDescent="0.25">
      <c r="A229" s="38">
        <f>Données!A223</f>
        <v>5762</v>
      </c>
      <c r="B229" s="473" t="str">
        <f>Données!B223</f>
        <v>Sergey</v>
      </c>
      <c r="C229" s="31">
        <f>VPI!R223</f>
        <v>3741.4505128205124</v>
      </c>
      <c r="D229" s="8">
        <f>Données!N223</f>
        <v>11860.15</v>
      </c>
      <c r="E229" s="221">
        <f>Données!O223+Données!P223+Données!R223</f>
        <v>6230.7</v>
      </c>
      <c r="F229" s="440">
        <f t="shared" si="11"/>
        <v>6673.3949999999995</v>
      </c>
      <c r="G229" s="440">
        <f>Ecrêtage!M223</f>
        <v>0</v>
      </c>
      <c r="H229" s="441">
        <f t="shared" si="12"/>
        <v>43615.98404205354</v>
      </c>
      <c r="I229" s="294">
        <f t="shared" si="13"/>
        <v>50289.379042053537</v>
      </c>
    </row>
    <row r="230" spans="1:9" s="35" customFormat="1" x14ac:dyDescent="0.25">
      <c r="A230" s="38">
        <f>Données!A224</f>
        <v>5763</v>
      </c>
      <c r="B230" s="473" t="str">
        <f>Données!B224</f>
        <v>Valeyres-sous-Rances</v>
      </c>
      <c r="C230" s="31">
        <f>VPI!R224</f>
        <v>22297.189859154929</v>
      </c>
      <c r="D230" s="8">
        <f>Données!N224</f>
        <v>28645.15</v>
      </c>
      <c r="E230" s="221">
        <f>Données!O224+Données!P224+Données!R224</f>
        <v>22840.15</v>
      </c>
      <c r="F230" s="440">
        <f t="shared" si="11"/>
        <v>20013.620000000003</v>
      </c>
      <c r="G230" s="440">
        <f>Ecrêtage!M224</f>
        <v>0</v>
      </c>
      <c r="H230" s="441">
        <f t="shared" si="12"/>
        <v>259929.63791639317</v>
      </c>
      <c r="I230" s="294">
        <f t="shared" si="13"/>
        <v>279943.25791639317</v>
      </c>
    </row>
    <row r="231" spans="1:9" s="35" customFormat="1" x14ac:dyDescent="0.25">
      <c r="A231" s="38">
        <f>Données!A225</f>
        <v>5764</v>
      </c>
      <c r="B231" s="473" t="str">
        <f>Données!B225</f>
        <v>Vallorbe</v>
      </c>
      <c r="C231" s="31">
        <f>VPI!R225</f>
        <v>83717.114965034954</v>
      </c>
      <c r="D231" s="8">
        <f>Données!N225</f>
        <v>2438828.15</v>
      </c>
      <c r="E231" s="221">
        <f>Données!O225+Données!P225+Données!R225</f>
        <v>651890.39999999991</v>
      </c>
      <c r="F231" s="440">
        <f t="shared" si="11"/>
        <v>1057593.645</v>
      </c>
      <c r="G231" s="440">
        <f>Ecrêtage!M225</f>
        <v>0</v>
      </c>
      <c r="H231" s="441">
        <f t="shared" si="12"/>
        <v>975932.82013212983</v>
      </c>
      <c r="I231" s="294">
        <f t="shared" si="13"/>
        <v>2033526.4651321298</v>
      </c>
    </row>
    <row r="232" spans="1:9" s="35" customFormat="1" x14ac:dyDescent="0.25">
      <c r="A232" s="38">
        <f>Données!A226</f>
        <v>5765</v>
      </c>
      <c r="B232" s="473" t="str">
        <f>Données!B226</f>
        <v>Vaulion</v>
      </c>
      <c r="C232" s="31">
        <f>VPI!R226</f>
        <v>9628.0504938271606</v>
      </c>
      <c r="D232" s="8">
        <f>Données!N226</f>
        <v>28577.200000000001</v>
      </c>
      <c r="E232" s="221">
        <f>Données!O226+Données!P226+Données!R226</f>
        <v>13833.349999999999</v>
      </c>
      <c r="F232" s="440">
        <f t="shared" si="11"/>
        <v>15489.834999999999</v>
      </c>
      <c r="G232" s="440">
        <f>Ecrêtage!M226</f>
        <v>0</v>
      </c>
      <c r="H232" s="441">
        <f t="shared" si="12"/>
        <v>112239.0621647644</v>
      </c>
      <c r="I232" s="294">
        <f t="shared" si="13"/>
        <v>127728.89716476441</v>
      </c>
    </row>
    <row r="233" spans="1:9" s="35" customFormat="1" x14ac:dyDescent="0.25">
      <c r="A233" s="38">
        <f>Données!A227</f>
        <v>5766</v>
      </c>
      <c r="B233" s="473" t="str">
        <f>Données!B227</f>
        <v>Vuiteboeuf</v>
      </c>
      <c r="C233" s="31">
        <f>VPI!R227</f>
        <v>15422.760361904762</v>
      </c>
      <c r="D233" s="8">
        <f>Données!N227</f>
        <v>34762.300000000003</v>
      </c>
      <c r="E233" s="221">
        <f>Données!O227+Données!P227+Données!R227</f>
        <v>169681.75</v>
      </c>
      <c r="F233" s="440">
        <f t="shared" si="11"/>
        <v>95269.565000000002</v>
      </c>
      <c r="G233" s="440">
        <f>Ecrêtage!M227</f>
        <v>0</v>
      </c>
      <c r="H233" s="441">
        <f t="shared" si="12"/>
        <v>179790.93068964619</v>
      </c>
      <c r="I233" s="294">
        <f t="shared" si="13"/>
        <v>275060.49568964622</v>
      </c>
    </row>
    <row r="234" spans="1:9" s="35" customFormat="1" x14ac:dyDescent="0.25">
      <c r="A234" s="38">
        <f>Données!A228</f>
        <v>5785</v>
      </c>
      <c r="B234" s="473" t="str">
        <f>Données!B228</f>
        <v>Corcelles-le-Jorat</v>
      </c>
      <c r="C234" s="31">
        <f>VPI!R228</f>
        <v>15461.968933333332</v>
      </c>
      <c r="D234" s="8">
        <f>Données!N228</f>
        <v>0</v>
      </c>
      <c r="E234" s="221">
        <f>Données!O228+Données!P228+Données!R228</f>
        <v>36292.25</v>
      </c>
      <c r="F234" s="440">
        <f t="shared" si="11"/>
        <v>18146.125</v>
      </c>
      <c r="G234" s="440">
        <f>Ecrêtage!M228</f>
        <v>0</v>
      </c>
      <c r="H234" s="441">
        <f t="shared" si="12"/>
        <v>180248.00486980181</v>
      </c>
      <c r="I234" s="294">
        <f t="shared" si="13"/>
        <v>198394.12986980181</v>
      </c>
    </row>
    <row r="235" spans="1:9" s="35" customFormat="1" x14ac:dyDescent="0.25">
      <c r="A235" s="38">
        <f>Données!A229</f>
        <v>5790</v>
      </c>
      <c r="B235" s="473" t="str">
        <f>Données!B229</f>
        <v>Maracon</v>
      </c>
      <c r="C235" s="31">
        <f>VPI!R229</f>
        <v>16326.697583892621</v>
      </c>
      <c r="D235" s="8">
        <f>Données!N229</f>
        <v>8883.9500000000007</v>
      </c>
      <c r="E235" s="221">
        <f>Données!O229+Données!P229+Données!R229</f>
        <v>21054.25</v>
      </c>
      <c r="F235" s="440">
        <f t="shared" si="11"/>
        <v>13192.31</v>
      </c>
      <c r="G235" s="440">
        <f>Ecrêtage!M229</f>
        <v>0</v>
      </c>
      <c r="H235" s="441">
        <f t="shared" si="12"/>
        <v>190328.58481981378</v>
      </c>
      <c r="I235" s="294">
        <f t="shared" si="13"/>
        <v>203520.89481981378</v>
      </c>
    </row>
    <row r="236" spans="1:9" s="35" customFormat="1" x14ac:dyDescent="0.25">
      <c r="A236" s="38">
        <f>Données!A230</f>
        <v>5792</v>
      </c>
      <c r="B236" s="473" t="str">
        <f>Données!B230</f>
        <v>Montpreveyres</v>
      </c>
      <c r="C236" s="31">
        <f>VPI!R230</f>
        <v>19363.161854304632</v>
      </c>
      <c r="D236" s="8">
        <f>Données!N230</f>
        <v>0</v>
      </c>
      <c r="E236" s="221">
        <f>Données!O230+Données!P230+Données!R230</f>
        <v>39045.4</v>
      </c>
      <c r="F236" s="440">
        <f t="shared" si="11"/>
        <v>19522.7</v>
      </c>
      <c r="G236" s="440">
        <f>Ecrêtage!M230</f>
        <v>0</v>
      </c>
      <c r="H236" s="441">
        <f t="shared" si="12"/>
        <v>225726.18708897132</v>
      </c>
      <c r="I236" s="294">
        <f t="shared" si="13"/>
        <v>245248.88708897133</v>
      </c>
    </row>
    <row r="237" spans="1:9" s="35" customFormat="1" x14ac:dyDescent="0.25">
      <c r="A237" s="38">
        <f>Données!A231</f>
        <v>5798</v>
      </c>
      <c r="B237" s="473" t="str">
        <f>Données!B231</f>
        <v>Ropraz</v>
      </c>
      <c r="C237" s="31">
        <f>VPI!R231</f>
        <v>16208.351096774193</v>
      </c>
      <c r="D237" s="8">
        <f>Données!N231</f>
        <v>23607.15</v>
      </c>
      <c r="E237" s="221">
        <f>Données!O231+Données!P231+Données!R231</f>
        <v>62337.600000000006</v>
      </c>
      <c r="F237" s="440">
        <f t="shared" si="11"/>
        <v>38250.945000000007</v>
      </c>
      <c r="G237" s="440">
        <f>Ecrêtage!M231</f>
        <v>0</v>
      </c>
      <c r="H237" s="441">
        <f t="shared" si="12"/>
        <v>188948.95986529335</v>
      </c>
      <c r="I237" s="294">
        <f t="shared" si="13"/>
        <v>227199.90486529336</v>
      </c>
    </row>
    <row r="238" spans="1:9" s="35" customFormat="1" x14ac:dyDescent="0.25">
      <c r="A238" s="38">
        <f>Données!A232</f>
        <v>5799</v>
      </c>
      <c r="B238" s="473" t="str">
        <f>Données!B232</f>
        <v>Servion</v>
      </c>
      <c r="C238" s="31">
        <f>VPI!R232</f>
        <v>73170.718115942043</v>
      </c>
      <c r="D238" s="8">
        <f>Données!N232</f>
        <v>35318.199999999997</v>
      </c>
      <c r="E238" s="221">
        <f>Données!O232+Données!P232+Données!R232</f>
        <v>823281.3</v>
      </c>
      <c r="F238" s="440">
        <f t="shared" si="11"/>
        <v>422236.11000000004</v>
      </c>
      <c r="G238" s="440">
        <f>Ecrêtage!M232</f>
        <v>0</v>
      </c>
      <c r="H238" s="441">
        <f t="shared" si="12"/>
        <v>852988.1292709288</v>
      </c>
      <c r="I238" s="294">
        <f t="shared" si="13"/>
        <v>1275224.2392709288</v>
      </c>
    </row>
    <row r="239" spans="1:9" s="35" customFormat="1" x14ac:dyDescent="0.25">
      <c r="A239" s="38">
        <f>Données!A233</f>
        <v>5803</v>
      </c>
      <c r="B239" s="473" t="str">
        <f>Données!B233</f>
        <v>Vulliens</v>
      </c>
      <c r="C239" s="31">
        <f>VPI!R233</f>
        <v>16577.57405405405</v>
      </c>
      <c r="D239" s="8">
        <f>Données!N233</f>
        <v>1523.85</v>
      </c>
      <c r="E239" s="221">
        <f>Données!O233+Données!P233+Données!R233</f>
        <v>135281.45000000001</v>
      </c>
      <c r="F239" s="440">
        <f t="shared" si="11"/>
        <v>68097.88</v>
      </c>
      <c r="G239" s="440">
        <f>Ecrêtage!M233</f>
        <v>0</v>
      </c>
      <c r="H239" s="441">
        <f t="shared" si="12"/>
        <v>193253.1789261885</v>
      </c>
      <c r="I239" s="294">
        <f t="shared" si="13"/>
        <v>261351.0589261885</v>
      </c>
    </row>
    <row r="240" spans="1:9" s="35" customFormat="1" x14ac:dyDescent="0.25">
      <c r="A240" s="38">
        <f>Données!A234</f>
        <v>5804</v>
      </c>
      <c r="B240" s="473" t="str">
        <f>Données!B234</f>
        <v>Jorat-Menthue</v>
      </c>
      <c r="C240" s="31">
        <f>VPI!R234</f>
        <v>45125.345957446807</v>
      </c>
      <c r="D240" s="8">
        <f>Données!N234</f>
        <v>14036.3</v>
      </c>
      <c r="E240" s="221">
        <f>Données!O234+Données!P234+Données!R234</f>
        <v>199966.45</v>
      </c>
      <c r="F240" s="440">
        <f t="shared" si="11"/>
        <v>104194.11500000001</v>
      </c>
      <c r="G240" s="440">
        <f>Ecrêtage!M234</f>
        <v>0</v>
      </c>
      <c r="H240" s="441">
        <f t="shared" si="12"/>
        <v>526049.01826923201</v>
      </c>
      <c r="I240" s="294">
        <f t="shared" si="13"/>
        <v>630243.133269232</v>
      </c>
    </row>
    <row r="241" spans="1:9" s="35" customFormat="1" x14ac:dyDescent="0.25">
      <c r="A241" s="38">
        <f>Données!A235</f>
        <v>5805</v>
      </c>
      <c r="B241" s="473" t="str">
        <f>Données!B235</f>
        <v>Oron</v>
      </c>
      <c r="C241" s="31">
        <f>VPI!R235</f>
        <v>174509.83123847167</v>
      </c>
      <c r="D241" s="8">
        <f>Données!N235</f>
        <v>146218.9</v>
      </c>
      <c r="E241" s="221">
        <f>Données!O235+Données!P235+Données!R235</f>
        <v>906430.55</v>
      </c>
      <c r="F241" s="440">
        <f t="shared" si="11"/>
        <v>497080.94500000001</v>
      </c>
      <c r="G241" s="440">
        <f>Ecrêtage!M235</f>
        <v>0</v>
      </c>
      <c r="H241" s="441">
        <f t="shared" si="12"/>
        <v>2034349.5092069863</v>
      </c>
      <c r="I241" s="294">
        <f t="shared" si="13"/>
        <v>2531430.4542069864</v>
      </c>
    </row>
    <row r="242" spans="1:9" s="35" customFormat="1" x14ac:dyDescent="0.25">
      <c r="A242" s="38">
        <f>Données!A236</f>
        <v>5806</v>
      </c>
      <c r="B242" s="473" t="str">
        <f>Données!B236</f>
        <v>Jorat-Mézières</v>
      </c>
      <c r="C242" s="31">
        <f>VPI!R236</f>
        <v>102977.86342465752</v>
      </c>
      <c r="D242" s="8">
        <f>Données!N236</f>
        <v>34602.65</v>
      </c>
      <c r="E242" s="221">
        <f>Données!O236+Données!P236+Données!R236</f>
        <v>723157.3</v>
      </c>
      <c r="F242" s="440">
        <f t="shared" si="11"/>
        <v>371959.44500000001</v>
      </c>
      <c r="G242" s="440">
        <f>Ecrêtage!M236</f>
        <v>0</v>
      </c>
      <c r="H242" s="441">
        <f t="shared" si="12"/>
        <v>1200465.122396796</v>
      </c>
      <c r="I242" s="294">
        <f t="shared" si="13"/>
        <v>1572424.5673967961</v>
      </c>
    </row>
    <row r="243" spans="1:9" s="35" customFormat="1" x14ac:dyDescent="0.25">
      <c r="A243" s="38">
        <f>Données!A237</f>
        <v>5812</v>
      </c>
      <c r="B243" s="473" t="str">
        <f>Données!B237</f>
        <v>Champtauroz</v>
      </c>
      <c r="C243" s="31">
        <f>VPI!R237</f>
        <v>3659.293116883116</v>
      </c>
      <c r="D243" s="8">
        <f>Données!N237</f>
        <v>0</v>
      </c>
      <c r="E243" s="221">
        <f>Données!O237+Données!P237+Données!R237</f>
        <v>46241.7</v>
      </c>
      <c r="F243" s="440">
        <f t="shared" si="11"/>
        <v>23120.85</v>
      </c>
      <c r="G243" s="440">
        <f>Ecrêtage!M237</f>
        <v>0</v>
      </c>
      <c r="H243" s="441">
        <f t="shared" si="12"/>
        <v>42658.233656778284</v>
      </c>
      <c r="I243" s="294">
        <f t="shared" si="13"/>
        <v>65779.083656778283</v>
      </c>
    </row>
    <row r="244" spans="1:9" s="35" customFormat="1" x14ac:dyDescent="0.25">
      <c r="A244" s="38">
        <f>Données!A238</f>
        <v>5813</v>
      </c>
      <c r="B244" s="473" t="str">
        <f>Données!B238</f>
        <v>Chevroux</v>
      </c>
      <c r="C244" s="31">
        <f>VPI!R238</f>
        <v>17498.80282238443</v>
      </c>
      <c r="D244" s="8">
        <f>Données!N238</f>
        <v>0</v>
      </c>
      <c r="E244" s="221">
        <f>Données!O238+Données!P238+Données!R238</f>
        <v>163566.75</v>
      </c>
      <c r="F244" s="440">
        <f t="shared" si="11"/>
        <v>81783.375</v>
      </c>
      <c r="G244" s="440">
        <f>Ecrêtage!M238</f>
        <v>0</v>
      </c>
      <c r="H244" s="441">
        <f t="shared" si="12"/>
        <v>203992.40937194639</v>
      </c>
      <c r="I244" s="294">
        <f t="shared" si="13"/>
        <v>285775.78437194636</v>
      </c>
    </row>
    <row r="245" spans="1:9" s="35" customFormat="1" x14ac:dyDescent="0.25">
      <c r="A245" s="38">
        <f>Données!A239</f>
        <v>5816</v>
      </c>
      <c r="B245" s="473" t="str">
        <f>Données!B239</f>
        <v>Corcelles-près-Payerne</v>
      </c>
      <c r="C245" s="31">
        <f>VPI!R239</f>
        <v>65701.749572471308</v>
      </c>
      <c r="D245" s="8">
        <f>Données!N239</f>
        <v>25586.25</v>
      </c>
      <c r="E245" s="221">
        <f>Données!O239+Données!P239+Données!R239</f>
        <v>416443.65</v>
      </c>
      <c r="F245" s="440">
        <f t="shared" si="11"/>
        <v>215897.7</v>
      </c>
      <c r="G245" s="440">
        <f>Ecrêtage!M239</f>
        <v>0</v>
      </c>
      <c r="H245" s="441">
        <f t="shared" si="12"/>
        <v>765918.57918965863</v>
      </c>
      <c r="I245" s="294">
        <f t="shared" si="13"/>
        <v>981816.27918965858</v>
      </c>
    </row>
    <row r="246" spans="1:9" s="35" customFormat="1" x14ac:dyDescent="0.25">
      <c r="A246" s="38">
        <f>Données!A240</f>
        <v>5817</v>
      </c>
      <c r="B246" s="473" t="str">
        <f>Données!B240</f>
        <v>Grandcour</v>
      </c>
      <c r="C246" s="31">
        <f>VPI!R240</f>
        <v>25916.897414965984</v>
      </c>
      <c r="D246" s="8">
        <f>Données!N240</f>
        <v>4888.55</v>
      </c>
      <c r="E246" s="221">
        <f>Données!O240+Données!P240+Données!R240</f>
        <v>195607.7</v>
      </c>
      <c r="F246" s="440">
        <f t="shared" si="11"/>
        <v>99270.415000000008</v>
      </c>
      <c r="G246" s="440">
        <f>Ecrêtage!M240</f>
        <v>0</v>
      </c>
      <c r="H246" s="441">
        <f t="shared" si="12"/>
        <v>302126.40263375919</v>
      </c>
      <c r="I246" s="294">
        <f t="shared" si="13"/>
        <v>401396.81763375923</v>
      </c>
    </row>
    <row r="247" spans="1:9" s="35" customFormat="1" x14ac:dyDescent="0.25">
      <c r="A247" s="38">
        <f>Données!A241</f>
        <v>5819</v>
      </c>
      <c r="B247" s="473" t="str">
        <f>Données!B241</f>
        <v>Henniez</v>
      </c>
      <c r="C247" s="31">
        <f>VPI!R241</f>
        <v>10275.75579710145</v>
      </c>
      <c r="D247" s="8">
        <f>Données!N241</f>
        <v>5775.65</v>
      </c>
      <c r="E247" s="221">
        <f>Données!O241+Données!P241+Données!R241</f>
        <v>178431.65</v>
      </c>
      <c r="F247" s="440">
        <f t="shared" si="11"/>
        <v>90948.52</v>
      </c>
      <c r="G247" s="440">
        <f>Ecrêtage!M241</f>
        <v>0</v>
      </c>
      <c r="H247" s="441">
        <f t="shared" si="12"/>
        <v>119789.69101172146</v>
      </c>
      <c r="I247" s="294">
        <f t="shared" si="13"/>
        <v>210738.21101172146</v>
      </c>
    </row>
    <row r="248" spans="1:9" s="35" customFormat="1" x14ac:dyDescent="0.25">
      <c r="A248" s="38">
        <f>Données!A242</f>
        <v>5821</v>
      </c>
      <c r="B248" s="473" t="str">
        <f>Données!B242</f>
        <v>Missy</v>
      </c>
      <c r="C248" s="31">
        <f>VPI!R242</f>
        <v>8375.965000000002</v>
      </c>
      <c r="D248" s="8">
        <f>Données!N242</f>
        <v>0</v>
      </c>
      <c r="E248" s="221">
        <f>Données!O242+Données!P242+Données!R242</f>
        <v>80545.649999999994</v>
      </c>
      <c r="F248" s="440">
        <f t="shared" si="11"/>
        <v>40272.824999999997</v>
      </c>
      <c r="G248" s="440">
        <f>Ecrêtage!M242</f>
        <v>0</v>
      </c>
      <c r="H248" s="441">
        <f t="shared" si="12"/>
        <v>97642.867258291255</v>
      </c>
      <c r="I248" s="294">
        <f t="shared" si="13"/>
        <v>137915.69225829124</v>
      </c>
    </row>
    <row r="249" spans="1:9" s="35" customFormat="1" x14ac:dyDescent="0.25">
      <c r="A249" s="38">
        <f>Données!A243</f>
        <v>5822</v>
      </c>
      <c r="B249" s="473" t="str">
        <f>Données!B243</f>
        <v>Payerne</v>
      </c>
      <c r="C249" s="31">
        <f>VPI!R243</f>
        <v>226844.26479452057</v>
      </c>
      <c r="D249" s="8">
        <f>Données!N243</f>
        <v>423703.7</v>
      </c>
      <c r="E249" s="221">
        <f>Données!O243+Données!P243+Données!R243</f>
        <v>1791234</v>
      </c>
      <c r="F249" s="440">
        <f t="shared" si="11"/>
        <v>1022728.11</v>
      </c>
      <c r="G249" s="440">
        <f>Ecrêtage!M243</f>
        <v>0</v>
      </c>
      <c r="H249" s="441">
        <f t="shared" si="12"/>
        <v>2644438.5137277963</v>
      </c>
      <c r="I249" s="294">
        <f t="shared" si="13"/>
        <v>3667166.6237277961</v>
      </c>
    </row>
    <row r="250" spans="1:9" s="35" customFormat="1" x14ac:dyDescent="0.25">
      <c r="A250" s="38">
        <f>Données!A244</f>
        <v>5827</v>
      </c>
      <c r="B250" s="473" t="str">
        <f>Données!B244</f>
        <v>Trey</v>
      </c>
      <c r="C250" s="31">
        <f>VPI!R244</f>
        <v>7715.2558974358981</v>
      </c>
      <c r="D250" s="8">
        <f>Données!N244</f>
        <v>0</v>
      </c>
      <c r="E250" s="221">
        <f>Données!O244+Données!P244+Données!R244</f>
        <v>49273.350000000006</v>
      </c>
      <c r="F250" s="440">
        <f t="shared" si="11"/>
        <v>24636.675000000003</v>
      </c>
      <c r="G250" s="440">
        <f>Ecrêtage!M244</f>
        <v>0</v>
      </c>
      <c r="H250" s="441">
        <f t="shared" si="12"/>
        <v>89940.646535304535</v>
      </c>
      <c r="I250" s="294">
        <f t="shared" si="13"/>
        <v>114577.32153530454</v>
      </c>
    </row>
    <row r="251" spans="1:9" s="35" customFormat="1" x14ac:dyDescent="0.25">
      <c r="A251" s="38">
        <f>Données!A245</f>
        <v>5828</v>
      </c>
      <c r="B251" s="473" t="str">
        <f>Données!B245</f>
        <v>Treytorrens (Payerne)</v>
      </c>
      <c r="C251" s="31">
        <f>VPI!R245</f>
        <v>2864.8065848670758</v>
      </c>
      <c r="D251" s="8">
        <f>Données!N245</f>
        <v>0</v>
      </c>
      <c r="E251" s="221">
        <f>Données!O245+Données!P245+Données!R245</f>
        <v>21894.9</v>
      </c>
      <c r="F251" s="440">
        <f t="shared" si="11"/>
        <v>10947.45</v>
      </c>
      <c r="G251" s="440">
        <f>Ecrêtage!M245</f>
        <v>0</v>
      </c>
      <c r="H251" s="441">
        <f t="shared" si="12"/>
        <v>33396.501667193515</v>
      </c>
      <c r="I251" s="294">
        <f t="shared" si="13"/>
        <v>44343.951667193513</v>
      </c>
    </row>
    <row r="252" spans="1:9" s="35" customFormat="1" x14ac:dyDescent="0.25">
      <c r="A252" s="38">
        <f>Données!A246</f>
        <v>5830</v>
      </c>
      <c r="B252" s="473" t="str">
        <f>Données!B246</f>
        <v>Villarzel</v>
      </c>
      <c r="C252" s="31">
        <f>VPI!R246</f>
        <v>12474.180666666667</v>
      </c>
      <c r="D252" s="8">
        <f>Données!N246</f>
        <v>9722.5499999999993</v>
      </c>
      <c r="E252" s="221">
        <f>Données!O246+Données!P246+Données!R246</f>
        <v>57770.399999999994</v>
      </c>
      <c r="F252" s="440">
        <f t="shared" si="11"/>
        <v>31801.964999999997</v>
      </c>
      <c r="G252" s="440">
        <f>Ecrêtage!M246</f>
        <v>0</v>
      </c>
      <c r="H252" s="441">
        <f t="shared" si="12"/>
        <v>145417.84343550578</v>
      </c>
      <c r="I252" s="294">
        <f t="shared" si="13"/>
        <v>177219.80843550578</v>
      </c>
    </row>
    <row r="253" spans="1:9" s="35" customFormat="1" x14ac:dyDescent="0.25">
      <c r="A253" s="38">
        <f>Données!A247</f>
        <v>5831</v>
      </c>
      <c r="B253" s="473" t="str">
        <f>Données!B247</f>
        <v>Valbroye</v>
      </c>
      <c r="C253" s="31">
        <f>VPI!R247</f>
        <v>87470.557399527184</v>
      </c>
      <c r="D253" s="8">
        <f>Données!N247</f>
        <v>24200.65</v>
      </c>
      <c r="E253" s="221">
        <f>Données!O247+Données!P247+Données!R247</f>
        <v>1418602.2000000002</v>
      </c>
      <c r="F253" s="440">
        <f t="shared" si="11"/>
        <v>716561.29500000004</v>
      </c>
      <c r="G253" s="440">
        <f>Ecrêtage!M247</f>
        <v>0</v>
      </c>
      <c r="H253" s="441">
        <f t="shared" si="12"/>
        <v>1019688.6000802029</v>
      </c>
      <c r="I253" s="294">
        <f t="shared" si="13"/>
        <v>1736249.895080203</v>
      </c>
    </row>
    <row r="254" spans="1:9" s="35" customFormat="1" x14ac:dyDescent="0.25">
      <c r="A254" s="38">
        <f>Données!A248</f>
        <v>5841</v>
      </c>
      <c r="B254" s="473" t="str">
        <f>Données!B248</f>
        <v>Château-d'Oex</v>
      </c>
      <c r="C254" s="31">
        <f>VPI!R248</f>
        <v>123828.98781186093</v>
      </c>
      <c r="D254" s="8">
        <f>Données!N248</f>
        <v>7540.8</v>
      </c>
      <c r="E254" s="221">
        <f>Données!O248+Données!P248+Données!R248</f>
        <v>2229664.7999999998</v>
      </c>
      <c r="F254" s="440">
        <f t="shared" si="11"/>
        <v>1117094.6399999999</v>
      </c>
      <c r="G254" s="440">
        <f>Ecrêtage!M248</f>
        <v>0</v>
      </c>
      <c r="H254" s="441">
        <f t="shared" si="12"/>
        <v>1443537.2425317084</v>
      </c>
      <c r="I254" s="294">
        <f t="shared" si="13"/>
        <v>2560631.8825317081</v>
      </c>
    </row>
    <row r="255" spans="1:9" s="35" customFormat="1" x14ac:dyDescent="0.25">
      <c r="A255" s="38">
        <f>Données!A249</f>
        <v>5842</v>
      </c>
      <c r="B255" s="473" t="str">
        <f>Données!B249</f>
        <v>Rossinière</v>
      </c>
      <c r="C255" s="31">
        <f>VPI!R249</f>
        <v>16474.219053497945</v>
      </c>
      <c r="D255" s="8">
        <f>Données!N249</f>
        <v>984.1</v>
      </c>
      <c r="E255" s="221">
        <f>Données!O249+Données!P249+Données!R249</f>
        <v>100148.25</v>
      </c>
      <c r="F255" s="440">
        <f t="shared" si="11"/>
        <v>50369.355000000003</v>
      </c>
      <c r="G255" s="440">
        <f>Ecrêtage!M249</f>
        <v>0</v>
      </c>
      <c r="H255" s="441">
        <f t="shared" si="12"/>
        <v>192048.31732519323</v>
      </c>
      <c r="I255" s="294">
        <f t="shared" si="13"/>
        <v>242417.67232519324</v>
      </c>
    </row>
    <row r="256" spans="1:9" s="35" customFormat="1" x14ac:dyDescent="0.25">
      <c r="A256" s="38">
        <f>Données!A250</f>
        <v>5843</v>
      </c>
      <c r="B256" s="473" t="str">
        <f>Données!B250</f>
        <v>Rougemont</v>
      </c>
      <c r="C256" s="31">
        <f>VPI!R250</f>
        <v>89736.824345991568</v>
      </c>
      <c r="D256" s="8">
        <f>Données!N250</f>
        <v>6430.85</v>
      </c>
      <c r="E256" s="221">
        <f>Données!O250+Données!P250+Données!R250</f>
        <v>1892069.2</v>
      </c>
      <c r="F256" s="440">
        <f t="shared" si="11"/>
        <v>947963.85499999998</v>
      </c>
      <c r="G256" s="440">
        <f>Ecrêtage!M250</f>
        <v>1425454.0954928969</v>
      </c>
      <c r="H256" s="441">
        <f t="shared" si="12"/>
        <v>1046107.6219631113</v>
      </c>
      <c r="I256" s="294">
        <f t="shared" si="13"/>
        <v>3419525.5724560078</v>
      </c>
    </row>
    <row r="257" spans="1:9" s="35" customFormat="1" x14ac:dyDescent="0.25">
      <c r="A257" s="38">
        <f>Données!A251</f>
        <v>5851</v>
      </c>
      <c r="B257" s="473" t="str">
        <f>Données!B251</f>
        <v>Allaman</v>
      </c>
      <c r="C257" s="31">
        <f>VPI!R251</f>
        <v>24651.765025641023</v>
      </c>
      <c r="D257" s="8">
        <f>Données!N251</f>
        <v>65972.95</v>
      </c>
      <c r="E257" s="221">
        <f>Données!O251+Données!P251+Données!R251</f>
        <v>574672.80000000005</v>
      </c>
      <c r="F257" s="440">
        <f t="shared" si="11"/>
        <v>307128.28500000003</v>
      </c>
      <c r="G257" s="440">
        <f>Ecrêtage!M251</f>
        <v>57268.835813603233</v>
      </c>
      <c r="H257" s="441">
        <f t="shared" si="12"/>
        <v>287378.11345692741</v>
      </c>
      <c r="I257" s="294">
        <f t="shared" si="13"/>
        <v>651775.23427053064</v>
      </c>
    </row>
    <row r="258" spans="1:9" s="35" customFormat="1" x14ac:dyDescent="0.25">
      <c r="A258" s="38">
        <f>Données!A252</f>
        <v>5852</v>
      </c>
      <c r="B258" s="473" t="str">
        <f>Données!B252</f>
        <v>Bursinel</v>
      </c>
      <c r="C258" s="31">
        <f>VPI!R252</f>
        <v>35649.594677419358</v>
      </c>
      <c r="D258" s="8">
        <f>Données!N252</f>
        <v>10092.549999999999</v>
      </c>
      <c r="E258" s="221">
        <f>Données!O252+Données!P252+Données!R252</f>
        <v>223546.15000000002</v>
      </c>
      <c r="F258" s="440">
        <f t="shared" si="11"/>
        <v>114800.84000000001</v>
      </c>
      <c r="G258" s="440">
        <f>Ecrêtage!M252</f>
        <v>179367.51608919536</v>
      </c>
      <c r="H258" s="441">
        <f t="shared" si="12"/>
        <v>415585.38519432017</v>
      </c>
      <c r="I258" s="294">
        <f t="shared" si="13"/>
        <v>709753.74128351558</v>
      </c>
    </row>
    <row r="259" spans="1:9" s="35" customFormat="1" x14ac:dyDescent="0.25">
      <c r="A259" s="38">
        <f>Données!A253</f>
        <v>5853</v>
      </c>
      <c r="B259" s="473" t="str">
        <f>Données!B253</f>
        <v>Bursins</v>
      </c>
      <c r="C259" s="31">
        <f>VPI!R253</f>
        <v>47536.23239436619</v>
      </c>
      <c r="D259" s="8">
        <f>Données!N253</f>
        <v>79871.399999999994</v>
      </c>
      <c r="E259" s="221">
        <f>Données!O253+Données!P253+Données!R253</f>
        <v>736189.64999999991</v>
      </c>
      <c r="F259" s="440">
        <f t="shared" si="11"/>
        <v>392056.24499999994</v>
      </c>
      <c r="G259" s="440">
        <f>Ecrêtage!M253</f>
        <v>168959.86345093866</v>
      </c>
      <c r="H259" s="441">
        <f t="shared" si="12"/>
        <v>554153.94281642558</v>
      </c>
      <c r="I259" s="294">
        <f t="shared" si="13"/>
        <v>1115170.0512673641</v>
      </c>
    </row>
    <row r="260" spans="1:9" s="35" customFormat="1" x14ac:dyDescent="0.25">
      <c r="A260" s="38">
        <f>Données!A254</f>
        <v>5854</v>
      </c>
      <c r="B260" s="473" t="str">
        <f>Données!B254</f>
        <v>Burtigny</v>
      </c>
      <c r="C260" s="31">
        <f>VPI!R254</f>
        <v>15260.883397027597</v>
      </c>
      <c r="D260" s="8">
        <f>Données!N254</f>
        <v>17144.25</v>
      </c>
      <c r="E260" s="221">
        <f>Données!O254+Données!P254+Données!R254</f>
        <v>102983.75</v>
      </c>
      <c r="F260" s="440">
        <f t="shared" si="11"/>
        <v>56635.15</v>
      </c>
      <c r="G260" s="440">
        <f>Ecrêtage!M254</f>
        <v>0</v>
      </c>
      <c r="H260" s="441">
        <f t="shared" si="12"/>
        <v>177903.84890340711</v>
      </c>
      <c r="I260" s="294">
        <f t="shared" si="13"/>
        <v>234538.9989034071</v>
      </c>
    </row>
    <row r="261" spans="1:9" s="35" customFormat="1" x14ac:dyDescent="0.25">
      <c r="A261" s="38">
        <f>Données!A255</f>
        <v>5855</v>
      </c>
      <c r="B261" s="473" t="str">
        <f>Données!B255</f>
        <v>Dully</v>
      </c>
      <c r="C261" s="31">
        <f>VPI!R255</f>
        <v>82571.89</v>
      </c>
      <c r="D261" s="8">
        <f>Données!N255</f>
        <v>1933.5</v>
      </c>
      <c r="E261" s="221">
        <f>Données!O255+Données!P255+Données!R255</f>
        <v>1364872.9500000002</v>
      </c>
      <c r="F261" s="440">
        <f t="shared" si="11"/>
        <v>683016.52500000014</v>
      </c>
      <c r="G261" s="440">
        <f>Ecrêtage!M255</f>
        <v>1102079.9165773839</v>
      </c>
      <c r="H261" s="441">
        <f t="shared" si="12"/>
        <v>962582.35254519631</v>
      </c>
      <c r="I261" s="294">
        <f t="shared" si="13"/>
        <v>2747678.7941225804</v>
      </c>
    </row>
    <row r="262" spans="1:9" s="35" customFormat="1" x14ac:dyDescent="0.25">
      <c r="A262" s="38">
        <f>Données!A256</f>
        <v>5856</v>
      </c>
      <c r="B262" s="473" t="str">
        <f>Données!B256</f>
        <v>Essertines-sur-Rolle</v>
      </c>
      <c r="C262" s="31">
        <f>VPI!R256</f>
        <v>36460.812481203015</v>
      </c>
      <c r="D262" s="8">
        <f>Données!N256</f>
        <v>7815.05</v>
      </c>
      <c r="E262" s="221">
        <f>Données!O256+Données!P256+Données!R256</f>
        <v>206666.75</v>
      </c>
      <c r="F262" s="440">
        <f t="shared" si="11"/>
        <v>105677.89</v>
      </c>
      <c r="G262" s="440">
        <f>Ecrêtage!M256</f>
        <v>2077.6100789574975</v>
      </c>
      <c r="H262" s="441">
        <f t="shared" si="12"/>
        <v>425042.16209494119</v>
      </c>
      <c r="I262" s="294">
        <f t="shared" si="13"/>
        <v>532797.66217389866</v>
      </c>
    </row>
    <row r="263" spans="1:9" s="35" customFormat="1" x14ac:dyDescent="0.25">
      <c r="A263" s="38">
        <f>Données!A257</f>
        <v>5857</v>
      </c>
      <c r="B263" s="473" t="str">
        <f>Données!B257</f>
        <v>Gilly</v>
      </c>
      <c r="C263" s="31">
        <f>VPI!R257</f>
        <v>86828.689767441872</v>
      </c>
      <c r="D263" s="8">
        <f>Données!N257</f>
        <v>80326.95</v>
      </c>
      <c r="E263" s="221">
        <f>Données!O257+Données!P257+Données!R257</f>
        <v>454337.9</v>
      </c>
      <c r="F263" s="440">
        <f t="shared" si="11"/>
        <v>251267.035</v>
      </c>
      <c r="G263" s="440">
        <f>Ecrêtage!M257</f>
        <v>233503.90968210044</v>
      </c>
      <c r="H263" s="441">
        <f t="shared" si="12"/>
        <v>1012206.0239236526</v>
      </c>
      <c r="I263" s="294">
        <f t="shared" si="13"/>
        <v>1496976.968605753</v>
      </c>
    </row>
    <row r="264" spans="1:9" s="35" customFormat="1" x14ac:dyDescent="0.25">
      <c r="A264" s="38">
        <f>Données!A258</f>
        <v>5858</v>
      </c>
      <c r="B264" s="473" t="str">
        <f>Données!B258</f>
        <v>Luins</v>
      </c>
      <c r="C264" s="31">
        <f>VPI!R258</f>
        <v>41161.285925925928</v>
      </c>
      <c r="D264" s="8">
        <f>Données!N258</f>
        <v>4889.3</v>
      </c>
      <c r="E264" s="221">
        <f>Données!O258+Données!P258+Données!R258</f>
        <v>377904.45</v>
      </c>
      <c r="F264" s="440">
        <f t="shared" si="11"/>
        <v>190419.01500000001</v>
      </c>
      <c r="G264" s="440">
        <f>Ecrêtage!M258</f>
        <v>161624.25416172895</v>
      </c>
      <c r="H264" s="441">
        <f t="shared" si="12"/>
        <v>479837.96229398722</v>
      </c>
      <c r="I264" s="294">
        <f t="shared" si="13"/>
        <v>831881.2314557163</v>
      </c>
    </row>
    <row r="265" spans="1:9" s="35" customFormat="1" x14ac:dyDescent="0.25">
      <c r="A265" s="38">
        <f>Données!A259</f>
        <v>5859</v>
      </c>
      <c r="B265" s="473" t="str">
        <f>Données!B259</f>
        <v>Mont-sur-Rolle</v>
      </c>
      <c r="C265" s="31">
        <f>VPI!R259</f>
        <v>158436.40771653541</v>
      </c>
      <c r="D265" s="8">
        <f>Données!N259</f>
        <v>120650.05</v>
      </c>
      <c r="E265" s="221">
        <f>Données!O259+Données!P259+Données!R259</f>
        <v>1337129.05</v>
      </c>
      <c r="F265" s="440">
        <f t="shared" si="11"/>
        <v>704759.54</v>
      </c>
      <c r="G265" s="440">
        <f>Ecrêtage!M259</f>
        <v>313760.78557740239</v>
      </c>
      <c r="H265" s="441">
        <f t="shared" si="12"/>
        <v>1846973.4684357177</v>
      </c>
      <c r="I265" s="294">
        <f t="shared" si="13"/>
        <v>2865493.7940131202</v>
      </c>
    </row>
    <row r="266" spans="1:9" s="35" customFormat="1" x14ac:dyDescent="0.25">
      <c r="A266" s="38">
        <f>Données!A260</f>
        <v>5860</v>
      </c>
      <c r="B266" s="473" t="str">
        <f>Données!B260</f>
        <v>Perroy</v>
      </c>
      <c r="C266" s="31">
        <f>VPI!R260</f>
        <v>132374.98733727811</v>
      </c>
      <c r="D266" s="8">
        <f>Données!N260</f>
        <v>29243.5</v>
      </c>
      <c r="E266" s="221">
        <f>Données!O260+Données!P260+Données!R260</f>
        <v>770897.45</v>
      </c>
      <c r="F266" s="440">
        <f t="shared" si="11"/>
        <v>394221.77499999997</v>
      </c>
      <c r="G266" s="440">
        <f>Ecrêtage!M260</f>
        <v>1042545.7246715319</v>
      </c>
      <c r="H266" s="441">
        <f t="shared" si="12"/>
        <v>1543162.2883920635</v>
      </c>
      <c r="I266" s="294">
        <f t="shared" si="13"/>
        <v>2979929.7880635951</v>
      </c>
    </row>
    <row r="267" spans="1:9" s="35" customFormat="1" x14ac:dyDescent="0.25">
      <c r="A267" s="38">
        <f>Données!A261</f>
        <v>5861</v>
      </c>
      <c r="B267" s="473" t="str">
        <f>Données!B261</f>
        <v>Rolle</v>
      </c>
      <c r="C267" s="31">
        <f>VPI!R261</f>
        <v>897513.79815126071</v>
      </c>
      <c r="D267" s="8">
        <f>Données!N261</f>
        <v>705395.85</v>
      </c>
      <c r="E267" s="221">
        <f>Données!O261+Données!P261+Données!R261</f>
        <v>1626192.5499999998</v>
      </c>
      <c r="F267" s="440">
        <f t="shared" si="11"/>
        <v>1024715.0299999999</v>
      </c>
      <c r="G267" s="440">
        <f>Ecrêtage!M261</f>
        <v>14487049.674165698</v>
      </c>
      <c r="H267" s="441">
        <f t="shared" si="12"/>
        <v>10462773.024405945</v>
      </c>
      <c r="I267" s="294">
        <f t="shared" si="13"/>
        <v>25974537.728571642</v>
      </c>
    </row>
    <row r="268" spans="1:9" s="35" customFormat="1" x14ac:dyDescent="0.25">
      <c r="A268" s="38">
        <f>Données!A262</f>
        <v>5862</v>
      </c>
      <c r="B268" s="473" t="str">
        <f>Données!B262</f>
        <v>Tartegnin</v>
      </c>
      <c r="C268" s="31">
        <f>VPI!R262</f>
        <v>10371.497468354431</v>
      </c>
      <c r="D268" s="8">
        <f>Données!N262</f>
        <v>7523.45</v>
      </c>
      <c r="E268" s="221">
        <f>Données!O262+Données!P262+Données!R262</f>
        <v>160964.25</v>
      </c>
      <c r="F268" s="440">
        <f t="shared" si="11"/>
        <v>82739.16</v>
      </c>
      <c r="G268" s="440">
        <f>Ecrêtage!M262</f>
        <v>0</v>
      </c>
      <c r="H268" s="441">
        <f t="shared" si="12"/>
        <v>120905.80017612722</v>
      </c>
      <c r="I268" s="294">
        <f t="shared" si="13"/>
        <v>203644.96017612721</v>
      </c>
    </row>
    <row r="269" spans="1:9" s="35" customFormat="1" x14ac:dyDescent="0.25">
      <c r="A269" s="38">
        <f>Données!A263</f>
        <v>5863</v>
      </c>
      <c r="B269" s="473" t="str">
        <f>Données!B263</f>
        <v>Vinzel</v>
      </c>
      <c r="C269" s="31">
        <f>VPI!R263</f>
        <v>23661.929552238806</v>
      </c>
      <c r="D269" s="8">
        <f>Données!N263</f>
        <v>20078.099999999999</v>
      </c>
      <c r="E269" s="221">
        <f>Données!O263+Données!P263+Données!R263</f>
        <v>158269.1</v>
      </c>
      <c r="F269" s="440">
        <f t="shared" ref="F269:F311" si="14">D269*$D$11+E269*$E$11</f>
        <v>85157.98</v>
      </c>
      <c r="G269" s="440">
        <f>Ecrêtage!M263</f>
        <v>82782.213140927342</v>
      </c>
      <c r="H269" s="441">
        <f t="shared" ref="H269:H311" si="15">$H$11*C269</f>
        <v>275839.09989407694</v>
      </c>
      <c r="I269" s="294">
        <f t="shared" ref="I269:I311" si="16">F269+H269+G269</f>
        <v>443779.29303500429</v>
      </c>
    </row>
    <row r="270" spans="1:9" s="35" customFormat="1" x14ac:dyDescent="0.25">
      <c r="A270" s="38">
        <f>Données!A264</f>
        <v>5871</v>
      </c>
      <c r="B270" s="473" t="str">
        <f>Données!B264</f>
        <v>L'Abbaye</v>
      </c>
      <c r="C270" s="31">
        <f>VPI!R264</f>
        <v>50236.516429495467</v>
      </c>
      <c r="D270" s="8">
        <f>Données!N264</f>
        <v>739765.05</v>
      </c>
      <c r="E270" s="221">
        <f>Données!O264+Données!P264+Données!R264</f>
        <v>348170.6</v>
      </c>
      <c r="F270" s="440">
        <f t="shared" si="14"/>
        <v>396014.815</v>
      </c>
      <c r="G270" s="440">
        <f>Ecrêtage!M264</f>
        <v>0</v>
      </c>
      <c r="H270" s="441">
        <f t="shared" si="15"/>
        <v>585632.52177440957</v>
      </c>
      <c r="I270" s="294">
        <f t="shared" si="16"/>
        <v>981647.33677440952</v>
      </c>
    </row>
    <row r="271" spans="1:9" s="35" customFormat="1" x14ac:dyDescent="0.25">
      <c r="A271" s="38">
        <f>Données!A265</f>
        <v>5872</v>
      </c>
      <c r="B271" s="473" t="str">
        <f>Données!B265</f>
        <v>Le Chenit</v>
      </c>
      <c r="C271" s="31">
        <f>VPI!R265</f>
        <v>317064.3538829867</v>
      </c>
      <c r="D271" s="8">
        <f>Données!N265</f>
        <v>8102751.8499999996</v>
      </c>
      <c r="E271" s="221">
        <f>Données!O265+Données!P265+Données!R265</f>
        <v>644599.6</v>
      </c>
      <c r="F271" s="440">
        <f t="shared" si="14"/>
        <v>2753125.3549999995</v>
      </c>
      <c r="G271" s="440">
        <f>Ecrêtage!M265</f>
        <v>1575096.5702682997</v>
      </c>
      <c r="H271" s="441">
        <f t="shared" si="15"/>
        <v>3696179.7976152417</v>
      </c>
      <c r="I271" s="294">
        <f t="shared" si="16"/>
        <v>8024401.7228835411</v>
      </c>
    </row>
    <row r="272" spans="1:9" s="35" customFormat="1" x14ac:dyDescent="0.25">
      <c r="A272" s="38">
        <f>Données!A266</f>
        <v>5873</v>
      </c>
      <c r="B272" s="473" t="str">
        <f>Données!B266</f>
        <v>Le Lieu</v>
      </c>
      <c r="C272" s="31">
        <f>VPI!R266</f>
        <v>35207.025785714286</v>
      </c>
      <c r="D272" s="8">
        <f>Données!N266</f>
        <v>879860</v>
      </c>
      <c r="E272" s="221">
        <f>Données!O266+Données!P266+Données!R266</f>
        <v>247340.5</v>
      </c>
      <c r="F272" s="440">
        <f t="shared" si="14"/>
        <v>387628.25</v>
      </c>
      <c r="G272" s="440">
        <f>Ecrêtage!M266</f>
        <v>0</v>
      </c>
      <c r="H272" s="441">
        <f t="shared" si="15"/>
        <v>410426.13541887252</v>
      </c>
      <c r="I272" s="294">
        <f t="shared" si="16"/>
        <v>798054.38541887258</v>
      </c>
    </row>
    <row r="273" spans="1:9" s="35" customFormat="1" x14ac:dyDescent="0.25">
      <c r="A273" s="38">
        <f>Données!A267</f>
        <v>5882</v>
      </c>
      <c r="B273" s="473" t="str">
        <f>Données!B267</f>
        <v>Chardonne</v>
      </c>
      <c r="C273" s="31">
        <f>VPI!R267</f>
        <v>201756.91955882352</v>
      </c>
      <c r="D273" s="8">
        <f>Données!N267</f>
        <v>17097.55</v>
      </c>
      <c r="E273" s="221">
        <f>Données!O267+Données!P267+Données!R267</f>
        <v>3124951.8</v>
      </c>
      <c r="F273" s="440">
        <f t="shared" si="14"/>
        <v>1567605.1649999998</v>
      </c>
      <c r="G273" s="440">
        <f>Ecrêtage!M267</f>
        <v>749162.80709338677</v>
      </c>
      <c r="H273" s="441">
        <f t="shared" si="15"/>
        <v>2351982.6210978613</v>
      </c>
      <c r="I273" s="294">
        <f t="shared" si="16"/>
        <v>4668750.5931912474</v>
      </c>
    </row>
    <row r="274" spans="1:9" s="35" customFormat="1" x14ac:dyDescent="0.25">
      <c r="A274" s="38">
        <f>Données!A268</f>
        <v>5883</v>
      </c>
      <c r="B274" s="473" t="str">
        <f>Données!B268</f>
        <v>Corseaux</v>
      </c>
      <c r="C274" s="31">
        <f>VPI!R268</f>
        <v>180896.25407407407</v>
      </c>
      <c r="D274" s="8">
        <f>Données!N268</f>
        <v>1881.65</v>
      </c>
      <c r="E274" s="221">
        <f>Données!O268+Données!P268+Données!R268</f>
        <v>1497488.25</v>
      </c>
      <c r="F274" s="440">
        <f t="shared" si="14"/>
        <v>749308.62</v>
      </c>
      <c r="G274" s="440">
        <f>Ecrêtage!M268</f>
        <v>1336644.3444351016</v>
      </c>
      <c r="H274" s="441">
        <f t="shared" si="15"/>
        <v>2108799.2755553466</v>
      </c>
      <c r="I274" s="294">
        <f t="shared" si="16"/>
        <v>4194752.2399904486</v>
      </c>
    </row>
    <row r="275" spans="1:9" s="35" customFormat="1" x14ac:dyDescent="0.25">
      <c r="A275" s="38">
        <f>Données!A269</f>
        <v>5884</v>
      </c>
      <c r="B275" s="473" t="str">
        <f>Données!B269</f>
        <v>Corsier-sur-Vevey</v>
      </c>
      <c r="C275" s="31">
        <f>VPI!R269</f>
        <v>128051.27881136951</v>
      </c>
      <c r="D275" s="8">
        <f>Données!N269</f>
        <v>491143.6</v>
      </c>
      <c r="E275" s="221">
        <f>Données!O269+Données!P269+Données!R269</f>
        <v>1078848.2999999998</v>
      </c>
      <c r="F275" s="440">
        <f t="shared" si="14"/>
        <v>686767.22999999986</v>
      </c>
      <c r="G275" s="440">
        <f>Ecrêtage!M269</f>
        <v>0</v>
      </c>
      <c r="H275" s="441">
        <f t="shared" si="15"/>
        <v>1492758.627720268</v>
      </c>
      <c r="I275" s="294">
        <f t="shared" si="16"/>
        <v>2179525.857720268</v>
      </c>
    </row>
    <row r="276" spans="1:9" s="35" customFormat="1" x14ac:dyDescent="0.25">
      <c r="A276" s="38">
        <f>Données!A270</f>
        <v>5885</v>
      </c>
      <c r="B276" s="473" t="str">
        <f>Données!B270</f>
        <v>Jongny</v>
      </c>
      <c r="C276" s="31">
        <f>VPI!R270</f>
        <v>104091.36242206233</v>
      </c>
      <c r="D276" s="8">
        <f>Données!N270</f>
        <v>3104.95</v>
      </c>
      <c r="E276" s="221">
        <f>Données!O270+Données!P270+Données!R270</f>
        <v>590774</v>
      </c>
      <c r="F276" s="440">
        <f t="shared" si="14"/>
        <v>296318.48499999999</v>
      </c>
      <c r="G276" s="440">
        <f>Ecrêtage!M270</f>
        <v>205834.22587819744</v>
      </c>
      <c r="H276" s="441">
        <f t="shared" si="15"/>
        <v>1213445.7443067296</v>
      </c>
      <c r="I276" s="294">
        <f t="shared" si="16"/>
        <v>1715598.455184927</v>
      </c>
    </row>
    <row r="277" spans="1:9" s="35" customFormat="1" x14ac:dyDescent="0.25">
      <c r="A277" s="38">
        <f>Données!A271</f>
        <v>5886</v>
      </c>
      <c r="B277" s="473" t="str">
        <f>Données!B271</f>
        <v>Montreux</v>
      </c>
      <c r="C277" s="31">
        <f>VPI!R271</f>
        <v>1153112.7161538461</v>
      </c>
      <c r="D277" s="8">
        <f>Données!N271</f>
        <v>920310.65</v>
      </c>
      <c r="E277" s="221">
        <f>Données!O271+Données!P271+Données!R271</f>
        <v>22752839.700000003</v>
      </c>
      <c r="F277" s="440">
        <f t="shared" si="14"/>
        <v>11652513.045000002</v>
      </c>
      <c r="G277" s="440">
        <f>Ecrêtage!M271</f>
        <v>0</v>
      </c>
      <c r="H277" s="441">
        <f t="shared" si="15"/>
        <v>13442419.097651156</v>
      </c>
      <c r="I277" s="294">
        <f t="shared" si="16"/>
        <v>25094932.142651156</v>
      </c>
    </row>
    <row r="278" spans="1:9" s="35" customFormat="1" x14ac:dyDescent="0.25">
      <c r="A278" s="38">
        <f>Données!A272</f>
        <v>5889</v>
      </c>
      <c r="B278" s="473" t="str">
        <f>Données!B272</f>
        <v>La Tour-de-Peilz</v>
      </c>
      <c r="C278" s="31">
        <f>VPI!R272</f>
        <v>709179.36611979152</v>
      </c>
      <c r="D278" s="8">
        <f>Données!N272</f>
        <v>244731.45</v>
      </c>
      <c r="E278" s="221">
        <f>Données!O272+Données!P272+Données!R272</f>
        <v>4417514.5</v>
      </c>
      <c r="F278" s="440">
        <f t="shared" si="14"/>
        <v>2282176.6850000001</v>
      </c>
      <c r="G278" s="440">
        <f>Ecrêtage!M272</f>
        <v>1384216.4444119844</v>
      </c>
      <c r="H278" s="441">
        <f t="shared" si="15"/>
        <v>8267263.1402296843</v>
      </c>
      <c r="I278" s="294">
        <f t="shared" si="16"/>
        <v>11933656.269641668</v>
      </c>
    </row>
    <row r="279" spans="1:9" s="35" customFormat="1" x14ac:dyDescent="0.25">
      <c r="A279" s="38">
        <f>Données!A273</f>
        <v>5890</v>
      </c>
      <c r="B279" s="473" t="str">
        <f>Données!B273</f>
        <v>Vevey</v>
      </c>
      <c r="C279" s="31">
        <f>VPI!R273</f>
        <v>945087.70393736032</v>
      </c>
      <c r="D279" s="8">
        <f>Données!N273</f>
        <v>859057.1</v>
      </c>
      <c r="E279" s="221">
        <f>Données!O273+Données!P273+Données!R273</f>
        <v>6501015.3999999994</v>
      </c>
      <c r="F279" s="440">
        <f t="shared" si="14"/>
        <v>3508224.8299999996</v>
      </c>
      <c r="G279" s="440">
        <f>Ecrêtage!M273</f>
        <v>0</v>
      </c>
      <c r="H279" s="441">
        <f t="shared" si="15"/>
        <v>11017366.145035099</v>
      </c>
      <c r="I279" s="294">
        <f t="shared" si="16"/>
        <v>14525590.975035099</v>
      </c>
    </row>
    <row r="280" spans="1:9" s="35" customFormat="1" x14ac:dyDescent="0.25">
      <c r="A280" s="38">
        <f>Données!A274</f>
        <v>5891</v>
      </c>
      <c r="B280" s="473" t="str">
        <f>Données!B274</f>
        <v>Veytaux</v>
      </c>
      <c r="C280" s="31">
        <f>VPI!R274</f>
        <v>41113.316211031175</v>
      </c>
      <c r="D280" s="8">
        <f>Données!N274</f>
        <v>172</v>
      </c>
      <c r="E280" s="221">
        <f>Données!O274+Données!P274+Données!R274</f>
        <v>595973.65</v>
      </c>
      <c r="F280" s="440">
        <f t="shared" si="14"/>
        <v>298038.42499999999</v>
      </c>
      <c r="G280" s="440">
        <f>Ecrêtage!M274</f>
        <v>0</v>
      </c>
      <c r="H280" s="441">
        <f t="shared" si="15"/>
        <v>479278.75502606208</v>
      </c>
      <c r="I280" s="294">
        <f t="shared" si="16"/>
        <v>777317.18002606207</v>
      </c>
    </row>
    <row r="281" spans="1:9" s="35" customFormat="1" x14ac:dyDescent="0.25">
      <c r="A281" s="38">
        <f>Données!A275</f>
        <v>5892</v>
      </c>
      <c r="B281" s="473" t="str">
        <f>Données!B275</f>
        <v>Blonay-Saint-Légier</v>
      </c>
      <c r="C281" s="31">
        <f>VPI!R275</f>
        <v>749734.6567883211</v>
      </c>
      <c r="D281" s="8">
        <f>Données!N275</f>
        <v>295689.34999999998</v>
      </c>
      <c r="E281" s="221">
        <f>Données!O275+Données!P275+Données!R275</f>
        <v>6663303.2999999998</v>
      </c>
      <c r="F281" s="440">
        <f t="shared" si="14"/>
        <v>3420358.4550000001</v>
      </c>
      <c r="G281" s="440">
        <f>Ecrêtage!M275</f>
        <v>2526612.8679732732</v>
      </c>
      <c r="H281" s="441">
        <f t="shared" si="15"/>
        <v>8740036.7088117693</v>
      </c>
      <c r="I281" s="294">
        <f t="shared" si="16"/>
        <v>14687008.031785043</v>
      </c>
    </row>
    <row r="282" spans="1:9" s="35" customFormat="1" x14ac:dyDescent="0.25">
      <c r="A282" s="38">
        <f>Données!A276</f>
        <v>5902</v>
      </c>
      <c r="B282" s="473" t="str">
        <f>Données!B276</f>
        <v>Belmont-sur-Yverdon</v>
      </c>
      <c r="C282" s="31">
        <f>VPI!R276</f>
        <v>11918.01</v>
      </c>
      <c r="D282" s="8">
        <f>Données!N276</f>
        <v>0</v>
      </c>
      <c r="E282" s="221">
        <f>Données!O276+Données!P276+Données!R276</f>
        <v>82151.3</v>
      </c>
      <c r="F282" s="440">
        <f t="shared" si="14"/>
        <v>41075.65</v>
      </c>
      <c r="G282" s="440">
        <f>Ecrêtage!M276</f>
        <v>0</v>
      </c>
      <c r="H282" s="441">
        <f t="shared" si="15"/>
        <v>138934.28021881508</v>
      </c>
      <c r="I282" s="294">
        <f t="shared" si="16"/>
        <v>180009.93021881508</v>
      </c>
    </row>
    <row r="283" spans="1:9" s="35" customFormat="1" x14ac:dyDescent="0.25">
      <c r="A283" s="38">
        <f>Données!A277</f>
        <v>5903</v>
      </c>
      <c r="B283" s="473" t="str">
        <f>Données!B277</f>
        <v>Bioley-Magnoux</v>
      </c>
      <c r="C283" s="31">
        <f>VPI!R277</f>
        <v>6275.4313293650803</v>
      </c>
      <c r="D283" s="8">
        <f>Données!N277</f>
        <v>29031.05</v>
      </c>
      <c r="E283" s="221">
        <f>Données!O277+Données!P277+Données!R277</f>
        <v>22110.7</v>
      </c>
      <c r="F283" s="440">
        <f t="shared" si="14"/>
        <v>19764.665000000001</v>
      </c>
      <c r="G283" s="440">
        <f>Ecrêtage!M277</f>
        <v>0</v>
      </c>
      <c r="H283" s="441">
        <f t="shared" si="15"/>
        <v>73155.882131995138</v>
      </c>
      <c r="I283" s="294">
        <f t="shared" si="16"/>
        <v>92920.547131995147</v>
      </c>
    </row>
    <row r="284" spans="1:9" s="35" customFormat="1" x14ac:dyDescent="0.25">
      <c r="A284" s="38">
        <f>Données!A278</f>
        <v>5904</v>
      </c>
      <c r="B284" s="473" t="str">
        <f>Données!B278</f>
        <v>Chamblon</v>
      </c>
      <c r="C284" s="31">
        <f>VPI!R278</f>
        <v>18890.250303030305</v>
      </c>
      <c r="D284" s="8">
        <f>Données!N278</f>
        <v>31054.2</v>
      </c>
      <c r="E284" s="221">
        <f>Données!O278+Données!P278+Données!R278</f>
        <v>122567.6</v>
      </c>
      <c r="F284" s="440">
        <f t="shared" si="14"/>
        <v>70600.06</v>
      </c>
      <c r="G284" s="440">
        <f>Ecrêtage!M278</f>
        <v>0</v>
      </c>
      <c r="H284" s="441">
        <f t="shared" si="15"/>
        <v>220213.21755937184</v>
      </c>
      <c r="I284" s="294">
        <f t="shared" si="16"/>
        <v>290813.27755937184</v>
      </c>
    </row>
    <row r="285" spans="1:9" s="35" customFormat="1" x14ac:dyDescent="0.25">
      <c r="A285" s="38">
        <f>Données!A279</f>
        <v>5905</v>
      </c>
      <c r="B285" s="473" t="str">
        <f>Données!B279</f>
        <v>Champvent</v>
      </c>
      <c r="C285" s="31">
        <f>VPI!R279</f>
        <v>21534.177714285714</v>
      </c>
      <c r="D285" s="8">
        <f>Données!N279</f>
        <v>173931</v>
      </c>
      <c r="E285" s="221">
        <f>Données!O279+Données!P279+Données!R279</f>
        <v>102119.54999999999</v>
      </c>
      <c r="F285" s="440">
        <f t="shared" si="14"/>
        <v>103239.07499999998</v>
      </c>
      <c r="G285" s="440">
        <f>Ecrêtage!M279</f>
        <v>0</v>
      </c>
      <c r="H285" s="441">
        <f t="shared" si="15"/>
        <v>251034.81880266374</v>
      </c>
      <c r="I285" s="294">
        <f t="shared" si="16"/>
        <v>354273.89380266372</v>
      </c>
    </row>
    <row r="286" spans="1:9" s="35" customFormat="1" x14ac:dyDescent="0.25">
      <c r="A286" s="38">
        <f>Données!A280</f>
        <v>5907</v>
      </c>
      <c r="B286" s="473" t="str">
        <f>Données!B280</f>
        <v>Chavannes-le-Chêne</v>
      </c>
      <c r="C286" s="31">
        <f>VPI!R280</f>
        <v>8453.4726666666666</v>
      </c>
      <c r="D286" s="8">
        <f>Données!N280</f>
        <v>10275.1</v>
      </c>
      <c r="E286" s="221">
        <f>Données!O280+Données!P280+Données!R280</f>
        <v>62426.55</v>
      </c>
      <c r="F286" s="440">
        <f t="shared" si="14"/>
        <v>34295.805</v>
      </c>
      <c r="G286" s="440">
        <f>Ecrêtage!M280</f>
        <v>0</v>
      </c>
      <c r="H286" s="441">
        <f t="shared" si="15"/>
        <v>98546.413393910625</v>
      </c>
      <c r="I286" s="294">
        <f t="shared" si="16"/>
        <v>132842.21839391062</v>
      </c>
    </row>
    <row r="287" spans="1:9" s="35" customFormat="1" x14ac:dyDescent="0.25">
      <c r="A287" s="38">
        <f>Données!A281</f>
        <v>5908</v>
      </c>
      <c r="B287" s="473" t="str">
        <f>Données!B281</f>
        <v>Chêne-Pâquier</v>
      </c>
      <c r="C287" s="31">
        <f>VPI!R281</f>
        <v>4917.9366666666683</v>
      </c>
      <c r="D287" s="8">
        <f>Données!N281</f>
        <v>0</v>
      </c>
      <c r="E287" s="221">
        <f>Données!O281+Données!P281+Données!R281</f>
        <v>24347.200000000001</v>
      </c>
      <c r="F287" s="440">
        <f t="shared" si="14"/>
        <v>12173.6</v>
      </c>
      <c r="G287" s="440">
        <f>Ecrêtage!M281</f>
        <v>0</v>
      </c>
      <c r="H287" s="441">
        <f t="shared" si="15"/>
        <v>57330.879143837963</v>
      </c>
      <c r="I287" s="294">
        <f t="shared" si="16"/>
        <v>69504.479143837962</v>
      </c>
    </row>
    <row r="288" spans="1:9" s="35" customFormat="1" x14ac:dyDescent="0.25">
      <c r="A288" s="38">
        <f>Données!A282</f>
        <v>5909</v>
      </c>
      <c r="B288" s="473" t="str">
        <f>Données!B282</f>
        <v>Cheseaux-Noréaz</v>
      </c>
      <c r="C288" s="31">
        <f>VPI!R282</f>
        <v>34179.649850746275</v>
      </c>
      <c r="D288" s="8">
        <f>Données!N282</f>
        <v>9007.6</v>
      </c>
      <c r="E288" s="221">
        <f>Données!O282+Données!P282+Données!R282</f>
        <v>209022.25</v>
      </c>
      <c r="F288" s="440">
        <f t="shared" si="14"/>
        <v>107213.405</v>
      </c>
      <c r="G288" s="440">
        <f>Ecrêtage!M282</f>
        <v>0</v>
      </c>
      <c r="H288" s="441">
        <f t="shared" si="15"/>
        <v>398449.49367759924</v>
      </c>
      <c r="I288" s="294">
        <f t="shared" si="16"/>
        <v>505662.89867759927</v>
      </c>
    </row>
    <row r="289" spans="1:9" s="35" customFormat="1" x14ac:dyDescent="0.25">
      <c r="A289" s="38">
        <f>Données!A283</f>
        <v>5910</v>
      </c>
      <c r="B289" s="473" t="str">
        <f>Données!B283</f>
        <v>Cronay</v>
      </c>
      <c r="C289" s="31">
        <f>VPI!R283</f>
        <v>10620.023506493504</v>
      </c>
      <c r="D289" s="8">
        <f>Données!N283</f>
        <v>6244.6</v>
      </c>
      <c r="E289" s="221">
        <f>Données!O283+Données!P283+Données!R283</f>
        <v>140175.34999999998</v>
      </c>
      <c r="F289" s="440">
        <f t="shared" si="14"/>
        <v>71961.054999999993</v>
      </c>
      <c r="G289" s="440">
        <f>Ecrêtage!M283</f>
        <v>0</v>
      </c>
      <c r="H289" s="441">
        <f t="shared" si="15"/>
        <v>123802.99410569144</v>
      </c>
      <c r="I289" s="294">
        <f t="shared" si="16"/>
        <v>195764.04910569143</v>
      </c>
    </row>
    <row r="290" spans="1:9" s="35" customFormat="1" x14ac:dyDescent="0.25">
      <c r="A290" s="38">
        <f>Données!A284</f>
        <v>5911</v>
      </c>
      <c r="B290" s="473" t="str">
        <f>Données!B284</f>
        <v>Cuarny</v>
      </c>
      <c r="C290" s="31">
        <f>VPI!R284</f>
        <v>7630.7251948051926</v>
      </c>
      <c r="D290" s="8">
        <f>Données!N284</f>
        <v>0</v>
      </c>
      <c r="E290" s="221">
        <f>Données!O284+Données!P284+Données!R284</f>
        <v>30659</v>
      </c>
      <c r="F290" s="440">
        <f t="shared" si="14"/>
        <v>15329.5</v>
      </c>
      <c r="G290" s="440">
        <f>Ecrêtage!M284</f>
        <v>0</v>
      </c>
      <c r="H290" s="441">
        <f t="shared" si="15"/>
        <v>88955.229311591189</v>
      </c>
      <c r="I290" s="294">
        <f t="shared" si="16"/>
        <v>104284.72931159119</v>
      </c>
    </row>
    <row r="291" spans="1:9" s="35" customFormat="1" x14ac:dyDescent="0.25">
      <c r="A291" s="38">
        <f>Données!A285</f>
        <v>5912</v>
      </c>
      <c r="B291" s="473" t="str">
        <f>Données!B285</f>
        <v>Démoret</v>
      </c>
      <c r="C291" s="31">
        <f>VPI!R285</f>
        <v>3035.5994871794869</v>
      </c>
      <c r="D291" s="8">
        <f>Données!N285</f>
        <v>0</v>
      </c>
      <c r="E291" s="221">
        <f>Données!O285+Données!P285+Données!R285</f>
        <v>41485.5</v>
      </c>
      <c r="F291" s="440">
        <f t="shared" si="14"/>
        <v>20742.75</v>
      </c>
      <c r="G291" s="440">
        <f>Ecrêtage!M285</f>
        <v>0</v>
      </c>
      <c r="H291" s="441">
        <f t="shared" si="15"/>
        <v>35387.521052917917</v>
      </c>
      <c r="I291" s="294">
        <f t="shared" si="16"/>
        <v>56130.271052917917</v>
      </c>
    </row>
    <row r="292" spans="1:9" s="35" customFormat="1" x14ac:dyDescent="0.25">
      <c r="A292" s="38">
        <f>Données!A286</f>
        <v>5913</v>
      </c>
      <c r="B292" s="473" t="str">
        <f>Données!B286</f>
        <v>Donneloye</v>
      </c>
      <c r="C292" s="31">
        <f>VPI!R286</f>
        <v>21868.165342465756</v>
      </c>
      <c r="D292" s="8">
        <f>Données!N286</f>
        <v>19227.599999999999</v>
      </c>
      <c r="E292" s="221">
        <f>Données!O286+Données!P286+Données!R286</f>
        <v>172847.4</v>
      </c>
      <c r="F292" s="440">
        <f t="shared" si="14"/>
        <v>92191.98</v>
      </c>
      <c r="G292" s="440">
        <f>Ecrêtage!M286</f>
        <v>0</v>
      </c>
      <c r="H292" s="441">
        <f t="shared" si="15"/>
        <v>254928.28178206913</v>
      </c>
      <c r="I292" s="294">
        <f t="shared" si="16"/>
        <v>347120.26178206911</v>
      </c>
    </row>
    <row r="293" spans="1:9" s="35" customFormat="1" x14ac:dyDescent="0.25">
      <c r="A293" s="38">
        <f>Données!A287</f>
        <v>5914</v>
      </c>
      <c r="B293" s="473" t="str">
        <f>Données!B287</f>
        <v>Ependes</v>
      </c>
      <c r="C293" s="31">
        <f>VPI!R287</f>
        <v>9826.1438095238063</v>
      </c>
      <c r="D293" s="8">
        <f>Données!N287</f>
        <v>20140.25</v>
      </c>
      <c r="E293" s="221">
        <f>Données!O287+Données!P287+Données!R287</f>
        <v>27240.5</v>
      </c>
      <c r="F293" s="440">
        <f t="shared" si="14"/>
        <v>19662.325000000001</v>
      </c>
      <c r="G293" s="440">
        <f>Ecrêtage!M287</f>
        <v>0</v>
      </c>
      <c r="H293" s="441">
        <f t="shared" si="15"/>
        <v>114548.33629966376</v>
      </c>
      <c r="I293" s="294">
        <f t="shared" si="16"/>
        <v>134210.66129966377</v>
      </c>
    </row>
    <row r="294" spans="1:9" s="35" customFormat="1" x14ac:dyDescent="0.25">
      <c r="A294" s="38">
        <f>Données!A288</f>
        <v>5919</v>
      </c>
      <c r="B294" s="473" t="str">
        <f>Données!B288</f>
        <v>Mathod</v>
      </c>
      <c r="C294" s="31">
        <f>VPI!R288</f>
        <v>20854.383912037036</v>
      </c>
      <c r="D294" s="8">
        <f>Données!N288</f>
        <v>14768.6</v>
      </c>
      <c r="E294" s="221">
        <f>Données!O288+Données!P288+Données!R288</f>
        <v>286691.59999999998</v>
      </c>
      <c r="F294" s="440">
        <f t="shared" si="14"/>
        <v>147776.37999999998</v>
      </c>
      <c r="G294" s="440">
        <f>Ecrêtage!M288</f>
        <v>0</v>
      </c>
      <c r="H294" s="441">
        <f t="shared" si="15"/>
        <v>243110.11806716915</v>
      </c>
      <c r="I294" s="294">
        <f t="shared" si="16"/>
        <v>390886.4980671691</v>
      </c>
    </row>
    <row r="295" spans="1:9" s="35" customFormat="1" x14ac:dyDescent="0.25">
      <c r="A295" s="38">
        <f>Données!A289</f>
        <v>5921</v>
      </c>
      <c r="B295" s="473" t="str">
        <f>Données!B289</f>
        <v>Molondin</v>
      </c>
      <c r="C295" s="31">
        <f>VPI!R289</f>
        <v>5090.9675308641981</v>
      </c>
      <c r="D295" s="8">
        <f>Données!N289</f>
        <v>11053.2</v>
      </c>
      <c r="E295" s="221">
        <f>Données!O289+Données!P289+Données!R289</f>
        <v>25072.3</v>
      </c>
      <c r="F295" s="440">
        <f t="shared" si="14"/>
        <v>15852.11</v>
      </c>
      <c r="G295" s="440">
        <f>Ecrêtage!M289</f>
        <v>0</v>
      </c>
      <c r="H295" s="441">
        <f t="shared" si="15"/>
        <v>59347.98758500586</v>
      </c>
      <c r="I295" s="294">
        <f t="shared" si="16"/>
        <v>75200.09758500586</v>
      </c>
    </row>
    <row r="296" spans="1:9" s="35" customFormat="1" x14ac:dyDescent="0.25">
      <c r="A296" s="38">
        <f>Données!A290</f>
        <v>5922</v>
      </c>
      <c r="B296" s="473" t="str">
        <f>Données!B290</f>
        <v>Montagny-près-Yverdon</v>
      </c>
      <c r="C296" s="31">
        <f>VPI!R290</f>
        <v>39799.996472868217</v>
      </c>
      <c r="D296" s="8">
        <f>Données!N290</f>
        <v>403748.6</v>
      </c>
      <c r="E296" s="221">
        <f>Données!O290+Données!P290+Données!R290</f>
        <v>71704.75</v>
      </c>
      <c r="F296" s="440">
        <f t="shared" si="14"/>
        <v>156976.95499999999</v>
      </c>
      <c r="G296" s="440">
        <f>Ecrêtage!M290</f>
        <v>31959.869465947984</v>
      </c>
      <c r="H296" s="441">
        <f t="shared" si="15"/>
        <v>463968.72151217569</v>
      </c>
      <c r="I296" s="294">
        <f t="shared" si="16"/>
        <v>652905.54597812367</v>
      </c>
    </row>
    <row r="297" spans="1:9" s="35" customFormat="1" x14ac:dyDescent="0.25">
      <c r="A297" s="38">
        <f>Données!A291</f>
        <v>5923</v>
      </c>
      <c r="B297" s="473" t="str">
        <f>Données!B291</f>
        <v>Oppens</v>
      </c>
      <c r="C297" s="31">
        <f>VPI!R291</f>
        <v>4459.4095061728403</v>
      </c>
      <c r="D297" s="8">
        <f>Données!N291</f>
        <v>40011.199999999997</v>
      </c>
      <c r="E297" s="221">
        <f>Données!O291+Données!P291+Données!R291</f>
        <v>1527.6</v>
      </c>
      <c r="F297" s="440">
        <f t="shared" si="14"/>
        <v>12767.159999999998</v>
      </c>
      <c r="G297" s="440">
        <f>Ecrêtage!M291</f>
        <v>0</v>
      </c>
      <c r="H297" s="441">
        <f t="shared" si="15"/>
        <v>51985.59574468097</v>
      </c>
      <c r="I297" s="294">
        <f t="shared" si="16"/>
        <v>64752.755744680966</v>
      </c>
    </row>
    <row r="298" spans="1:9" s="35" customFormat="1" x14ac:dyDescent="0.25">
      <c r="A298" s="38">
        <f>Données!A292</f>
        <v>5924</v>
      </c>
      <c r="B298" s="473" t="str">
        <f>Données!B292</f>
        <v>Orges</v>
      </c>
      <c r="C298" s="31">
        <f>VPI!R292</f>
        <v>11637.592027027025</v>
      </c>
      <c r="D298" s="8">
        <f>Données!N292</f>
        <v>20322.2</v>
      </c>
      <c r="E298" s="221">
        <f>Données!O292+Données!P292+Données!R292</f>
        <v>48779.55</v>
      </c>
      <c r="F298" s="440">
        <f t="shared" si="14"/>
        <v>30486.435000000001</v>
      </c>
      <c r="G298" s="440">
        <f>Ecrêtage!M292</f>
        <v>0</v>
      </c>
      <c r="H298" s="441">
        <f t="shared" si="15"/>
        <v>135665.30584847814</v>
      </c>
      <c r="I298" s="294">
        <f t="shared" si="16"/>
        <v>166151.74084847813</v>
      </c>
    </row>
    <row r="299" spans="1:9" s="35" customFormat="1" x14ac:dyDescent="0.25">
      <c r="A299" s="38">
        <f>Données!A293</f>
        <v>5925</v>
      </c>
      <c r="B299" s="473" t="str">
        <f>Données!B293</f>
        <v>Orzens</v>
      </c>
      <c r="C299" s="31">
        <f>VPI!R293</f>
        <v>5255.7360759493668</v>
      </c>
      <c r="D299" s="8">
        <f>Données!N293</f>
        <v>288.45</v>
      </c>
      <c r="E299" s="221">
        <f>Données!O293+Données!P293+Données!R293</f>
        <v>38686.75</v>
      </c>
      <c r="F299" s="440">
        <f t="shared" si="14"/>
        <v>19429.91</v>
      </c>
      <c r="G299" s="440">
        <f>Ecrêtage!M293</f>
        <v>0</v>
      </c>
      <c r="H299" s="441">
        <f t="shared" si="15"/>
        <v>61268.777986600529</v>
      </c>
      <c r="I299" s="294">
        <f t="shared" si="16"/>
        <v>80698.687986600533</v>
      </c>
    </row>
    <row r="300" spans="1:9" s="35" customFormat="1" x14ac:dyDescent="0.25">
      <c r="A300" s="38">
        <f>Données!A294</f>
        <v>5926</v>
      </c>
      <c r="B300" s="473" t="str">
        <f>Données!B294</f>
        <v>Pomy</v>
      </c>
      <c r="C300" s="31">
        <f>VPI!R294</f>
        <v>26782.680140845066</v>
      </c>
      <c r="D300" s="8">
        <f>Données!N294</f>
        <v>24861.65</v>
      </c>
      <c r="E300" s="221">
        <f>Données!O294+Données!P294+Données!R294</f>
        <v>99797.05</v>
      </c>
      <c r="F300" s="440">
        <f t="shared" si="14"/>
        <v>57357.020000000004</v>
      </c>
      <c r="G300" s="440">
        <f>Ecrêtage!M294</f>
        <v>0</v>
      </c>
      <c r="H300" s="441">
        <f t="shared" si="15"/>
        <v>312219.27047376725</v>
      </c>
      <c r="I300" s="294">
        <f t="shared" si="16"/>
        <v>369576.29047376727</v>
      </c>
    </row>
    <row r="301" spans="1:9" s="35" customFormat="1" x14ac:dyDescent="0.25">
      <c r="A301" s="38">
        <f>Données!A295</f>
        <v>5928</v>
      </c>
      <c r="B301" s="473" t="str">
        <f>Données!B295</f>
        <v>Rovray</v>
      </c>
      <c r="C301" s="31">
        <f>VPI!R295</f>
        <v>5095.519580419581</v>
      </c>
      <c r="D301" s="8">
        <f>Données!N295</f>
        <v>0</v>
      </c>
      <c r="E301" s="221">
        <f>Données!O295+Données!P295+Données!R295</f>
        <v>238.5</v>
      </c>
      <c r="F301" s="440">
        <f t="shared" si="14"/>
        <v>119.25</v>
      </c>
      <c r="G301" s="440">
        <f>Ecrêtage!M295</f>
        <v>0</v>
      </c>
      <c r="H301" s="441">
        <f t="shared" si="15"/>
        <v>59401.053132735513</v>
      </c>
      <c r="I301" s="294">
        <f t="shared" si="16"/>
        <v>59520.303132735513</v>
      </c>
    </row>
    <row r="302" spans="1:9" s="35" customFormat="1" x14ac:dyDescent="0.25">
      <c r="A302" s="38">
        <f>Données!A296</f>
        <v>5929</v>
      </c>
      <c r="B302" s="473" t="str">
        <f>Données!B296</f>
        <v>Suchy</v>
      </c>
      <c r="C302" s="31">
        <f>VPI!R296</f>
        <v>21603.071857142855</v>
      </c>
      <c r="D302" s="8">
        <f>Données!N296</f>
        <v>19827.2</v>
      </c>
      <c r="E302" s="221">
        <f>Données!O296+Données!P296+Données!R296</f>
        <v>89318.5</v>
      </c>
      <c r="F302" s="440">
        <f t="shared" si="14"/>
        <v>50607.41</v>
      </c>
      <c r="G302" s="440">
        <f>Ecrêtage!M296</f>
        <v>0</v>
      </c>
      <c r="H302" s="441">
        <f t="shared" si="15"/>
        <v>251837.95272763519</v>
      </c>
      <c r="I302" s="294">
        <f t="shared" si="16"/>
        <v>302445.36272763519</v>
      </c>
    </row>
    <row r="303" spans="1:9" s="35" customFormat="1" x14ac:dyDescent="0.25">
      <c r="A303" s="38">
        <f>Données!A297</f>
        <v>5930</v>
      </c>
      <c r="B303" s="473" t="str">
        <f>Données!B297</f>
        <v>Suscévaz</v>
      </c>
      <c r="C303" s="31">
        <f>VPI!R297</f>
        <v>5749.1651388888886</v>
      </c>
      <c r="D303" s="8">
        <f>Données!N297</f>
        <v>0</v>
      </c>
      <c r="E303" s="221">
        <f>Données!O297+Données!P297+Données!R297</f>
        <v>48537.95</v>
      </c>
      <c r="F303" s="440">
        <f t="shared" si="14"/>
        <v>24268.974999999999</v>
      </c>
      <c r="G303" s="440">
        <f>Ecrêtage!M297</f>
        <v>0</v>
      </c>
      <c r="H303" s="441">
        <f t="shared" si="15"/>
        <v>67020.930543826675</v>
      </c>
      <c r="I303" s="294">
        <f t="shared" si="16"/>
        <v>91289.905543826666</v>
      </c>
    </row>
    <row r="304" spans="1:9" s="35" customFormat="1" x14ac:dyDescent="0.25">
      <c r="A304" s="38">
        <f>Données!A298</f>
        <v>5931</v>
      </c>
      <c r="B304" s="473" t="str">
        <f>Données!B298</f>
        <v>Treycovagnes</v>
      </c>
      <c r="C304" s="31">
        <f>VPI!R298</f>
        <v>16306.743466666663</v>
      </c>
      <c r="D304" s="8">
        <f>Données!N298</f>
        <v>14546.55</v>
      </c>
      <c r="E304" s="221">
        <f>Données!O298+Données!P298+Données!R298</f>
        <v>198120.6</v>
      </c>
      <c r="F304" s="440">
        <f t="shared" si="14"/>
        <v>103424.265</v>
      </c>
      <c r="G304" s="440">
        <f>Ecrêtage!M298</f>
        <v>0</v>
      </c>
      <c r="H304" s="441">
        <f t="shared" si="15"/>
        <v>190095.9695665802</v>
      </c>
      <c r="I304" s="294">
        <f t="shared" si="16"/>
        <v>293520.23456658021</v>
      </c>
    </row>
    <row r="305" spans="1:9" s="35" customFormat="1" x14ac:dyDescent="0.25">
      <c r="A305" s="38">
        <f>Données!A299</f>
        <v>5932</v>
      </c>
      <c r="B305" s="473" t="str">
        <f>Données!B299</f>
        <v>Ursins</v>
      </c>
      <c r="C305" s="31">
        <f>VPI!R299</f>
        <v>7945.6340000000009</v>
      </c>
      <c r="D305" s="8">
        <f>Données!N299</f>
        <v>0</v>
      </c>
      <c r="E305" s="221">
        <f>Données!O299+Données!P299+Données!R299</f>
        <v>19469.650000000001</v>
      </c>
      <c r="F305" s="440">
        <f t="shared" si="14"/>
        <v>9734.8250000000007</v>
      </c>
      <c r="G305" s="440">
        <f>Ecrêtage!M299</f>
        <v>0</v>
      </c>
      <c r="H305" s="441">
        <f t="shared" si="15"/>
        <v>92626.280786150106</v>
      </c>
      <c r="I305" s="294">
        <f t="shared" si="16"/>
        <v>102361.1057861501</v>
      </c>
    </row>
    <row r="306" spans="1:9" s="35" customFormat="1" x14ac:dyDescent="0.25">
      <c r="A306" s="38">
        <f>Données!A300</f>
        <v>5933</v>
      </c>
      <c r="B306" s="473" t="str">
        <f>Données!B300</f>
        <v>Valeyres-sous-Montagny</v>
      </c>
      <c r="C306" s="31">
        <f>VPI!R300</f>
        <v>23478.314609929079</v>
      </c>
      <c r="D306" s="8">
        <f>Données!N300</f>
        <v>27780.9</v>
      </c>
      <c r="E306" s="221">
        <f>Données!O300+Données!P300+Données!R300</f>
        <v>93066.9</v>
      </c>
      <c r="F306" s="440">
        <f t="shared" si="14"/>
        <v>54867.72</v>
      </c>
      <c r="G306" s="440">
        <f>Ecrêtage!M300</f>
        <v>0</v>
      </c>
      <c r="H306" s="441">
        <f t="shared" si="15"/>
        <v>273698.60749247461</v>
      </c>
      <c r="I306" s="294">
        <f t="shared" si="16"/>
        <v>328566.32749247458</v>
      </c>
    </row>
    <row r="307" spans="1:9" s="35" customFormat="1" x14ac:dyDescent="0.25">
      <c r="A307" s="38">
        <f>Données!A301</f>
        <v>5934</v>
      </c>
      <c r="B307" s="473" t="str">
        <f>Données!B301</f>
        <v>Valeyres-sous-Ursins</v>
      </c>
      <c r="C307" s="31">
        <f>VPI!R301</f>
        <v>16787.585844155841</v>
      </c>
      <c r="D307" s="8">
        <f>Données!N301</f>
        <v>7121.8</v>
      </c>
      <c r="E307" s="221">
        <f>Données!O301+Données!P301+Données!R301</f>
        <v>56058.2</v>
      </c>
      <c r="F307" s="440">
        <f t="shared" si="14"/>
        <v>30165.64</v>
      </c>
      <c r="G307" s="440">
        <f>Ecrêtage!M301</f>
        <v>99962.211621503113</v>
      </c>
      <c r="H307" s="441">
        <f t="shared" si="15"/>
        <v>195701.39275511273</v>
      </c>
      <c r="I307" s="294">
        <f t="shared" si="16"/>
        <v>325829.24437661585</v>
      </c>
    </row>
    <row r="308" spans="1:9" s="35" customFormat="1" x14ac:dyDescent="0.25">
      <c r="A308" s="38">
        <f>Données!A302</f>
        <v>5935</v>
      </c>
      <c r="B308" s="473" t="str">
        <f>Données!B302</f>
        <v>Villars-Epeney</v>
      </c>
      <c r="C308" s="31">
        <f>VPI!R302</f>
        <v>6724.4138235294122</v>
      </c>
      <c r="D308" s="8">
        <f>Données!N302</f>
        <v>0</v>
      </c>
      <c r="E308" s="221">
        <f>Données!O302+Données!P302+Données!R302</f>
        <v>57862.7</v>
      </c>
      <c r="F308" s="440">
        <f t="shared" si="14"/>
        <v>28931.35</v>
      </c>
      <c r="G308" s="440">
        <f>Ecrêtage!M302</f>
        <v>40384.503274003451</v>
      </c>
      <c r="H308" s="441">
        <f t="shared" si="15"/>
        <v>78389.898520433286</v>
      </c>
      <c r="I308" s="294">
        <f t="shared" si="16"/>
        <v>147705.75179443674</v>
      </c>
    </row>
    <row r="309" spans="1:9" s="35" customFormat="1" x14ac:dyDescent="0.25">
      <c r="A309" s="38">
        <f>Données!A303</f>
        <v>5937</v>
      </c>
      <c r="B309" s="473" t="str">
        <f>Données!B303</f>
        <v>Vugelles-La Mothe</v>
      </c>
      <c r="C309" s="31">
        <f>VPI!R303</f>
        <v>3343.8941428571434</v>
      </c>
      <c r="D309" s="8">
        <f>Données!N303</f>
        <v>2274.35</v>
      </c>
      <c r="E309" s="221">
        <f>Données!O303+Données!P303+Données!R303</f>
        <v>16589.400000000001</v>
      </c>
      <c r="F309" s="440">
        <f t="shared" si="14"/>
        <v>8977.005000000001</v>
      </c>
      <c r="G309" s="440">
        <f>Ecrêtage!M303</f>
        <v>0</v>
      </c>
      <c r="H309" s="441">
        <f t="shared" si="15"/>
        <v>38981.468035835584</v>
      </c>
      <c r="I309" s="294">
        <f t="shared" si="16"/>
        <v>47958.473035835588</v>
      </c>
    </row>
    <row r="310" spans="1:9" s="35" customFormat="1" x14ac:dyDescent="0.25">
      <c r="A310" s="38">
        <f>Données!A304</f>
        <v>5938</v>
      </c>
      <c r="B310" s="473" t="str">
        <f>Données!B304</f>
        <v>Yverdon-les-Bains</v>
      </c>
      <c r="C310" s="31">
        <f>VPI!R304</f>
        <v>780594.69946666679</v>
      </c>
      <c r="D310" s="8">
        <f>Données!N304</f>
        <v>5431399.5</v>
      </c>
      <c r="E310" s="221">
        <f>Données!O304+Données!P304+Données!R304</f>
        <v>5270017.45</v>
      </c>
      <c r="F310" s="440">
        <f t="shared" si="14"/>
        <v>4264428.5750000002</v>
      </c>
      <c r="G310" s="440">
        <f>Ecrêtage!M304</f>
        <v>0</v>
      </c>
      <c r="H310" s="441">
        <f t="shared" si="15"/>
        <v>9099787.859971894</v>
      </c>
      <c r="I310" s="294">
        <f t="shared" si="16"/>
        <v>13364216.434971895</v>
      </c>
    </row>
    <row r="311" spans="1:9" s="35" customFormat="1" x14ac:dyDescent="0.25">
      <c r="A311" s="39">
        <f>Données!A305</f>
        <v>5939</v>
      </c>
      <c r="B311" s="474" t="str">
        <f>Données!B305</f>
        <v>Yvonand</v>
      </c>
      <c r="C311" s="31">
        <f>VPI!R305</f>
        <v>97394.348251748248</v>
      </c>
      <c r="D311" s="8">
        <f>Données!N305</f>
        <v>174288.8</v>
      </c>
      <c r="E311" s="221">
        <f>Données!O305+Données!P305+Données!R305</f>
        <v>1383071.45</v>
      </c>
      <c r="F311" s="440">
        <f t="shared" si="14"/>
        <v>743822.36499999999</v>
      </c>
      <c r="G311" s="440">
        <f>Ecrêtage!M305</f>
        <v>0</v>
      </c>
      <c r="H311" s="441">
        <f t="shared" si="15"/>
        <v>1135375.2574244572</v>
      </c>
      <c r="I311" s="294">
        <f t="shared" si="16"/>
        <v>1879197.6224244572</v>
      </c>
    </row>
    <row r="312" spans="1:9" x14ac:dyDescent="0.25">
      <c r="A312" s="25"/>
      <c r="B312" s="171">
        <f>COUNTA(B12:B311)</f>
        <v>300</v>
      </c>
      <c r="C312" s="9">
        <f>SUM(C12:C311)</f>
        <v>40269073.341943532</v>
      </c>
      <c r="D312" s="75">
        <f>SUM(D12:D311)</f>
        <v>86039533.399999931</v>
      </c>
      <c r="E312" s="9">
        <f>SUM(E12:E311)</f>
        <v>295627072.24999988</v>
      </c>
      <c r="F312" s="470">
        <f t="shared" ref="F312" si="17">D312*$D$11+E312*$E$11</f>
        <v>173625396.14499992</v>
      </c>
      <c r="G312" s="470">
        <f>SUM(G12:G311)</f>
        <v>130113745.64626393</v>
      </c>
      <c r="H312" s="471">
        <f>SUM(H12:H311)</f>
        <v>469436988.20873612</v>
      </c>
      <c r="I312" s="300">
        <f>SUM(I12:I311)</f>
        <v>773176130.0000006</v>
      </c>
    </row>
    <row r="313" spans="1:9" x14ac:dyDescent="0.25">
      <c r="C313" s="52"/>
      <c r="D313" s="52"/>
      <c r="E313" s="52"/>
      <c r="F313" s="52"/>
    </row>
    <row r="314" spans="1:9" x14ac:dyDescent="0.25">
      <c r="A314" s="53"/>
      <c r="B314" s="54"/>
      <c r="C314" s="477"/>
      <c r="D314" s="35"/>
      <c r="E314" s="55"/>
      <c r="F314" s="14"/>
      <c r="G314" s="14"/>
      <c r="H314" s="14"/>
      <c r="I314" s="14"/>
    </row>
    <row r="315" spans="1:9" x14ac:dyDescent="0.25">
      <c r="F315" s="53"/>
      <c r="G315" s="53"/>
      <c r="H315" s="53"/>
      <c r="I315" s="53"/>
    </row>
    <row r="316" spans="1:9" x14ac:dyDescent="0.25">
      <c r="F316" s="54"/>
      <c r="G316" s="53"/>
      <c r="H316" s="53"/>
      <c r="I316" s="53"/>
    </row>
    <row r="317" spans="1:9" x14ac:dyDescent="0.25">
      <c r="F317" s="54"/>
      <c r="G317" s="53"/>
      <c r="H317" s="53"/>
      <c r="I317" s="53"/>
    </row>
    <row r="318" spans="1:9" x14ac:dyDescent="0.25">
      <c r="F318" s="54"/>
      <c r="G318" s="53"/>
      <c r="H318" s="53"/>
      <c r="I318" s="53"/>
    </row>
    <row r="319" spans="1:9" x14ac:dyDescent="0.25">
      <c r="F319" s="57"/>
      <c r="G319" s="53"/>
      <c r="H319" s="53"/>
      <c r="I319" s="53"/>
    </row>
    <row r="320" spans="1:9" x14ac:dyDescent="0.25">
      <c r="D320" s="15"/>
      <c r="E320" s="53"/>
      <c r="F320" s="53"/>
      <c r="G320" s="53"/>
      <c r="H320" s="53"/>
      <c r="I320" s="53"/>
    </row>
    <row r="321" spans="3:9" x14ac:dyDescent="0.25">
      <c r="C321" s="45"/>
      <c r="E321" s="53"/>
      <c r="F321" s="53"/>
      <c r="G321" s="53"/>
      <c r="H321" s="53"/>
      <c r="I321" s="53"/>
    </row>
    <row r="322" spans="3:9" x14ac:dyDescent="0.25">
      <c r="E322" s="53"/>
      <c r="F322" s="53"/>
      <c r="G322" s="53"/>
      <c r="H322" s="53"/>
      <c r="I322" s="53"/>
    </row>
    <row r="323" spans="3:9" x14ac:dyDescent="0.25">
      <c r="E323" s="53"/>
      <c r="F323" s="53"/>
      <c r="G323" s="53"/>
      <c r="H323" s="53"/>
      <c r="I323" s="53"/>
    </row>
    <row r="324" spans="3:9" x14ac:dyDescent="0.25">
      <c r="E324" s="53"/>
      <c r="F324" s="53"/>
      <c r="G324" s="53"/>
      <c r="H324" s="53"/>
      <c r="I324" s="53"/>
    </row>
  </sheetData>
  <sheetProtection sheet="1" objects="1" scenarios="1"/>
  <mergeCells count="11">
    <mergeCell ref="A4:C4"/>
    <mergeCell ref="A10:A11"/>
    <mergeCell ref="I10:I11"/>
    <mergeCell ref="G10:G11"/>
    <mergeCell ref="F10:F11"/>
    <mergeCell ref="C10:C11"/>
    <mergeCell ref="B10:B11"/>
    <mergeCell ref="A5:B5"/>
    <mergeCell ref="A6:B6"/>
    <mergeCell ref="A7:B7"/>
    <mergeCell ref="A8:B8"/>
  </mergeCells>
  <phoneticPr fontId="0" type="noConversion"/>
  <hyperlinks>
    <hyperlink ref="E1" location="VPI!A1" display="← Précédent" xr:uid="{BB8ECA03-C04E-4697-B3DD-619E0FB40F67}"/>
    <hyperlink ref="F1" location="'Table des matières'!A1" display="Table des             matières" xr:uid="{54975323-3646-4DA1-AA62-F5E15D2A8645}"/>
    <hyperlink ref="G1" location="Ecrêtage!A1" display="Suivant →" xr:uid="{6AA66BEC-28C4-4E9D-9CB2-8418588B3BDC}"/>
  </hyperlinks>
  <printOptions horizontalCentered="1"/>
  <pageMargins left="0" right="0" top="0" bottom="0" header="0.51181102362204722" footer="0.51181102362204722"/>
  <pageSetup paperSize="9" scale="73" orientation="portrait" horizontalDpi="4294967292" verticalDpi="4294967292"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theme="5" tint="0.79998168889431442"/>
  </sheetPr>
  <dimension ref="A1:T312"/>
  <sheetViews>
    <sheetView workbookViewId="0">
      <pane ySplit="5" topLeftCell="A6" activePane="bottomLeft" state="frozen"/>
      <selection activeCell="D32" sqref="D32"/>
      <selection pane="bottomLeft" activeCell="A6" sqref="A6"/>
    </sheetView>
  </sheetViews>
  <sheetFormatPr baseColWidth="10" defaultColWidth="11" defaultRowHeight="15" x14ac:dyDescent="0.25"/>
  <cols>
    <col min="1" max="1" width="8.75" style="11" customWidth="1"/>
    <col min="2" max="2" width="23.625" style="11" customWidth="1"/>
    <col min="3" max="3" width="16.75" style="346" customWidth="1"/>
    <col min="4" max="4" width="11" style="11" customWidth="1"/>
    <col min="5" max="5" width="14.125" style="11" customWidth="1"/>
    <col min="6" max="6" width="10.875" style="45" customWidth="1"/>
    <col min="7" max="10" width="7" style="11" bestFit="1" customWidth="1"/>
    <col min="11" max="11" width="6.5" style="11" customWidth="1"/>
    <col min="12" max="12" width="9.625" style="11" customWidth="1"/>
    <col min="13" max="13" width="10.75" style="10" bestFit="1" customWidth="1"/>
    <col min="14" max="14" width="3.75" style="189" customWidth="1"/>
    <col min="15" max="15" width="12.625" style="189" customWidth="1"/>
    <col min="16" max="17" width="11" style="189" customWidth="1"/>
    <col min="18" max="18" width="11.25" style="189" customWidth="1"/>
    <col min="19" max="19" width="11" style="11"/>
    <col min="20" max="20" width="5.875" style="11" customWidth="1"/>
    <col min="21" max="16384" width="11" style="11"/>
  </cols>
  <sheetData>
    <row r="1" spans="1:20" s="256" customFormat="1" ht="29.1" customHeight="1" x14ac:dyDescent="0.4">
      <c r="A1" s="254" t="s">
        <v>539</v>
      </c>
      <c r="B1" s="255"/>
      <c r="C1" s="374" t="s">
        <v>405</v>
      </c>
      <c r="D1" s="287" t="s">
        <v>483</v>
      </c>
      <c r="E1" s="439" t="s">
        <v>406</v>
      </c>
      <c r="N1" s="257"/>
      <c r="O1" s="344"/>
      <c r="P1" s="342"/>
      <c r="Q1" s="342"/>
      <c r="R1" s="342"/>
      <c r="S1" s="342"/>
    </row>
    <row r="2" spans="1:20" s="202" customFormat="1" ht="15.75" customHeight="1" x14ac:dyDescent="0.25">
      <c r="A2" s="327" t="str">
        <f>Paramètres!B4</f>
        <v>Décompte 2022</v>
      </c>
      <c r="B2" s="32"/>
      <c r="C2" s="345"/>
      <c r="D2" s="33"/>
      <c r="E2" s="33"/>
      <c r="F2" s="44"/>
      <c r="M2" s="10"/>
      <c r="N2" s="222"/>
      <c r="O2" s="342"/>
      <c r="P2" s="342"/>
      <c r="Q2" s="342"/>
      <c r="R2" s="342"/>
      <c r="S2" s="342"/>
    </row>
    <row r="3" spans="1:20" ht="15" customHeight="1" x14ac:dyDescent="0.25">
      <c r="G3" s="298">
        <f>$E$306*G5</f>
        <v>48.470762612911713</v>
      </c>
      <c r="H3" s="298">
        <f>$E$306*H5</f>
        <v>58.164915135494056</v>
      </c>
      <c r="I3" s="298">
        <f>$E$306*I5</f>
        <v>72.706143919367577</v>
      </c>
      <c r="J3" s="298">
        <f>$E$306*J5</f>
        <v>96.941525225823426</v>
      </c>
      <c r="K3" s="298">
        <f>$E$306*K5</f>
        <v>145.41228783873515</v>
      </c>
      <c r="O3" s="342"/>
      <c r="P3" s="342"/>
      <c r="Q3" s="342"/>
      <c r="R3" s="342"/>
      <c r="S3" s="342"/>
      <c r="T3" s="202"/>
    </row>
    <row r="4" spans="1:20" ht="37.5" customHeight="1" x14ac:dyDescent="0.25">
      <c r="A4" s="736" t="s">
        <v>44</v>
      </c>
      <c r="B4" s="736" t="s">
        <v>84</v>
      </c>
      <c r="C4" s="754" t="s">
        <v>424</v>
      </c>
      <c r="D4" s="755"/>
      <c r="E4" s="756"/>
      <c r="F4" s="752" t="s">
        <v>248</v>
      </c>
      <c r="G4" s="295">
        <f>Paramètres!B24</f>
        <v>0.2</v>
      </c>
      <c r="H4" s="295">
        <f>Paramètres!C24</f>
        <v>0.3</v>
      </c>
      <c r="I4" s="295">
        <f>Paramètres!D24</f>
        <v>0.4</v>
      </c>
      <c r="J4" s="295">
        <f>Paramètres!E24</f>
        <v>0.5</v>
      </c>
      <c r="K4" s="295">
        <f>Paramètres!F24</f>
        <v>0.6</v>
      </c>
      <c r="L4" s="752" t="s">
        <v>251</v>
      </c>
      <c r="M4" s="752" t="s">
        <v>560</v>
      </c>
      <c r="O4" s="342"/>
      <c r="P4" s="342"/>
      <c r="Q4" s="342"/>
      <c r="R4" s="342"/>
      <c r="S4" s="342"/>
      <c r="T4" s="342"/>
    </row>
    <row r="5" spans="1:20" ht="37.5" customHeight="1" x14ac:dyDescent="0.25">
      <c r="A5" s="742"/>
      <c r="B5" s="742"/>
      <c r="C5" s="296" t="s">
        <v>413</v>
      </c>
      <c r="D5" s="296" t="s">
        <v>257</v>
      </c>
      <c r="E5" s="296" t="s">
        <v>485</v>
      </c>
      <c r="F5" s="752"/>
      <c r="G5" s="297">
        <f>Paramètres!B25</f>
        <v>1</v>
      </c>
      <c r="H5" s="297">
        <f>Paramètres!C25</f>
        <v>1.2</v>
      </c>
      <c r="I5" s="297">
        <f>Paramètres!D25</f>
        <v>1.5</v>
      </c>
      <c r="J5" s="297">
        <f>Paramètres!E25</f>
        <v>2</v>
      </c>
      <c r="K5" s="297">
        <f>Paramètres!F25</f>
        <v>3</v>
      </c>
      <c r="L5" s="753"/>
      <c r="M5" s="752"/>
      <c r="O5" s="342"/>
      <c r="P5" s="342"/>
      <c r="Q5" s="342"/>
      <c r="R5" s="342"/>
      <c r="S5" s="342"/>
      <c r="T5" s="342"/>
    </row>
    <row r="6" spans="1:20" x14ac:dyDescent="0.25">
      <c r="A6" s="68">
        <f>Données!A6</f>
        <v>5401</v>
      </c>
      <c r="B6" s="170" t="str">
        <f>Données!B6</f>
        <v>Aigle</v>
      </c>
      <c r="C6" s="347">
        <f>VPI!R6</f>
        <v>294634.51575757569</v>
      </c>
      <c r="D6" s="27">
        <f>Données!Z6</f>
        <v>10937</v>
      </c>
      <c r="E6" s="114">
        <f>C6/D6</f>
        <v>26.939244377578465</v>
      </c>
      <c r="F6" s="188">
        <f>E6/$E$306</f>
        <v>0.55578338209191591</v>
      </c>
      <c r="G6" s="443">
        <f t="shared" ref="G6" si="0">IF(E6-$G$3&lt;0,0,E6-$G$3)</f>
        <v>0</v>
      </c>
      <c r="H6" s="443">
        <f t="shared" ref="H6" si="1">IF(E6-$H$3&lt;0,0,E6-$H$3)</f>
        <v>0</v>
      </c>
      <c r="I6" s="443">
        <f t="shared" ref="I6" si="2">IF(E6-$I$3&lt;0,0,E6-$I$3)</f>
        <v>0</v>
      </c>
      <c r="J6" s="443">
        <f t="shared" ref="J6" si="3">IF(E6-$J$3&lt;0,0,E6-$J$3)</f>
        <v>0</v>
      </c>
      <c r="K6" s="443">
        <f t="shared" ref="K6" si="4">IF(E6-$K$3&lt;0,0,E6-$K$3)</f>
        <v>0</v>
      </c>
      <c r="L6" s="444">
        <f>(G6-H6)*$G$4+(H6-I6)*$H$4+(I6-J6)*$I$4+(J6-K6)*$J$4+(K6*$K$4)</f>
        <v>0</v>
      </c>
      <c r="M6" s="299">
        <f>L6*D6*VPI!Q6</f>
        <v>0</v>
      </c>
    </row>
    <row r="7" spans="1:20" x14ac:dyDescent="0.25">
      <c r="A7" s="169">
        <f>Données!A7</f>
        <v>5402</v>
      </c>
      <c r="B7" s="27" t="str">
        <f>Données!B7</f>
        <v>Bex</v>
      </c>
      <c r="C7" s="347">
        <f>VPI!R7</f>
        <v>191961.18746478873</v>
      </c>
      <c r="D7" s="27">
        <f>Données!Z7</f>
        <v>8151</v>
      </c>
      <c r="E7" s="114">
        <f t="shared" ref="E7:E70" si="5">C7/D7</f>
        <v>23.550630286441997</v>
      </c>
      <c r="F7" s="188">
        <f t="shared" ref="F7:F70" si="6">E7/$E$306</f>
        <v>0.48587290599320065</v>
      </c>
      <c r="G7" s="443">
        <f t="shared" ref="G7:G70" si="7">IF(E7-$G$3&lt;0,0,E7-$G$3)</f>
        <v>0</v>
      </c>
      <c r="H7" s="443">
        <f t="shared" ref="H7:H70" si="8">IF(E7-$H$3&lt;0,0,E7-$H$3)</f>
        <v>0</v>
      </c>
      <c r="I7" s="443">
        <f t="shared" ref="I7:I70" si="9">IF(E7-$I$3&lt;0,0,E7-$I$3)</f>
        <v>0</v>
      </c>
      <c r="J7" s="443">
        <f t="shared" ref="J7:J70" si="10">IF(E7-$J$3&lt;0,0,E7-$J$3)</f>
        <v>0</v>
      </c>
      <c r="K7" s="443">
        <f t="shared" ref="K7:K70" si="11">IF(E7-$K$3&lt;0,0,E7-$K$3)</f>
        <v>0</v>
      </c>
      <c r="L7" s="445">
        <f t="shared" ref="L7:L70" si="12">(G7-H7)*$G$4+(H7-I7)*$H$4+(I7-J7)*$I$4+(J7-K7)*$J$4+(K7*$K$4)</f>
        <v>0</v>
      </c>
      <c r="M7" s="299">
        <f>L7*D7*VPI!Q7</f>
        <v>0</v>
      </c>
    </row>
    <row r="8" spans="1:20" x14ac:dyDescent="0.25">
      <c r="A8" s="169">
        <f>Données!A8</f>
        <v>5403</v>
      </c>
      <c r="B8" s="27" t="str">
        <f>Données!B8</f>
        <v>Chessel</v>
      </c>
      <c r="C8" s="347">
        <f>VPI!R8</f>
        <v>13521.430615384616</v>
      </c>
      <c r="D8" s="27">
        <f>Données!Z8</f>
        <v>528</v>
      </c>
      <c r="E8" s="114">
        <f t="shared" si="5"/>
        <v>25.608770104895104</v>
      </c>
      <c r="F8" s="188">
        <f t="shared" si="6"/>
        <v>0.52833437570205266</v>
      </c>
      <c r="G8" s="443">
        <f t="shared" si="7"/>
        <v>0</v>
      </c>
      <c r="H8" s="443">
        <f t="shared" si="8"/>
        <v>0</v>
      </c>
      <c r="I8" s="443">
        <f t="shared" si="9"/>
        <v>0</v>
      </c>
      <c r="J8" s="443">
        <f t="shared" si="10"/>
        <v>0</v>
      </c>
      <c r="K8" s="443">
        <f t="shared" si="11"/>
        <v>0</v>
      </c>
      <c r="L8" s="445">
        <f t="shared" si="12"/>
        <v>0</v>
      </c>
      <c r="M8" s="299">
        <f>L8*D8*VPI!Q8</f>
        <v>0</v>
      </c>
    </row>
    <row r="9" spans="1:20" x14ac:dyDescent="0.25">
      <c r="A9" s="169">
        <f>Données!A9</f>
        <v>5404</v>
      </c>
      <c r="B9" s="27" t="str">
        <f>Données!B9</f>
        <v>Corbeyrier</v>
      </c>
      <c r="C9" s="347">
        <f>VPI!R9</f>
        <v>11663.247882882884</v>
      </c>
      <c r="D9" s="27">
        <f>Données!Z9</f>
        <v>440</v>
      </c>
      <c r="E9" s="114">
        <f t="shared" si="5"/>
        <v>26.507381552006557</v>
      </c>
      <c r="F9" s="188">
        <f t="shared" si="6"/>
        <v>0.54687362284135965</v>
      </c>
      <c r="G9" s="443">
        <f t="shared" si="7"/>
        <v>0</v>
      </c>
      <c r="H9" s="443">
        <f t="shared" si="8"/>
        <v>0</v>
      </c>
      <c r="I9" s="443">
        <f t="shared" si="9"/>
        <v>0</v>
      </c>
      <c r="J9" s="443">
        <f t="shared" si="10"/>
        <v>0</v>
      </c>
      <c r="K9" s="443">
        <f t="shared" si="11"/>
        <v>0</v>
      </c>
      <c r="L9" s="445">
        <f t="shared" si="12"/>
        <v>0</v>
      </c>
      <c r="M9" s="299">
        <f>L9*D9*VPI!Q9</f>
        <v>0</v>
      </c>
    </row>
    <row r="10" spans="1:20" x14ac:dyDescent="0.25">
      <c r="A10" s="169">
        <f>Données!A10</f>
        <v>5405</v>
      </c>
      <c r="B10" s="27" t="str">
        <f>Données!B10</f>
        <v>Gryon</v>
      </c>
      <c r="C10" s="347">
        <f>VPI!R10</f>
        <v>73286.214467120197</v>
      </c>
      <c r="D10" s="27">
        <f>Données!Z10</f>
        <v>1389</v>
      </c>
      <c r="E10" s="114">
        <f t="shared" si="5"/>
        <v>52.761853468049097</v>
      </c>
      <c r="F10" s="188">
        <f t="shared" si="6"/>
        <v>1.0885294685665687</v>
      </c>
      <c r="G10" s="443">
        <f t="shared" si="7"/>
        <v>4.2910908551373836</v>
      </c>
      <c r="H10" s="443">
        <f t="shared" si="8"/>
        <v>0</v>
      </c>
      <c r="I10" s="443">
        <f t="shared" si="9"/>
        <v>0</v>
      </c>
      <c r="J10" s="443">
        <f t="shared" si="10"/>
        <v>0</v>
      </c>
      <c r="K10" s="443">
        <f t="shared" si="11"/>
        <v>0</v>
      </c>
      <c r="L10" s="445">
        <f t="shared" si="12"/>
        <v>0.85821817102747677</v>
      </c>
      <c r="M10" s="299">
        <f>L10*D10*VPI!Q10</f>
        <v>87616.780407451646</v>
      </c>
    </row>
    <row r="11" spans="1:20" x14ac:dyDescent="0.25">
      <c r="A11" s="169">
        <f>Données!A11</f>
        <v>5406</v>
      </c>
      <c r="B11" s="27" t="str">
        <f>Données!B11</f>
        <v>Lavey-Morcles</v>
      </c>
      <c r="C11" s="347">
        <f>VPI!R11</f>
        <v>22111.529381387842</v>
      </c>
      <c r="D11" s="27">
        <f>Données!Z11</f>
        <v>979</v>
      </c>
      <c r="E11" s="114">
        <f t="shared" si="5"/>
        <v>22.585831850242943</v>
      </c>
      <c r="F11" s="188">
        <f t="shared" si="6"/>
        <v>0.46596815549641252</v>
      </c>
      <c r="G11" s="443">
        <f t="shared" si="7"/>
        <v>0</v>
      </c>
      <c r="H11" s="443">
        <f t="shared" si="8"/>
        <v>0</v>
      </c>
      <c r="I11" s="443">
        <f t="shared" si="9"/>
        <v>0</v>
      </c>
      <c r="J11" s="443">
        <f t="shared" si="10"/>
        <v>0</v>
      </c>
      <c r="K11" s="443">
        <f t="shared" si="11"/>
        <v>0</v>
      </c>
      <c r="L11" s="445">
        <f t="shared" si="12"/>
        <v>0</v>
      </c>
      <c r="M11" s="299">
        <f>L11*D11*VPI!Q11</f>
        <v>0</v>
      </c>
    </row>
    <row r="12" spans="1:20" x14ac:dyDescent="0.25">
      <c r="A12" s="169">
        <f>Données!A12</f>
        <v>5407</v>
      </c>
      <c r="B12" s="27" t="str">
        <f>Données!B12</f>
        <v>Leysin</v>
      </c>
      <c r="C12" s="347">
        <f>VPI!R12</f>
        <v>89841.412521367529</v>
      </c>
      <c r="D12" s="27">
        <f>Données!Z12</f>
        <v>3743</v>
      </c>
      <c r="E12" s="114">
        <f t="shared" si="5"/>
        <v>24.002514699804308</v>
      </c>
      <c r="F12" s="188">
        <f t="shared" si="6"/>
        <v>0.4951957304961091</v>
      </c>
      <c r="G12" s="443">
        <f t="shared" si="7"/>
        <v>0</v>
      </c>
      <c r="H12" s="443">
        <f t="shared" si="8"/>
        <v>0</v>
      </c>
      <c r="I12" s="443">
        <f t="shared" si="9"/>
        <v>0</v>
      </c>
      <c r="J12" s="443">
        <f t="shared" si="10"/>
        <v>0</v>
      </c>
      <c r="K12" s="443">
        <f t="shared" si="11"/>
        <v>0</v>
      </c>
      <c r="L12" s="445">
        <f t="shared" si="12"/>
        <v>0</v>
      </c>
      <c r="M12" s="299">
        <f>L12*D12*VPI!Q12</f>
        <v>0</v>
      </c>
    </row>
    <row r="13" spans="1:20" x14ac:dyDescent="0.25">
      <c r="A13" s="169">
        <f>Données!A13</f>
        <v>5408</v>
      </c>
      <c r="B13" s="27" t="str">
        <f>Données!B13</f>
        <v>Noville</v>
      </c>
      <c r="C13" s="347">
        <f>VPI!R13</f>
        <v>41973.380088888902</v>
      </c>
      <c r="D13" s="27">
        <f>Données!Z13</f>
        <v>1169</v>
      </c>
      <c r="E13" s="114">
        <f t="shared" si="5"/>
        <v>35.905372188955432</v>
      </c>
      <c r="F13" s="188">
        <f t="shared" si="6"/>
        <v>0.7407635088330734</v>
      </c>
      <c r="G13" s="443">
        <f t="shared" si="7"/>
        <v>0</v>
      </c>
      <c r="H13" s="443">
        <f t="shared" si="8"/>
        <v>0</v>
      </c>
      <c r="I13" s="443">
        <f t="shared" si="9"/>
        <v>0</v>
      </c>
      <c r="J13" s="443">
        <f t="shared" si="10"/>
        <v>0</v>
      </c>
      <c r="K13" s="443">
        <f t="shared" si="11"/>
        <v>0</v>
      </c>
      <c r="L13" s="445">
        <f t="shared" si="12"/>
        <v>0</v>
      </c>
      <c r="M13" s="299">
        <f>L13*D13*VPI!Q13</f>
        <v>0</v>
      </c>
    </row>
    <row r="14" spans="1:20" x14ac:dyDescent="0.25">
      <c r="A14" s="169">
        <f>Données!A14</f>
        <v>5409</v>
      </c>
      <c r="B14" s="27" t="str">
        <f>Données!B14</f>
        <v>Ollon</v>
      </c>
      <c r="C14" s="347">
        <f>VPI!R14</f>
        <v>405938.29721719451</v>
      </c>
      <c r="D14" s="27">
        <f>Données!Z14</f>
        <v>7967</v>
      </c>
      <c r="E14" s="114">
        <f t="shared" si="5"/>
        <v>50.95246607470748</v>
      </c>
      <c r="F14" s="188">
        <f t="shared" si="6"/>
        <v>1.0512000085827964</v>
      </c>
      <c r="G14" s="443">
        <f t="shared" si="7"/>
        <v>2.4817034617957674</v>
      </c>
      <c r="H14" s="443">
        <f t="shared" si="8"/>
        <v>0</v>
      </c>
      <c r="I14" s="443">
        <f t="shared" si="9"/>
        <v>0</v>
      </c>
      <c r="J14" s="443">
        <f t="shared" si="10"/>
        <v>0</v>
      </c>
      <c r="K14" s="443">
        <f t="shared" si="11"/>
        <v>0</v>
      </c>
      <c r="L14" s="445">
        <f t="shared" si="12"/>
        <v>0.49634069235915351</v>
      </c>
      <c r="M14" s="299">
        <f>L14*D14*VPI!Q14</f>
        <v>268895.54812972556</v>
      </c>
    </row>
    <row r="15" spans="1:20" x14ac:dyDescent="0.25">
      <c r="A15" s="169">
        <f>Données!A15</f>
        <v>5410</v>
      </c>
      <c r="B15" s="27" t="str">
        <f>Données!B15</f>
        <v>Ormont-Dessous</v>
      </c>
      <c r="C15" s="347">
        <f>VPI!R15</f>
        <v>38413.35632034632</v>
      </c>
      <c r="D15" s="27">
        <f>Données!Z15</f>
        <v>1178</v>
      </c>
      <c r="E15" s="114">
        <f t="shared" si="5"/>
        <v>32.608961222704856</v>
      </c>
      <c r="F15" s="188">
        <f t="shared" si="6"/>
        <v>0.67275527482661135</v>
      </c>
      <c r="G15" s="443">
        <f t="shared" si="7"/>
        <v>0</v>
      </c>
      <c r="H15" s="443">
        <f t="shared" si="8"/>
        <v>0</v>
      </c>
      <c r="I15" s="443">
        <f t="shared" si="9"/>
        <v>0</v>
      </c>
      <c r="J15" s="443">
        <f t="shared" si="10"/>
        <v>0</v>
      </c>
      <c r="K15" s="443">
        <f t="shared" si="11"/>
        <v>0</v>
      </c>
      <c r="L15" s="445">
        <f t="shared" si="12"/>
        <v>0</v>
      </c>
      <c r="M15" s="299">
        <f>L15*D15*VPI!Q15</f>
        <v>0</v>
      </c>
    </row>
    <row r="16" spans="1:20" x14ac:dyDescent="0.25">
      <c r="A16" s="169">
        <f>Données!A16</f>
        <v>5411</v>
      </c>
      <c r="B16" s="27" t="str">
        <f>Données!B16</f>
        <v>Ormont-Dessus</v>
      </c>
      <c r="C16" s="347">
        <f>VPI!R16</f>
        <v>76161.465657894747</v>
      </c>
      <c r="D16" s="27">
        <f>Données!Z16</f>
        <v>1425</v>
      </c>
      <c r="E16" s="114">
        <f t="shared" si="5"/>
        <v>53.44664256694368</v>
      </c>
      <c r="F16" s="188">
        <f t="shared" si="6"/>
        <v>1.102657348178518</v>
      </c>
      <c r="G16" s="443">
        <f t="shared" si="7"/>
        <v>4.9758799540319671</v>
      </c>
      <c r="H16" s="443">
        <f t="shared" si="8"/>
        <v>0</v>
      </c>
      <c r="I16" s="443">
        <f t="shared" si="9"/>
        <v>0</v>
      </c>
      <c r="J16" s="443">
        <f t="shared" si="10"/>
        <v>0</v>
      </c>
      <c r="K16" s="443">
        <f t="shared" si="11"/>
        <v>0</v>
      </c>
      <c r="L16" s="445">
        <f t="shared" si="12"/>
        <v>0.99517599080639352</v>
      </c>
      <c r="M16" s="299">
        <f>L16*D16*VPI!Q16</f>
        <v>107777.55980433243</v>
      </c>
    </row>
    <row r="17" spans="1:13" x14ac:dyDescent="0.25">
      <c r="A17" s="169">
        <f>Données!A17</f>
        <v>5412</v>
      </c>
      <c r="B17" s="27" t="str">
        <f>Données!B17</f>
        <v>Rennaz</v>
      </c>
      <c r="C17" s="347">
        <f>VPI!R17</f>
        <v>32240.440579710143</v>
      </c>
      <c r="D17" s="27">
        <f>Données!Z17</f>
        <v>929</v>
      </c>
      <c r="E17" s="114">
        <f t="shared" si="5"/>
        <v>34.704457028751499</v>
      </c>
      <c r="F17" s="188">
        <f t="shared" si="6"/>
        <v>0.71598743568162626</v>
      </c>
      <c r="G17" s="443">
        <f t="shared" si="7"/>
        <v>0</v>
      </c>
      <c r="H17" s="443">
        <f t="shared" si="8"/>
        <v>0</v>
      </c>
      <c r="I17" s="443">
        <f t="shared" si="9"/>
        <v>0</v>
      </c>
      <c r="J17" s="443">
        <f t="shared" si="10"/>
        <v>0</v>
      </c>
      <c r="K17" s="443">
        <f t="shared" si="11"/>
        <v>0</v>
      </c>
      <c r="L17" s="445">
        <f t="shared" si="12"/>
        <v>0</v>
      </c>
      <c r="M17" s="299">
        <f>L17*D17*VPI!Q17</f>
        <v>0</v>
      </c>
    </row>
    <row r="18" spans="1:13" x14ac:dyDescent="0.25">
      <c r="A18" s="169">
        <f>Données!A18</f>
        <v>5413</v>
      </c>
      <c r="B18" s="27" t="str">
        <f>Données!B18</f>
        <v>Roche</v>
      </c>
      <c r="C18" s="347">
        <f>VPI!R18</f>
        <v>42596.643504901964</v>
      </c>
      <c r="D18" s="27">
        <f>Données!Z18</f>
        <v>1940</v>
      </c>
      <c r="E18" s="114">
        <f t="shared" si="5"/>
        <v>21.957032734485548</v>
      </c>
      <c r="F18" s="188">
        <f t="shared" si="6"/>
        <v>0.45299540487602319</v>
      </c>
      <c r="G18" s="443">
        <f t="shared" si="7"/>
        <v>0</v>
      </c>
      <c r="H18" s="443">
        <f t="shared" si="8"/>
        <v>0</v>
      </c>
      <c r="I18" s="443">
        <f t="shared" si="9"/>
        <v>0</v>
      </c>
      <c r="J18" s="443">
        <f t="shared" si="10"/>
        <v>0</v>
      </c>
      <c r="K18" s="443">
        <f t="shared" si="11"/>
        <v>0</v>
      </c>
      <c r="L18" s="445">
        <f t="shared" si="12"/>
        <v>0</v>
      </c>
      <c r="M18" s="299">
        <f>L18*D18*VPI!Q18</f>
        <v>0</v>
      </c>
    </row>
    <row r="19" spans="1:13" x14ac:dyDescent="0.25">
      <c r="A19" s="169">
        <f>Données!A19</f>
        <v>5414</v>
      </c>
      <c r="B19" s="27" t="str">
        <f>Données!B19</f>
        <v>Villeneuve</v>
      </c>
      <c r="C19" s="347">
        <f>VPI!R19</f>
        <v>165881.46711111109</v>
      </c>
      <c r="D19" s="27">
        <f>Données!Z19</f>
        <v>5979</v>
      </c>
      <c r="E19" s="114">
        <f t="shared" si="5"/>
        <v>27.744015238520003</v>
      </c>
      <c r="F19" s="188">
        <f t="shared" si="6"/>
        <v>0.57238660468547098</v>
      </c>
      <c r="G19" s="443">
        <f t="shared" si="7"/>
        <v>0</v>
      </c>
      <c r="H19" s="443">
        <f t="shared" si="8"/>
        <v>0</v>
      </c>
      <c r="I19" s="443">
        <f t="shared" si="9"/>
        <v>0</v>
      </c>
      <c r="J19" s="443">
        <f t="shared" si="10"/>
        <v>0</v>
      </c>
      <c r="K19" s="443">
        <f t="shared" si="11"/>
        <v>0</v>
      </c>
      <c r="L19" s="445">
        <f t="shared" si="12"/>
        <v>0</v>
      </c>
      <c r="M19" s="299">
        <f>L19*D19*VPI!Q19</f>
        <v>0</v>
      </c>
    </row>
    <row r="20" spans="1:13" x14ac:dyDescent="0.25">
      <c r="A20" s="169">
        <f>Données!A20</f>
        <v>5415</v>
      </c>
      <c r="B20" s="27" t="str">
        <f>Données!B20</f>
        <v>Yvorne</v>
      </c>
      <c r="C20" s="347">
        <f>VPI!R20</f>
        <v>33675.515990675995</v>
      </c>
      <c r="D20" s="27">
        <f>Données!Z20</f>
        <v>1088</v>
      </c>
      <c r="E20" s="114">
        <f t="shared" si="5"/>
        <v>30.951761020841907</v>
      </c>
      <c r="F20" s="188">
        <f t="shared" si="6"/>
        <v>0.6385655878374179</v>
      </c>
      <c r="G20" s="443">
        <f t="shared" si="7"/>
        <v>0</v>
      </c>
      <c r="H20" s="443">
        <f t="shared" si="8"/>
        <v>0</v>
      </c>
      <c r="I20" s="443">
        <f t="shared" si="9"/>
        <v>0</v>
      </c>
      <c r="J20" s="443">
        <f t="shared" si="10"/>
        <v>0</v>
      </c>
      <c r="K20" s="443">
        <f t="shared" si="11"/>
        <v>0</v>
      </c>
      <c r="L20" s="445">
        <f t="shared" si="12"/>
        <v>0</v>
      </c>
      <c r="M20" s="299">
        <f>L20*D20*VPI!Q20</f>
        <v>0</v>
      </c>
    </row>
    <row r="21" spans="1:13" x14ac:dyDescent="0.25">
      <c r="A21" s="169">
        <f>Données!A21</f>
        <v>5422</v>
      </c>
      <c r="B21" s="27" t="str">
        <f>Données!B21</f>
        <v>Aubonne</v>
      </c>
      <c r="C21" s="347">
        <f>VPI!R21</f>
        <v>297608.37742857152</v>
      </c>
      <c r="D21" s="27">
        <f>Données!Z21</f>
        <v>3792</v>
      </c>
      <c r="E21" s="114">
        <f t="shared" si="5"/>
        <v>78.483221895720334</v>
      </c>
      <c r="F21" s="188">
        <f t="shared" si="6"/>
        <v>1.6191868595608574</v>
      </c>
      <c r="G21" s="443">
        <f t="shared" si="7"/>
        <v>30.012459282808621</v>
      </c>
      <c r="H21" s="443">
        <f t="shared" si="8"/>
        <v>20.318306760226278</v>
      </c>
      <c r="I21" s="443">
        <f t="shared" si="9"/>
        <v>5.7770779763527571</v>
      </c>
      <c r="J21" s="443">
        <f t="shared" si="10"/>
        <v>0</v>
      </c>
      <c r="K21" s="443">
        <f t="shared" si="11"/>
        <v>0</v>
      </c>
      <c r="L21" s="445">
        <f t="shared" si="12"/>
        <v>8.6120303302196284</v>
      </c>
      <c r="M21" s="299">
        <f>L21*D21*VPI!Q21</f>
        <v>2285977.3308534981</v>
      </c>
    </row>
    <row r="22" spans="1:13" x14ac:dyDescent="0.25">
      <c r="A22" s="169">
        <f>Données!A22</f>
        <v>5423</v>
      </c>
      <c r="B22" s="27" t="str">
        <f>Données!B22</f>
        <v>Ballens</v>
      </c>
      <c r="C22" s="347">
        <f>VPI!R22</f>
        <v>17345.890547945211</v>
      </c>
      <c r="D22" s="27">
        <f>Données!Z22</f>
        <v>590</v>
      </c>
      <c r="E22" s="114">
        <f t="shared" si="5"/>
        <v>29.399814488042733</v>
      </c>
      <c r="F22" s="188">
        <f t="shared" si="6"/>
        <v>0.60654738863570445</v>
      </c>
      <c r="G22" s="443">
        <f t="shared" si="7"/>
        <v>0</v>
      </c>
      <c r="H22" s="443">
        <f t="shared" si="8"/>
        <v>0</v>
      </c>
      <c r="I22" s="443">
        <f t="shared" si="9"/>
        <v>0</v>
      </c>
      <c r="J22" s="443">
        <f t="shared" si="10"/>
        <v>0</v>
      </c>
      <c r="K22" s="443">
        <f t="shared" si="11"/>
        <v>0</v>
      </c>
      <c r="L22" s="445">
        <f t="shared" si="12"/>
        <v>0</v>
      </c>
      <c r="M22" s="299">
        <f>L22*D22*VPI!Q22</f>
        <v>0</v>
      </c>
    </row>
    <row r="23" spans="1:13" x14ac:dyDescent="0.25">
      <c r="A23" s="169">
        <f>Données!A23</f>
        <v>5424</v>
      </c>
      <c r="B23" s="27" t="str">
        <f>Données!B23</f>
        <v>Berolle</v>
      </c>
      <c r="C23" s="347">
        <f>VPI!R23</f>
        <v>10263.254304635762</v>
      </c>
      <c r="D23" s="27">
        <f>Données!Z23</f>
        <v>303</v>
      </c>
      <c r="E23" s="114">
        <f t="shared" si="5"/>
        <v>33.87212641793981</v>
      </c>
      <c r="F23" s="188">
        <f t="shared" si="6"/>
        <v>0.69881562806104691</v>
      </c>
      <c r="G23" s="443">
        <f t="shared" si="7"/>
        <v>0</v>
      </c>
      <c r="H23" s="443">
        <f t="shared" si="8"/>
        <v>0</v>
      </c>
      <c r="I23" s="443">
        <f t="shared" si="9"/>
        <v>0</v>
      </c>
      <c r="J23" s="443">
        <f t="shared" si="10"/>
        <v>0</v>
      </c>
      <c r="K23" s="443">
        <f t="shared" si="11"/>
        <v>0</v>
      </c>
      <c r="L23" s="445">
        <f t="shared" si="12"/>
        <v>0</v>
      </c>
      <c r="M23" s="299">
        <f>L23*D23*VPI!Q23</f>
        <v>0</v>
      </c>
    </row>
    <row r="24" spans="1:13" x14ac:dyDescent="0.25">
      <c r="A24" s="169">
        <f>Données!A24</f>
        <v>5425</v>
      </c>
      <c r="B24" s="27" t="str">
        <f>Données!B24</f>
        <v>Bière</v>
      </c>
      <c r="C24" s="347">
        <f>VPI!R24</f>
        <v>42247.955252373817</v>
      </c>
      <c r="D24" s="27">
        <f>Données!Z24</f>
        <v>1683</v>
      </c>
      <c r="E24" s="114">
        <f t="shared" si="5"/>
        <v>25.102766044191217</v>
      </c>
      <c r="F24" s="188">
        <f t="shared" si="6"/>
        <v>0.51789500909367381</v>
      </c>
      <c r="G24" s="443">
        <f t="shared" si="7"/>
        <v>0</v>
      </c>
      <c r="H24" s="443">
        <f t="shared" si="8"/>
        <v>0</v>
      </c>
      <c r="I24" s="443">
        <f t="shared" si="9"/>
        <v>0</v>
      </c>
      <c r="J24" s="443">
        <f t="shared" si="10"/>
        <v>0</v>
      </c>
      <c r="K24" s="443">
        <f t="shared" si="11"/>
        <v>0</v>
      </c>
      <c r="L24" s="445">
        <f t="shared" si="12"/>
        <v>0</v>
      </c>
      <c r="M24" s="299">
        <f>L24*D24*VPI!Q24</f>
        <v>0</v>
      </c>
    </row>
    <row r="25" spans="1:13" x14ac:dyDescent="0.25">
      <c r="A25" s="169">
        <f>Données!A25</f>
        <v>5426</v>
      </c>
      <c r="B25" s="27" t="str">
        <f>Données!B25</f>
        <v>Bougy-Villars</v>
      </c>
      <c r="C25" s="347">
        <f>VPI!R25</f>
        <v>61945.082222222212</v>
      </c>
      <c r="D25" s="27">
        <f>Données!Z25</f>
        <v>506</v>
      </c>
      <c r="E25" s="114">
        <f t="shared" si="5"/>
        <v>122.42111111111109</v>
      </c>
      <c r="F25" s="188">
        <f t="shared" si="6"/>
        <v>2.5256691768761312</v>
      </c>
      <c r="G25" s="443">
        <f t="shared" si="7"/>
        <v>73.950348498199375</v>
      </c>
      <c r="H25" s="443">
        <f t="shared" si="8"/>
        <v>64.256195975617032</v>
      </c>
      <c r="I25" s="443">
        <f t="shared" si="9"/>
        <v>49.714967191743511</v>
      </c>
      <c r="J25" s="443">
        <f t="shared" si="10"/>
        <v>25.479585885287662</v>
      </c>
      <c r="K25" s="443">
        <f t="shared" si="11"/>
        <v>0</v>
      </c>
      <c r="L25" s="445">
        <f t="shared" si="12"/>
        <v>28.735144604904697</v>
      </c>
      <c r="M25" s="299">
        <f>L25*D25*VPI!Q25</f>
        <v>937828.91447027458</v>
      </c>
    </row>
    <row r="26" spans="1:13" x14ac:dyDescent="0.25">
      <c r="A26" s="169">
        <f>Données!A26</f>
        <v>5427</v>
      </c>
      <c r="B26" s="27" t="str">
        <f>Données!B26</f>
        <v>Féchy</v>
      </c>
      <c r="C26" s="347">
        <f>VPI!R26</f>
        <v>86922.106418269221</v>
      </c>
      <c r="D26" s="27">
        <f>Données!Z26</f>
        <v>887</v>
      </c>
      <c r="E26" s="114">
        <f t="shared" si="5"/>
        <v>97.995610392637232</v>
      </c>
      <c r="F26" s="188">
        <f t="shared" si="6"/>
        <v>2.0217468244770926</v>
      </c>
      <c r="G26" s="443">
        <f t="shared" si="7"/>
        <v>49.524847779725519</v>
      </c>
      <c r="H26" s="443">
        <f t="shared" si="8"/>
        <v>39.830695257143176</v>
      </c>
      <c r="I26" s="443">
        <f t="shared" si="9"/>
        <v>25.289466473269655</v>
      </c>
      <c r="J26" s="443">
        <f t="shared" si="10"/>
        <v>1.054085166813806</v>
      </c>
      <c r="K26" s="443">
        <f t="shared" si="11"/>
        <v>0</v>
      </c>
      <c r="L26" s="445">
        <f t="shared" si="12"/>
        <v>16.522394245667769</v>
      </c>
      <c r="M26" s="299">
        <f>L26*D26*VPI!Q26</f>
        <v>937943.27653806796</v>
      </c>
    </row>
    <row r="27" spans="1:13" x14ac:dyDescent="0.25">
      <c r="A27" s="169">
        <f>Données!A27</f>
        <v>5428</v>
      </c>
      <c r="B27" s="27" t="str">
        <f>Données!B27</f>
        <v>Gimel</v>
      </c>
      <c r="C27" s="347">
        <f>VPI!R27</f>
        <v>71357.587986577171</v>
      </c>
      <c r="D27" s="27">
        <f>Données!Z27</f>
        <v>2414</v>
      </c>
      <c r="E27" s="114">
        <f t="shared" si="5"/>
        <v>29.559895603387396</v>
      </c>
      <c r="F27" s="188">
        <f t="shared" si="6"/>
        <v>0.60985002112414022</v>
      </c>
      <c r="G27" s="443">
        <f t="shared" si="7"/>
        <v>0</v>
      </c>
      <c r="H27" s="443">
        <f t="shared" si="8"/>
        <v>0</v>
      </c>
      <c r="I27" s="443">
        <f t="shared" si="9"/>
        <v>0</v>
      </c>
      <c r="J27" s="443">
        <f t="shared" si="10"/>
        <v>0</v>
      </c>
      <c r="K27" s="443">
        <f t="shared" si="11"/>
        <v>0</v>
      </c>
      <c r="L27" s="445">
        <f t="shared" si="12"/>
        <v>0</v>
      </c>
      <c r="M27" s="299">
        <f>L27*D27*VPI!Q27</f>
        <v>0</v>
      </c>
    </row>
    <row r="28" spans="1:13" x14ac:dyDescent="0.25">
      <c r="A28" s="169">
        <f>Données!A28</f>
        <v>5429</v>
      </c>
      <c r="B28" s="27" t="str">
        <f>Données!B28</f>
        <v>Longirod</v>
      </c>
      <c r="C28" s="347">
        <f>VPI!R28</f>
        <v>17142.381290322584</v>
      </c>
      <c r="D28" s="27">
        <f>Données!Z28</f>
        <v>541</v>
      </c>
      <c r="E28" s="114">
        <f t="shared" si="5"/>
        <v>31.686471885993686</v>
      </c>
      <c r="F28" s="188">
        <f t="shared" si="6"/>
        <v>0.65372340309646781</v>
      </c>
      <c r="G28" s="443">
        <f t="shared" si="7"/>
        <v>0</v>
      </c>
      <c r="H28" s="443">
        <f t="shared" si="8"/>
        <v>0</v>
      </c>
      <c r="I28" s="443">
        <f t="shared" si="9"/>
        <v>0</v>
      </c>
      <c r="J28" s="443">
        <f t="shared" si="10"/>
        <v>0</v>
      </c>
      <c r="K28" s="443">
        <f t="shared" si="11"/>
        <v>0</v>
      </c>
      <c r="L28" s="445">
        <f t="shared" si="12"/>
        <v>0</v>
      </c>
      <c r="M28" s="299">
        <f>L28*D28*VPI!Q28</f>
        <v>0</v>
      </c>
    </row>
    <row r="29" spans="1:13" x14ac:dyDescent="0.25">
      <c r="A29" s="169">
        <f>Données!A29</f>
        <v>5430</v>
      </c>
      <c r="B29" s="27" t="str">
        <f>Données!B29</f>
        <v>Marchissy</v>
      </c>
      <c r="C29" s="347">
        <f>VPI!R29</f>
        <v>17121.715483870968</v>
      </c>
      <c r="D29" s="27">
        <f>Données!Z29</f>
        <v>499</v>
      </c>
      <c r="E29" s="114">
        <f t="shared" si="5"/>
        <v>34.312055077897732</v>
      </c>
      <c r="F29" s="188">
        <f t="shared" si="6"/>
        <v>0.70789179349032227</v>
      </c>
      <c r="G29" s="443">
        <f t="shared" si="7"/>
        <v>0</v>
      </c>
      <c r="H29" s="443">
        <f t="shared" si="8"/>
        <v>0</v>
      </c>
      <c r="I29" s="443">
        <f t="shared" si="9"/>
        <v>0</v>
      </c>
      <c r="J29" s="443">
        <f t="shared" si="10"/>
        <v>0</v>
      </c>
      <c r="K29" s="443">
        <f t="shared" si="11"/>
        <v>0</v>
      </c>
      <c r="L29" s="445">
        <f t="shared" si="12"/>
        <v>0</v>
      </c>
      <c r="M29" s="299">
        <f>L29*D29*VPI!Q29</f>
        <v>0</v>
      </c>
    </row>
    <row r="30" spans="1:13" x14ac:dyDescent="0.25">
      <c r="A30" s="169">
        <f>Données!A30</f>
        <v>5431</v>
      </c>
      <c r="B30" s="27" t="str">
        <f>Données!B30</f>
        <v>Mollens</v>
      </c>
      <c r="C30" s="347">
        <f>VPI!R30</f>
        <v>9475.049594594595</v>
      </c>
      <c r="D30" s="27">
        <f>Données!Z30</f>
        <v>324</v>
      </c>
      <c r="E30" s="114">
        <f t="shared" si="5"/>
        <v>29.243980230230232</v>
      </c>
      <c r="F30" s="188">
        <f t="shared" si="6"/>
        <v>0.6033323730384258</v>
      </c>
      <c r="G30" s="443">
        <f t="shared" si="7"/>
        <v>0</v>
      </c>
      <c r="H30" s="443">
        <f t="shared" si="8"/>
        <v>0</v>
      </c>
      <c r="I30" s="443">
        <f t="shared" si="9"/>
        <v>0</v>
      </c>
      <c r="J30" s="443">
        <f t="shared" si="10"/>
        <v>0</v>
      </c>
      <c r="K30" s="443">
        <f t="shared" si="11"/>
        <v>0</v>
      </c>
      <c r="L30" s="445">
        <f t="shared" si="12"/>
        <v>0</v>
      </c>
      <c r="M30" s="299">
        <f>L30*D30*VPI!Q30</f>
        <v>0</v>
      </c>
    </row>
    <row r="31" spans="1:13" x14ac:dyDescent="0.25">
      <c r="A31" s="169">
        <f>Données!A31</f>
        <v>5434</v>
      </c>
      <c r="B31" s="27" t="str">
        <f>Données!B31</f>
        <v>Saint-George</v>
      </c>
      <c r="C31" s="347">
        <f>VPI!R31</f>
        <v>40910.448657074339</v>
      </c>
      <c r="D31" s="27">
        <f>Données!Z31</f>
        <v>1069</v>
      </c>
      <c r="E31" s="114">
        <f t="shared" si="5"/>
        <v>38.269830362090119</v>
      </c>
      <c r="F31" s="188">
        <f t="shared" si="6"/>
        <v>0.78954463059955537</v>
      </c>
      <c r="G31" s="443">
        <f t="shared" si="7"/>
        <v>0</v>
      </c>
      <c r="H31" s="443">
        <f t="shared" si="8"/>
        <v>0</v>
      </c>
      <c r="I31" s="443">
        <f t="shared" si="9"/>
        <v>0</v>
      </c>
      <c r="J31" s="443">
        <f t="shared" si="10"/>
        <v>0</v>
      </c>
      <c r="K31" s="443">
        <f t="shared" si="11"/>
        <v>0</v>
      </c>
      <c r="L31" s="445">
        <f t="shared" si="12"/>
        <v>0</v>
      </c>
      <c r="M31" s="299">
        <f>L31*D31*VPI!Q31</f>
        <v>0</v>
      </c>
    </row>
    <row r="32" spans="1:13" x14ac:dyDescent="0.25">
      <c r="A32" s="169">
        <f>Données!A32</f>
        <v>5435</v>
      </c>
      <c r="B32" s="27" t="str">
        <f>Données!B32</f>
        <v>Saint-Livres</v>
      </c>
      <c r="C32" s="347">
        <f>VPI!R32</f>
        <v>25462.29188405797</v>
      </c>
      <c r="D32" s="27">
        <f>Données!Z32</f>
        <v>697</v>
      </c>
      <c r="E32" s="114">
        <f t="shared" si="5"/>
        <v>36.531265256898088</v>
      </c>
      <c r="F32" s="188">
        <f t="shared" si="6"/>
        <v>0.75367630479919112</v>
      </c>
      <c r="G32" s="443">
        <f t="shared" si="7"/>
        <v>0</v>
      </c>
      <c r="H32" s="443">
        <f t="shared" si="8"/>
        <v>0</v>
      </c>
      <c r="I32" s="443">
        <f t="shared" si="9"/>
        <v>0</v>
      </c>
      <c r="J32" s="443">
        <f t="shared" si="10"/>
        <v>0</v>
      </c>
      <c r="K32" s="443">
        <f t="shared" si="11"/>
        <v>0</v>
      </c>
      <c r="L32" s="445">
        <f t="shared" si="12"/>
        <v>0</v>
      </c>
      <c r="M32" s="299">
        <f>L32*D32*VPI!Q32</f>
        <v>0</v>
      </c>
    </row>
    <row r="33" spans="1:13" x14ac:dyDescent="0.25">
      <c r="A33" s="169">
        <f>Données!A33</f>
        <v>5436</v>
      </c>
      <c r="B33" s="27" t="str">
        <f>Données!B33</f>
        <v>Saint-Oyens</v>
      </c>
      <c r="C33" s="347">
        <f>VPI!R33</f>
        <v>16425.371772151899</v>
      </c>
      <c r="D33" s="27">
        <f>Données!Z33</f>
        <v>456</v>
      </c>
      <c r="E33" s="114">
        <f t="shared" si="5"/>
        <v>36.020552131912062</v>
      </c>
      <c r="F33" s="188">
        <f t="shared" si="6"/>
        <v>0.74313978551509019</v>
      </c>
      <c r="G33" s="443">
        <f t="shared" si="7"/>
        <v>0</v>
      </c>
      <c r="H33" s="443">
        <f t="shared" si="8"/>
        <v>0</v>
      </c>
      <c r="I33" s="443">
        <f t="shared" si="9"/>
        <v>0</v>
      </c>
      <c r="J33" s="443">
        <f t="shared" si="10"/>
        <v>0</v>
      </c>
      <c r="K33" s="443">
        <f t="shared" si="11"/>
        <v>0</v>
      </c>
      <c r="L33" s="445">
        <f t="shared" si="12"/>
        <v>0</v>
      </c>
      <c r="M33" s="299">
        <f>L33*D33*VPI!Q33</f>
        <v>0</v>
      </c>
    </row>
    <row r="34" spans="1:13" x14ac:dyDescent="0.25">
      <c r="A34" s="169">
        <f>Données!A34</f>
        <v>5437</v>
      </c>
      <c r="B34" s="27" t="str">
        <f>Données!B34</f>
        <v>Saubraz</v>
      </c>
      <c r="C34" s="347">
        <f>VPI!R34</f>
        <v>12127.91725</v>
      </c>
      <c r="D34" s="27">
        <f>Données!Z34</f>
        <v>449</v>
      </c>
      <c r="E34" s="114">
        <f t="shared" si="5"/>
        <v>27.010951559020047</v>
      </c>
      <c r="F34" s="188">
        <f t="shared" si="6"/>
        <v>0.55726277250329104</v>
      </c>
      <c r="G34" s="443">
        <f t="shared" si="7"/>
        <v>0</v>
      </c>
      <c r="H34" s="443">
        <f t="shared" si="8"/>
        <v>0</v>
      </c>
      <c r="I34" s="443">
        <f t="shared" si="9"/>
        <v>0</v>
      </c>
      <c r="J34" s="443">
        <f t="shared" si="10"/>
        <v>0</v>
      </c>
      <c r="K34" s="443">
        <f t="shared" si="11"/>
        <v>0</v>
      </c>
      <c r="L34" s="445">
        <f t="shared" si="12"/>
        <v>0</v>
      </c>
      <c r="M34" s="299">
        <f>L34*D34*VPI!Q34</f>
        <v>0</v>
      </c>
    </row>
    <row r="35" spans="1:13" x14ac:dyDescent="0.25">
      <c r="A35" s="169">
        <f>Données!A35</f>
        <v>5451</v>
      </c>
      <c r="B35" s="27" t="str">
        <f>Données!B35</f>
        <v>Avenches</v>
      </c>
      <c r="C35" s="347">
        <f>VPI!R35</f>
        <v>142633.11649122802</v>
      </c>
      <c r="D35" s="27">
        <f>Données!Z35</f>
        <v>4696</v>
      </c>
      <c r="E35" s="114">
        <f t="shared" si="5"/>
        <v>30.373321228966784</v>
      </c>
      <c r="F35" s="188">
        <f t="shared" si="6"/>
        <v>0.62663180011275277</v>
      </c>
      <c r="G35" s="443">
        <f t="shared" si="7"/>
        <v>0</v>
      </c>
      <c r="H35" s="443">
        <f t="shared" si="8"/>
        <v>0</v>
      </c>
      <c r="I35" s="443">
        <f t="shared" si="9"/>
        <v>0</v>
      </c>
      <c r="J35" s="443">
        <f t="shared" si="10"/>
        <v>0</v>
      </c>
      <c r="K35" s="443">
        <f t="shared" si="11"/>
        <v>0</v>
      </c>
      <c r="L35" s="445">
        <f t="shared" si="12"/>
        <v>0</v>
      </c>
      <c r="M35" s="299">
        <f>L35*D35*VPI!Q35</f>
        <v>0</v>
      </c>
    </row>
    <row r="36" spans="1:13" x14ac:dyDescent="0.25">
      <c r="A36" s="169">
        <f>Données!A36</f>
        <v>5456</v>
      </c>
      <c r="B36" s="27" t="str">
        <f>Données!B36</f>
        <v>Cudrefin</v>
      </c>
      <c r="C36" s="347">
        <f>VPI!R36</f>
        <v>64060.385932203382</v>
      </c>
      <c r="D36" s="27">
        <f>Données!Z36</f>
        <v>1876</v>
      </c>
      <c r="E36" s="114">
        <f t="shared" si="5"/>
        <v>34.147327255971952</v>
      </c>
      <c r="F36" s="188">
        <f t="shared" si="6"/>
        <v>0.70449329482750367</v>
      </c>
      <c r="G36" s="443">
        <f t="shared" si="7"/>
        <v>0</v>
      </c>
      <c r="H36" s="443">
        <f t="shared" si="8"/>
        <v>0</v>
      </c>
      <c r="I36" s="443">
        <f t="shared" si="9"/>
        <v>0</v>
      </c>
      <c r="J36" s="443">
        <f t="shared" si="10"/>
        <v>0</v>
      </c>
      <c r="K36" s="443">
        <f t="shared" si="11"/>
        <v>0</v>
      </c>
      <c r="L36" s="445">
        <f t="shared" si="12"/>
        <v>0</v>
      </c>
      <c r="M36" s="299">
        <f>L36*D36*VPI!Q36</f>
        <v>0</v>
      </c>
    </row>
    <row r="37" spans="1:13" x14ac:dyDescent="0.25">
      <c r="A37" s="169">
        <f>Données!A37</f>
        <v>5458</v>
      </c>
      <c r="B37" s="27" t="str">
        <f>Données!B37</f>
        <v>Faoug</v>
      </c>
      <c r="C37" s="347">
        <f>VPI!R37</f>
        <v>32630.920512820507</v>
      </c>
      <c r="D37" s="27">
        <f>Données!Z37</f>
        <v>903</v>
      </c>
      <c r="E37" s="114">
        <f t="shared" si="5"/>
        <v>36.136124598915288</v>
      </c>
      <c r="F37" s="188">
        <f t="shared" si="6"/>
        <v>0.74552416035825464</v>
      </c>
      <c r="G37" s="443">
        <f t="shared" si="7"/>
        <v>0</v>
      </c>
      <c r="H37" s="443">
        <f t="shared" si="8"/>
        <v>0</v>
      </c>
      <c r="I37" s="443">
        <f t="shared" si="9"/>
        <v>0</v>
      </c>
      <c r="J37" s="443">
        <f t="shared" si="10"/>
        <v>0</v>
      </c>
      <c r="K37" s="443">
        <f t="shared" si="11"/>
        <v>0</v>
      </c>
      <c r="L37" s="445">
        <f t="shared" si="12"/>
        <v>0</v>
      </c>
      <c r="M37" s="299">
        <f>L37*D37*VPI!Q37</f>
        <v>0</v>
      </c>
    </row>
    <row r="38" spans="1:13" x14ac:dyDescent="0.25">
      <c r="A38" s="169">
        <f>Données!A38</f>
        <v>5464</v>
      </c>
      <c r="B38" s="27" t="str">
        <f>Données!B38</f>
        <v>Vully-les-Lacs</v>
      </c>
      <c r="C38" s="347">
        <f>VPI!R38</f>
        <v>117933.44731343284</v>
      </c>
      <c r="D38" s="27">
        <f>Données!Z38</f>
        <v>3540</v>
      </c>
      <c r="E38" s="114">
        <f t="shared" si="5"/>
        <v>33.314533139387812</v>
      </c>
      <c r="F38" s="188">
        <f t="shared" si="6"/>
        <v>0.68731192462223478</v>
      </c>
      <c r="G38" s="443">
        <f t="shared" si="7"/>
        <v>0</v>
      </c>
      <c r="H38" s="443">
        <f t="shared" si="8"/>
        <v>0</v>
      </c>
      <c r="I38" s="443">
        <f t="shared" si="9"/>
        <v>0</v>
      </c>
      <c r="J38" s="443">
        <f t="shared" si="10"/>
        <v>0</v>
      </c>
      <c r="K38" s="443">
        <f t="shared" si="11"/>
        <v>0</v>
      </c>
      <c r="L38" s="445">
        <f t="shared" si="12"/>
        <v>0</v>
      </c>
      <c r="M38" s="299">
        <f>L38*D38*VPI!Q38</f>
        <v>0</v>
      </c>
    </row>
    <row r="39" spans="1:13" x14ac:dyDescent="0.25">
      <c r="A39" s="169">
        <f>Données!A39</f>
        <v>5471</v>
      </c>
      <c r="B39" s="27" t="str">
        <f>Données!B39</f>
        <v>Bettens</v>
      </c>
      <c r="C39" s="347">
        <f>VPI!R39</f>
        <v>22692.287412698413</v>
      </c>
      <c r="D39" s="27">
        <f>Données!Z39</f>
        <v>650</v>
      </c>
      <c r="E39" s="114">
        <f t="shared" si="5"/>
        <v>34.911211404151402</v>
      </c>
      <c r="F39" s="188">
        <f t="shared" si="6"/>
        <v>0.72025298390604864</v>
      </c>
      <c r="G39" s="443">
        <f t="shared" si="7"/>
        <v>0</v>
      </c>
      <c r="H39" s="443">
        <f t="shared" si="8"/>
        <v>0</v>
      </c>
      <c r="I39" s="443">
        <f t="shared" si="9"/>
        <v>0</v>
      </c>
      <c r="J39" s="443">
        <f t="shared" si="10"/>
        <v>0</v>
      </c>
      <c r="K39" s="443">
        <f t="shared" si="11"/>
        <v>0</v>
      </c>
      <c r="L39" s="445">
        <f t="shared" si="12"/>
        <v>0</v>
      </c>
      <c r="M39" s="299">
        <f>L39*D39*VPI!Q39</f>
        <v>0</v>
      </c>
    </row>
    <row r="40" spans="1:13" x14ac:dyDescent="0.25">
      <c r="A40" s="169">
        <f>Données!A40</f>
        <v>5472</v>
      </c>
      <c r="B40" s="27" t="str">
        <f>Données!B40</f>
        <v>Bournens</v>
      </c>
      <c r="C40" s="347">
        <f>VPI!R40</f>
        <v>19974.836617647059</v>
      </c>
      <c r="D40" s="27">
        <f>Données!Z40</f>
        <v>514</v>
      </c>
      <c r="E40" s="114">
        <f t="shared" si="5"/>
        <v>38.861549839780274</v>
      </c>
      <c r="F40" s="188">
        <f t="shared" si="6"/>
        <v>0.80175239143912869</v>
      </c>
      <c r="G40" s="443">
        <f t="shared" si="7"/>
        <v>0</v>
      </c>
      <c r="H40" s="443">
        <f t="shared" si="8"/>
        <v>0</v>
      </c>
      <c r="I40" s="443">
        <f t="shared" si="9"/>
        <v>0</v>
      </c>
      <c r="J40" s="443">
        <f t="shared" si="10"/>
        <v>0</v>
      </c>
      <c r="K40" s="443">
        <f t="shared" si="11"/>
        <v>0</v>
      </c>
      <c r="L40" s="445">
        <f t="shared" si="12"/>
        <v>0</v>
      </c>
      <c r="M40" s="299">
        <f>L40*D40*VPI!Q40</f>
        <v>0</v>
      </c>
    </row>
    <row r="41" spans="1:13" x14ac:dyDescent="0.25">
      <c r="A41" s="169">
        <f>Données!A41</f>
        <v>5473</v>
      </c>
      <c r="B41" s="27" t="str">
        <f>Données!B41</f>
        <v>Boussens</v>
      </c>
      <c r="C41" s="347">
        <f>VPI!R41</f>
        <v>40043.184999999998</v>
      </c>
      <c r="D41" s="27">
        <f>Données!Z41</f>
        <v>1009</v>
      </c>
      <c r="E41" s="114">
        <f t="shared" si="5"/>
        <v>39.686010901883051</v>
      </c>
      <c r="F41" s="188">
        <f t="shared" si="6"/>
        <v>0.81876184244956429</v>
      </c>
      <c r="G41" s="443">
        <f t="shared" si="7"/>
        <v>0</v>
      </c>
      <c r="H41" s="443">
        <f t="shared" si="8"/>
        <v>0</v>
      </c>
      <c r="I41" s="443">
        <f t="shared" si="9"/>
        <v>0</v>
      </c>
      <c r="J41" s="443">
        <f t="shared" si="10"/>
        <v>0</v>
      </c>
      <c r="K41" s="443">
        <f t="shared" si="11"/>
        <v>0</v>
      </c>
      <c r="L41" s="445">
        <f t="shared" si="12"/>
        <v>0</v>
      </c>
      <c r="M41" s="299">
        <f>L41*D41*VPI!Q41</f>
        <v>0</v>
      </c>
    </row>
    <row r="42" spans="1:13" x14ac:dyDescent="0.25">
      <c r="A42" s="169">
        <f>Données!A42</f>
        <v>5474</v>
      </c>
      <c r="B42" s="27" t="str">
        <f>Données!B42</f>
        <v>La Chaux (Cossonay)</v>
      </c>
      <c r="C42" s="347">
        <f>VPI!R42</f>
        <v>13862.516425438596</v>
      </c>
      <c r="D42" s="27">
        <f>Données!Z42</f>
        <v>412</v>
      </c>
      <c r="E42" s="114">
        <f t="shared" si="5"/>
        <v>33.646884527763582</v>
      </c>
      <c r="F42" s="188">
        <f t="shared" si="6"/>
        <v>0.69416866403502131</v>
      </c>
      <c r="G42" s="443">
        <f t="shared" si="7"/>
        <v>0</v>
      </c>
      <c r="H42" s="443">
        <f t="shared" si="8"/>
        <v>0</v>
      </c>
      <c r="I42" s="443">
        <f t="shared" si="9"/>
        <v>0</v>
      </c>
      <c r="J42" s="443">
        <f t="shared" si="10"/>
        <v>0</v>
      </c>
      <c r="K42" s="443">
        <f t="shared" si="11"/>
        <v>0</v>
      </c>
      <c r="L42" s="445">
        <f t="shared" si="12"/>
        <v>0</v>
      </c>
      <c r="M42" s="299">
        <f>L42*D42*VPI!Q42</f>
        <v>0</v>
      </c>
    </row>
    <row r="43" spans="1:13" x14ac:dyDescent="0.25">
      <c r="A43" s="169">
        <f>Données!A43</f>
        <v>5475</v>
      </c>
      <c r="B43" s="27" t="str">
        <f>Données!B43</f>
        <v>Chavannes-le-Veyron</v>
      </c>
      <c r="C43" s="347">
        <f>VPI!R43</f>
        <v>4297.2048000000004</v>
      </c>
      <c r="D43" s="27">
        <f>Données!Z43</f>
        <v>163</v>
      </c>
      <c r="E43" s="114">
        <f t="shared" si="5"/>
        <v>26.363219631901842</v>
      </c>
      <c r="F43" s="188">
        <f t="shared" si="6"/>
        <v>0.54389941917025186</v>
      </c>
      <c r="G43" s="443">
        <f t="shared" si="7"/>
        <v>0</v>
      </c>
      <c r="H43" s="443">
        <f t="shared" si="8"/>
        <v>0</v>
      </c>
      <c r="I43" s="443">
        <f t="shared" si="9"/>
        <v>0</v>
      </c>
      <c r="J43" s="443">
        <f t="shared" si="10"/>
        <v>0</v>
      </c>
      <c r="K43" s="443">
        <f t="shared" si="11"/>
        <v>0</v>
      </c>
      <c r="L43" s="445">
        <f t="shared" si="12"/>
        <v>0</v>
      </c>
      <c r="M43" s="299">
        <f>L43*D43*VPI!Q43</f>
        <v>0</v>
      </c>
    </row>
    <row r="44" spans="1:13" x14ac:dyDescent="0.25">
      <c r="A44" s="169">
        <f>Données!A44</f>
        <v>5476</v>
      </c>
      <c r="B44" s="27" t="str">
        <f>Données!B44</f>
        <v>Chevilly</v>
      </c>
      <c r="C44" s="347">
        <f>VPI!R44</f>
        <v>13558.452965517243</v>
      </c>
      <c r="D44" s="27">
        <f>Données!Z44</f>
        <v>331</v>
      </c>
      <c r="E44" s="114">
        <f t="shared" si="5"/>
        <v>40.962093551411613</v>
      </c>
      <c r="F44" s="188">
        <f t="shared" si="6"/>
        <v>0.84508869560265742</v>
      </c>
      <c r="G44" s="443">
        <f t="shared" si="7"/>
        <v>0</v>
      </c>
      <c r="H44" s="443">
        <f t="shared" si="8"/>
        <v>0</v>
      </c>
      <c r="I44" s="443">
        <f t="shared" si="9"/>
        <v>0</v>
      </c>
      <c r="J44" s="443">
        <f t="shared" si="10"/>
        <v>0</v>
      </c>
      <c r="K44" s="443">
        <f t="shared" si="11"/>
        <v>0</v>
      </c>
      <c r="L44" s="445">
        <f t="shared" si="12"/>
        <v>0</v>
      </c>
      <c r="M44" s="299">
        <f>L44*D44*VPI!Q44</f>
        <v>0</v>
      </c>
    </row>
    <row r="45" spans="1:13" x14ac:dyDescent="0.25">
      <c r="A45" s="169">
        <f>Données!A45</f>
        <v>5477</v>
      </c>
      <c r="B45" s="27" t="str">
        <f>Données!B45</f>
        <v>Cossonay</v>
      </c>
      <c r="C45" s="347">
        <f>VPI!R45</f>
        <v>151490.5288235294</v>
      </c>
      <c r="D45" s="27">
        <f>Données!Z45</f>
        <v>4389</v>
      </c>
      <c r="E45" s="114">
        <f t="shared" si="5"/>
        <v>34.515955530537568</v>
      </c>
      <c r="F45" s="188">
        <f t="shared" si="6"/>
        <v>0.71209846245214958</v>
      </c>
      <c r="G45" s="443">
        <f t="shared" si="7"/>
        <v>0</v>
      </c>
      <c r="H45" s="443">
        <f t="shared" si="8"/>
        <v>0</v>
      </c>
      <c r="I45" s="443">
        <f t="shared" si="9"/>
        <v>0</v>
      </c>
      <c r="J45" s="443">
        <f t="shared" si="10"/>
        <v>0</v>
      </c>
      <c r="K45" s="443">
        <f t="shared" si="11"/>
        <v>0</v>
      </c>
      <c r="L45" s="445">
        <f t="shared" si="12"/>
        <v>0</v>
      </c>
      <c r="M45" s="299">
        <f>L45*D45*VPI!Q45</f>
        <v>0</v>
      </c>
    </row>
    <row r="46" spans="1:13" x14ac:dyDescent="0.25">
      <c r="A46" s="169">
        <f>Données!A46</f>
        <v>5479</v>
      </c>
      <c r="B46" s="27" t="str">
        <f>Données!B46</f>
        <v>Cuarnens</v>
      </c>
      <c r="C46" s="347">
        <f>VPI!R46</f>
        <v>14331.337792207793</v>
      </c>
      <c r="D46" s="27">
        <f>Données!Z46</f>
        <v>545</v>
      </c>
      <c r="E46" s="114">
        <f t="shared" si="5"/>
        <v>26.296032646252829</v>
      </c>
      <c r="F46" s="188">
        <f t="shared" si="6"/>
        <v>0.54251328488997308</v>
      </c>
      <c r="G46" s="443">
        <f t="shared" si="7"/>
        <v>0</v>
      </c>
      <c r="H46" s="443">
        <f t="shared" si="8"/>
        <v>0</v>
      </c>
      <c r="I46" s="443">
        <f t="shared" si="9"/>
        <v>0</v>
      </c>
      <c r="J46" s="443">
        <f t="shared" si="10"/>
        <v>0</v>
      </c>
      <c r="K46" s="443">
        <f t="shared" si="11"/>
        <v>0</v>
      </c>
      <c r="L46" s="445">
        <f t="shared" si="12"/>
        <v>0</v>
      </c>
      <c r="M46" s="299">
        <f>L46*D46*VPI!Q46</f>
        <v>0</v>
      </c>
    </row>
    <row r="47" spans="1:13" x14ac:dyDescent="0.25">
      <c r="A47" s="169">
        <f>Données!A47</f>
        <v>5480</v>
      </c>
      <c r="B47" s="27" t="str">
        <f>Données!B47</f>
        <v>Daillens</v>
      </c>
      <c r="C47" s="347">
        <f>VPI!R47</f>
        <v>42720.265505050505</v>
      </c>
      <c r="D47" s="27">
        <f>Données!Z47</f>
        <v>1057</v>
      </c>
      <c r="E47" s="114">
        <f t="shared" si="5"/>
        <v>40.416523656622992</v>
      </c>
      <c r="F47" s="188">
        <f t="shared" si="6"/>
        <v>0.83383304651899126</v>
      </c>
      <c r="G47" s="443">
        <f t="shared" si="7"/>
        <v>0</v>
      </c>
      <c r="H47" s="443">
        <f t="shared" si="8"/>
        <v>0</v>
      </c>
      <c r="I47" s="443">
        <f t="shared" si="9"/>
        <v>0</v>
      </c>
      <c r="J47" s="443">
        <f t="shared" si="10"/>
        <v>0</v>
      </c>
      <c r="K47" s="443">
        <f t="shared" si="11"/>
        <v>0</v>
      </c>
      <c r="L47" s="445">
        <f t="shared" si="12"/>
        <v>0</v>
      </c>
      <c r="M47" s="299">
        <f>L47*D47*VPI!Q47</f>
        <v>0</v>
      </c>
    </row>
    <row r="48" spans="1:13" x14ac:dyDescent="0.25">
      <c r="A48" s="169">
        <f>Données!A48</f>
        <v>5481</v>
      </c>
      <c r="B48" s="27" t="str">
        <f>Données!B48</f>
        <v>Dizy</v>
      </c>
      <c r="C48" s="347">
        <f>VPI!R48</f>
        <v>8552.7156000000014</v>
      </c>
      <c r="D48" s="27">
        <f>Données!Z48</f>
        <v>232</v>
      </c>
      <c r="E48" s="114">
        <f t="shared" si="5"/>
        <v>36.865153448275869</v>
      </c>
      <c r="F48" s="188">
        <f t="shared" si="6"/>
        <v>0.76056474998509049</v>
      </c>
      <c r="G48" s="443">
        <f t="shared" si="7"/>
        <v>0</v>
      </c>
      <c r="H48" s="443">
        <f t="shared" si="8"/>
        <v>0</v>
      </c>
      <c r="I48" s="443">
        <f t="shared" si="9"/>
        <v>0</v>
      </c>
      <c r="J48" s="443">
        <f t="shared" si="10"/>
        <v>0</v>
      </c>
      <c r="K48" s="443">
        <f t="shared" si="11"/>
        <v>0</v>
      </c>
      <c r="L48" s="445">
        <f t="shared" si="12"/>
        <v>0</v>
      </c>
      <c r="M48" s="299">
        <f>L48*D48*VPI!Q48</f>
        <v>0</v>
      </c>
    </row>
    <row r="49" spans="1:13" x14ac:dyDescent="0.25">
      <c r="A49" s="169">
        <f>Données!A49</f>
        <v>5482</v>
      </c>
      <c r="B49" s="27" t="str">
        <f>Données!B49</f>
        <v>Eclépens</v>
      </c>
      <c r="C49" s="347">
        <f>VPI!R49</f>
        <v>48314.544130434791</v>
      </c>
      <c r="D49" s="27">
        <f>Données!Z49</f>
        <v>1199</v>
      </c>
      <c r="E49" s="114">
        <f t="shared" si="5"/>
        <v>40.295699858577805</v>
      </c>
      <c r="F49" s="188">
        <f t="shared" si="6"/>
        <v>0.8313403314979777</v>
      </c>
      <c r="G49" s="443">
        <f t="shared" si="7"/>
        <v>0</v>
      </c>
      <c r="H49" s="443">
        <f t="shared" si="8"/>
        <v>0</v>
      </c>
      <c r="I49" s="443">
        <f t="shared" si="9"/>
        <v>0</v>
      </c>
      <c r="J49" s="443">
        <f t="shared" si="10"/>
        <v>0</v>
      </c>
      <c r="K49" s="443">
        <f t="shared" si="11"/>
        <v>0</v>
      </c>
      <c r="L49" s="445">
        <f t="shared" si="12"/>
        <v>0</v>
      </c>
      <c r="M49" s="299">
        <f>L49*D49*VPI!Q49</f>
        <v>0</v>
      </c>
    </row>
    <row r="50" spans="1:13" x14ac:dyDescent="0.25">
      <c r="A50" s="169">
        <f>Données!A50</f>
        <v>5483</v>
      </c>
      <c r="B50" s="27" t="str">
        <f>Données!B50</f>
        <v>Ferreyres</v>
      </c>
      <c r="C50" s="347">
        <f>VPI!R50</f>
        <v>10284.283289473684</v>
      </c>
      <c r="D50" s="27">
        <f>Données!Z50</f>
        <v>308</v>
      </c>
      <c r="E50" s="114">
        <f t="shared" si="5"/>
        <v>33.390530160628842</v>
      </c>
      <c r="F50" s="188">
        <f t="shared" si="6"/>
        <v>0.68887981869165438</v>
      </c>
      <c r="G50" s="443">
        <f t="shared" si="7"/>
        <v>0</v>
      </c>
      <c r="H50" s="443">
        <f t="shared" si="8"/>
        <v>0</v>
      </c>
      <c r="I50" s="443">
        <f t="shared" si="9"/>
        <v>0</v>
      </c>
      <c r="J50" s="443">
        <f t="shared" si="10"/>
        <v>0</v>
      </c>
      <c r="K50" s="443">
        <f t="shared" si="11"/>
        <v>0</v>
      </c>
      <c r="L50" s="445">
        <f t="shared" si="12"/>
        <v>0</v>
      </c>
      <c r="M50" s="299">
        <f>L50*D50*VPI!Q50</f>
        <v>0</v>
      </c>
    </row>
    <row r="51" spans="1:13" x14ac:dyDescent="0.25">
      <c r="A51" s="169">
        <f>Données!A51</f>
        <v>5484</v>
      </c>
      <c r="B51" s="27" t="str">
        <f>Données!B51</f>
        <v>Gollion</v>
      </c>
      <c r="C51" s="347">
        <f>VPI!R51</f>
        <v>32601.670945945945</v>
      </c>
      <c r="D51" s="27">
        <f>Données!Z51</f>
        <v>1033</v>
      </c>
      <c r="E51" s="114">
        <f t="shared" si="5"/>
        <v>31.560184846027052</v>
      </c>
      <c r="F51" s="188">
        <f t="shared" si="6"/>
        <v>0.6511179759655773</v>
      </c>
      <c r="G51" s="443">
        <f t="shared" si="7"/>
        <v>0</v>
      </c>
      <c r="H51" s="443">
        <f t="shared" si="8"/>
        <v>0</v>
      </c>
      <c r="I51" s="443">
        <f t="shared" si="9"/>
        <v>0</v>
      </c>
      <c r="J51" s="443">
        <f t="shared" si="10"/>
        <v>0</v>
      </c>
      <c r="K51" s="443">
        <f t="shared" si="11"/>
        <v>0</v>
      </c>
      <c r="L51" s="445">
        <f t="shared" si="12"/>
        <v>0</v>
      </c>
      <c r="M51" s="299">
        <f>L51*D51*VPI!Q51</f>
        <v>0</v>
      </c>
    </row>
    <row r="52" spans="1:13" x14ac:dyDescent="0.25">
      <c r="A52" s="169">
        <f>Données!A52</f>
        <v>5485</v>
      </c>
      <c r="B52" s="27" t="str">
        <f>Données!B52</f>
        <v>Grancy</v>
      </c>
      <c r="C52" s="347">
        <f>VPI!R52</f>
        <v>18961.380428571429</v>
      </c>
      <c r="D52" s="27">
        <f>Données!Z52</f>
        <v>489</v>
      </c>
      <c r="E52" s="114">
        <f t="shared" si="5"/>
        <v>38.775829097283086</v>
      </c>
      <c r="F52" s="188">
        <f t="shared" si="6"/>
        <v>0.79998388733735182</v>
      </c>
      <c r="G52" s="443">
        <f t="shared" si="7"/>
        <v>0</v>
      </c>
      <c r="H52" s="443">
        <f t="shared" si="8"/>
        <v>0</v>
      </c>
      <c r="I52" s="443">
        <f t="shared" si="9"/>
        <v>0</v>
      </c>
      <c r="J52" s="443">
        <f t="shared" si="10"/>
        <v>0</v>
      </c>
      <c r="K52" s="443">
        <f t="shared" si="11"/>
        <v>0</v>
      </c>
      <c r="L52" s="445">
        <f t="shared" si="12"/>
        <v>0</v>
      </c>
      <c r="M52" s="299">
        <f>L52*D52*VPI!Q52</f>
        <v>0</v>
      </c>
    </row>
    <row r="53" spans="1:13" x14ac:dyDescent="0.25">
      <c r="A53" s="169">
        <f>Données!A53</f>
        <v>5486</v>
      </c>
      <c r="B53" s="27" t="str">
        <f>Données!B53</f>
        <v>L'Isle</v>
      </c>
      <c r="C53" s="347">
        <f>VPI!R53</f>
        <v>34756.215466666676</v>
      </c>
      <c r="D53" s="27">
        <f>Données!Z53</f>
        <v>1095</v>
      </c>
      <c r="E53" s="114">
        <f t="shared" si="5"/>
        <v>31.740836042617968</v>
      </c>
      <c r="F53" s="188">
        <f t="shared" si="6"/>
        <v>0.65484498967141891</v>
      </c>
      <c r="G53" s="443">
        <f t="shared" si="7"/>
        <v>0</v>
      </c>
      <c r="H53" s="443">
        <f t="shared" si="8"/>
        <v>0</v>
      </c>
      <c r="I53" s="443">
        <f t="shared" si="9"/>
        <v>0</v>
      </c>
      <c r="J53" s="443">
        <f t="shared" si="10"/>
        <v>0</v>
      </c>
      <c r="K53" s="443">
        <f t="shared" si="11"/>
        <v>0</v>
      </c>
      <c r="L53" s="445">
        <f t="shared" si="12"/>
        <v>0</v>
      </c>
      <c r="M53" s="299">
        <f>L53*D53*VPI!Q53</f>
        <v>0</v>
      </c>
    </row>
    <row r="54" spans="1:13" x14ac:dyDescent="0.25">
      <c r="A54" s="169">
        <f>Données!A54</f>
        <v>5487</v>
      </c>
      <c r="B54" s="27" t="str">
        <f>Données!B54</f>
        <v>Lussery-Villars</v>
      </c>
      <c r="C54" s="347">
        <f>VPI!R54</f>
        <v>12042.619866666666</v>
      </c>
      <c r="D54" s="27">
        <f>Données!Z54</f>
        <v>482</v>
      </c>
      <c r="E54" s="114">
        <f t="shared" si="5"/>
        <v>24.984688520055325</v>
      </c>
      <c r="F54" s="188">
        <f t="shared" si="6"/>
        <v>0.51545895243248896</v>
      </c>
      <c r="G54" s="443">
        <f t="shared" si="7"/>
        <v>0</v>
      </c>
      <c r="H54" s="443">
        <f t="shared" si="8"/>
        <v>0</v>
      </c>
      <c r="I54" s="443">
        <f t="shared" si="9"/>
        <v>0</v>
      </c>
      <c r="J54" s="443">
        <f t="shared" si="10"/>
        <v>0</v>
      </c>
      <c r="K54" s="443">
        <f t="shared" si="11"/>
        <v>0</v>
      </c>
      <c r="L54" s="445">
        <f t="shared" si="12"/>
        <v>0</v>
      </c>
      <c r="M54" s="299">
        <f>L54*D54*VPI!Q54</f>
        <v>0</v>
      </c>
    </row>
    <row r="55" spans="1:13" x14ac:dyDescent="0.25">
      <c r="A55" s="169">
        <f>Données!A55</f>
        <v>5488</v>
      </c>
      <c r="B55" s="27" t="str">
        <f>Données!B55</f>
        <v>Mauraz</v>
      </c>
      <c r="C55" s="347">
        <f>VPI!R55</f>
        <v>2131.6062337662343</v>
      </c>
      <c r="D55" s="27">
        <f>Données!Z55</f>
        <v>65</v>
      </c>
      <c r="E55" s="114">
        <f t="shared" si="5"/>
        <v>32.793942057942068</v>
      </c>
      <c r="F55" s="188">
        <f t="shared" si="6"/>
        <v>0.6765716132802575</v>
      </c>
      <c r="G55" s="443">
        <f t="shared" si="7"/>
        <v>0</v>
      </c>
      <c r="H55" s="443">
        <f t="shared" si="8"/>
        <v>0</v>
      </c>
      <c r="I55" s="443">
        <f t="shared" si="9"/>
        <v>0</v>
      </c>
      <c r="J55" s="443">
        <f t="shared" si="10"/>
        <v>0</v>
      </c>
      <c r="K55" s="443">
        <f t="shared" si="11"/>
        <v>0</v>
      </c>
      <c r="L55" s="445">
        <f t="shared" si="12"/>
        <v>0</v>
      </c>
      <c r="M55" s="299">
        <f>L55*D55*VPI!Q55</f>
        <v>0</v>
      </c>
    </row>
    <row r="56" spans="1:13" x14ac:dyDescent="0.25">
      <c r="A56" s="169">
        <f>Données!A56</f>
        <v>5489</v>
      </c>
      <c r="B56" s="27" t="str">
        <f>Données!B56</f>
        <v>Mex</v>
      </c>
      <c r="C56" s="347">
        <f>VPI!R56</f>
        <v>60740.368067226897</v>
      </c>
      <c r="D56" s="27">
        <f>Données!Z56</f>
        <v>817</v>
      </c>
      <c r="E56" s="114">
        <f t="shared" si="5"/>
        <v>74.345615749359723</v>
      </c>
      <c r="F56" s="188">
        <f t="shared" si="6"/>
        <v>1.5338239330601213</v>
      </c>
      <c r="G56" s="443">
        <f t="shared" si="7"/>
        <v>25.87485313644801</v>
      </c>
      <c r="H56" s="443">
        <f t="shared" si="8"/>
        <v>16.180700613865667</v>
      </c>
      <c r="I56" s="443">
        <f t="shared" si="9"/>
        <v>1.6394718299921465</v>
      </c>
      <c r="J56" s="443">
        <f t="shared" si="10"/>
        <v>0</v>
      </c>
      <c r="K56" s="443">
        <f t="shared" si="11"/>
        <v>0</v>
      </c>
      <c r="L56" s="445">
        <f t="shared" si="12"/>
        <v>6.9569878716753841</v>
      </c>
      <c r="M56" s="299">
        <f>L56*D56*VPI!Q56</f>
        <v>338189.61592394795</v>
      </c>
    </row>
    <row r="57" spans="1:13" x14ac:dyDescent="0.25">
      <c r="A57" s="169">
        <f>Données!A57</f>
        <v>5490</v>
      </c>
      <c r="B57" s="27" t="str">
        <f>Données!B57</f>
        <v>Moiry</v>
      </c>
      <c r="C57" s="347">
        <f>VPI!R57</f>
        <v>8460.9523376623383</v>
      </c>
      <c r="D57" s="27">
        <f>Données!Z57</f>
        <v>296</v>
      </c>
      <c r="E57" s="114">
        <f t="shared" si="5"/>
        <v>28.584298438048439</v>
      </c>
      <c r="F57" s="188">
        <f t="shared" si="6"/>
        <v>0.58972248211407574</v>
      </c>
      <c r="G57" s="443">
        <f t="shared" si="7"/>
        <v>0</v>
      </c>
      <c r="H57" s="443">
        <f t="shared" si="8"/>
        <v>0</v>
      </c>
      <c r="I57" s="443">
        <f t="shared" si="9"/>
        <v>0</v>
      </c>
      <c r="J57" s="443">
        <f t="shared" si="10"/>
        <v>0</v>
      </c>
      <c r="K57" s="443">
        <f t="shared" si="11"/>
        <v>0</v>
      </c>
      <c r="L57" s="445">
        <f t="shared" si="12"/>
        <v>0</v>
      </c>
      <c r="M57" s="299">
        <f>L57*D57*VPI!Q57</f>
        <v>0</v>
      </c>
    </row>
    <row r="58" spans="1:13" x14ac:dyDescent="0.25">
      <c r="A58" s="169">
        <f>Données!A58</f>
        <v>5491</v>
      </c>
      <c r="B58" s="27" t="str">
        <f>Données!B58</f>
        <v>Mont-la-Ville</v>
      </c>
      <c r="C58" s="347">
        <f>VPI!R58</f>
        <v>13842.217236842105</v>
      </c>
      <c r="D58" s="27">
        <f>Données!Z58</f>
        <v>502</v>
      </c>
      <c r="E58" s="114">
        <f t="shared" si="5"/>
        <v>27.574137921996225</v>
      </c>
      <c r="F58" s="188">
        <f t="shared" si="6"/>
        <v>0.56888186683184117</v>
      </c>
      <c r="G58" s="443">
        <f t="shared" si="7"/>
        <v>0</v>
      </c>
      <c r="H58" s="443">
        <f t="shared" si="8"/>
        <v>0</v>
      </c>
      <c r="I58" s="443">
        <f t="shared" si="9"/>
        <v>0</v>
      </c>
      <c r="J58" s="443">
        <f t="shared" si="10"/>
        <v>0</v>
      </c>
      <c r="K58" s="443">
        <f t="shared" si="11"/>
        <v>0</v>
      </c>
      <c r="L58" s="445">
        <f t="shared" si="12"/>
        <v>0</v>
      </c>
      <c r="M58" s="299">
        <f>L58*D58*VPI!Q58</f>
        <v>0</v>
      </c>
    </row>
    <row r="59" spans="1:13" x14ac:dyDescent="0.25">
      <c r="A59" s="169">
        <f>Données!A59</f>
        <v>5492</v>
      </c>
      <c r="B59" s="27" t="str">
        <f>Données!B59</f>
        <v>Montricher</v>
      </c>
      <c r="C59" s="347">
        <f>VPI!R59</f>
        <v>149907.58062499994</v>
      </c>
      <c r="D59" s="27">
        <f>Données!Z59</f>
        <v>978</v>
      </c>
      <c r="E59" s="114">
        <f t="shared" si="5"/>
        <v>153.27973479038849</v>
      </c>
      <c r="F59" s="188">
        <f t="shared" si="6"/>
        <v>3.1623132488028487</v>
      </c>
      <c r="G59" s="443">
        <f t="shared" si="7"/>
        <v>104.80897217747678</v>
      </c>
      <c r="H59" s="443">
        <f t="shared" si="8"/>
        <v>95.114819654894433</v>
      </c>
      <c r="I59" s="443">
        <f t="shared" si="9"/>
        <v>80.573590871020912</v>
      </c>
      <c r="J59" s="443">
        <f t="shared" si="10"/>
        <v>56.338209564565062</v>
      </c>
      <c r="K59" s="443">
        <f t="shared" si="11"/>
        <v>7.867446951653335</v>
      </c>
      <c r="L59" s="445">
        <f t="shared" si="12"/>
        <v>44.951201139708729</v>
      </c>
      <c r="M59" s="299">
        <f>L59*D59*VPI!Q59</f>
        <v>2813585.5817366489</v>
      </c>
    </row>
    <row r="60" spans="1:13" x14ac:dyDescent="0.25">
      <c r="A60" s="169">
        <f>Données!A60</f>
        <v>5493</v>
      </c>
      <c r="B60" s="27" t="str">
        <f>Données!B60</f>
        <v>Orny</v>
      </c>
      <c r="C60" s="347">
        <f>VPI!R60</f>
        <v>14635.830579557431</v>
      </c>
      <c r="D60" s="27">
        <f>Données!Z60</f>
        <v>484</v>
      </c>
      <c r="E60" s="114">
        <f t="shared" si="5"/>
        <v>30.23931937925089</v>
      </c>
      <c r="F60" s="188">
        <f t="shared" si="6"/>
        <v>0.62386720879022639</v>
      </c>
      <c r="G60" s="443">
        <f t="shared" si="7"/>
        <v>0</v>
      </c>
      <c r="H60" s="443">
        <f t="shared" si="8"/>
        <v>0</v>
      </c>
      <c r="I60" s="443">
        <f t="shared" si="9"/>
        <v>0</v>
      </c>
      <c r="J60" s="443">
        <f t="shared" si="10"/>
        <v>0</v>
      </c>
      <c r="K60" s="443">
        <f t="shared" si="11"/>
        <v>0</v>
      </c>
      <c r="L60" s="445">
        <f t="shared" si="12"/>
        <v>0</v>
      </c>
      <c r="M60" s="299">
        <f>L60*D60*VPI!Q60</f>
        <v>0</v>
      </c>
    </row>
    <row r="61" spans="1:13" x14ac:dyDescent="0.25">
      <c r="A61" s="169">
        <f>Données!A61</f>
        <v>5495</v>
      </c>
      <c r="B61" s="27" t="str">
        <f>Données!B61</f>
        <v>Penthalaz</v>
      </c>
      <c r="C61" s="347">
        <f>VPI!R61</f>
        <v>103056.57202702702</v>
      </c>
      <c r="D61" s="27">
        <f>Données!Z61</f>
        <v>3214</v>
      </c>
      <c r="E61" s="114">
        <f t="shared" si="5"/>
        <v>32.064894843505606</v>
      </c>
      <c r="F61" s="188">
        <f t="shared" si="6"/>
        <v>0.66153064476365619</v>
      </c>
      <c r="G61" s="443">
        <f t="shared" si="7"/>
        <v>0</v>
      </c>
      <c r="H61" s="443">
        <f t="shared" si="8"/>
        <v>0</v>
      </c>
      <c r="I61" s="443">
        <f t="shared" si="9"/>
        <v>0</v>
      </c>
      <c r="J61" s="443">
        <f t="shared" si="10"/>
        <v>0</v>
      </c>
      <c r="K61" s="443">
        <f t="shared" si="11"/>
        <v>0</v>
      </c>
      <c r="L61" s="445">
        <f t="shared" si="12"/>
        <v>0</v>
      </c>
      <c r="M61" s="299">
        <f>L61*D61*VPI!Q61</f>
        <v>0</v>
      </c>
    </row>
    <row r="62" spans="1:13" x14ac:dyDescent="0.25">
      <c r="A62" s="169">
        <f>Données!A62</f>
        <v>5496</v>
      </c>
      <c r="B62" s="27" t="str">
        <f>Données!B62</f>
        <v>Penthaz</v>
      </c>
      <c r="C62" s="347">
        <f>VPI!R62</f>
        <v>61651.518705035967</v>
      </c>
      <c r="D62" s="27">
        <f>Données!Z62</f>
        <v>1923</v>
      </c>
      <c r="E62" s="114">
        <f t="shared" si="5"/>
        <v>32.060072129503887</v>
      </c>
      <c r="F62" s="188">
        <f t="shared" si="6"/>
        <v>0.66143114738128084</v>
      </c>
      <c r="G62" s="443">
        <f t="shared" si="7"/>
        <v>0</v>
      </c>
      <c r="H62" s="443">
        <f t="shared" si="8"/>
        <v>0</v>
      </c>
      <c r="I62" s="443">
        <f t="shared" si="9"/>
        <v>0</v>
      </c>
      <c r="J62" s="443">
        <f t="shared" si="10"/>
        <v>0</v>
      </c>
      <c r="K62" s="443">
        <f t="shared" si="11"/>
        <v>0</v>
      </c>
      <c r="L62" s="445">
        <f t="shared" si="12"/>
        <v>0</v>
      </c>
      <c r="M62" s="299">
        <f>L62*D62*VPI!Q62</f>
        <v>0</v>
      </c>
    </row>
    <row r="63" spans="1:13" x14ac:dyDescent="0.25">
      <c r="A63" s="169">
        <f>Données!A63</f>
        <v>5497</v>
      </c>
      <c r="B63" s="27" t="str">
        <f>Données!B63</f>
        <v>Pompaples</v>
      </c>
      <c r="C63" s="347">
        <f>VPI!R63</f>
        <v>22949.830606060608</v>
      </c>
      <c r="D63" s="27">
        <f>Données!Z63</f>
        <v>860</v>
      </c>
      <c r="E63" s="114">
        <f t="shared" si="5"/>
        <v>26.685849541930938</v>
      </c>
      <c r="F63" s="188">
        <f t="shared" si="6"/>
        <v>0.55055559482413263</v>
      </c>
      <c r="G63" s="443">
        <f t="shared" si="7"/>
        <v>0</v>
      </c>
      <c r="H63" s="443">
        <f t="shared" si="8"/>
        <v>0</v>
      </c>
      <c r="I63" s="443">
        <f t="shared" si="9"/>
        <v>0</v>
      </c>
      <c r="J63" s="443">
        <f t="shared" si="10"/>
        <v>0</v>
      </c>
      <c r="K63" s="443">
        <f t="shared" si="11"/>
        <v>0</v>
      </c>
      <c r="L63" s="445">
        <f t="shared" si="12"/>
        <v>0</v>
      </c>
      <c r="M63" s="299">
        <f>L63*D63*VPI!Q63</f>
        <v>0</v>
      </c>
    </row>
    <row r="64" spans="1:13" x14ac:dyDescent="0.25">
      <c r="A64" s="169">
        <f>Données!A64</f>
        <v>5498</v>
      </c>
      <c r="B64" s="27" t="str">
        <f>Données!B64</f>
        <v>La Sarraz</v>
      </c>
      <c r="C64" s="347">
        <f>VPI!R64</f>
        <v>73743.655606060609</v>
      </c>
      <c r="D64" s="27">
        <f>Données!Z64</f>
        <v>2608</v>
      </c>
      <c r="E64" s="114">
        <f t="shared" si="5"/>
        <v>28.275941566741032</v>
      </c>
      <c r="F64" s="188">
        <f t="shared" si="6"/>
        <v>0.58336077343270121</v>
      </c>
      <c r="G64" s="443">
        <f t="shared" si="7"/>
        <v>0</v>
      </c>
      <c r="H64" s="443">
        <f t="shared" si="8"/>
        <v>0</v>
      </c>
      <c r="I64" s="443">
        <f t="shared" si="9"/>
        <v>0</v>
      </c>
      <c r="J64" s="443">
        <f t="shared" si="10"/>
        <v>0</v>
      </c>
      <c r="K64" s="443">
        <f t="shared" si="11"/>
        <v>0</v>
      </c>
      <c r="L64" s="445">
        <f t="shared" si="12"/>
        <v>0</v>
      </c>
      <c r="M64" s="299">
        <f>L64*D64*VPI!Q64</f>
        <v>0</v>
      </c>
    </row>
    <row r="65" spans="1:13" x14ac:dyDescent="0.25">
      <c r="A65" s="169">
        <f>Données!A65</f>
        <v>5499</v>
      </c>
      <c r="B65" s="27" t="str">
        <f>Données!B65</f>
        <v>Senarclens</v>
      </c>
      <c r="C65" s="347">
        <f>VPI!R65</f>
        <v>20491.103065693427</v>
      </c>
      <c r="D65" s="27">
        <f>Données!Z65</f>
        <v>496</v>
      </c>
      <c r="E65" s="114">
        <f t="shared" si="5"/>
        <v>41.312707793736749</v>
      </c>
      <c r="F65" s="188">
        <f t="shared" si="6"/>
        <v>0.85232221584093271</v>
      </c>
      <c r="G65" s="443">
        <f t="shared" si="7"/>
        <v>0</v>
      </c>
      <c r="H65" s="443">
        <f t="shared" si="8"/>
        <v>0</v>
      </c>
      <c r="I65" s="443">
        <f t="shared" si="9"/>
        <v>0</v>
      </c>
      <c r="J65" s="443">
        <f t="shared" si="10"/>
        <v>0</v>
      </c>
      <c r="K65" s="443">
        <f t="shared" si="11"/>
        <v>0</v>
      </c>
      <c r="L65" s="445">
        <f t="shared" si="12"/>
        <v>0</v>
      </c>
      <c r="M65" s="299">
        <f>L65*D65*VPI!Q65</f>
        <v>0</v>
      </c>
    </row>
    <row r="66" spans="1:13" x14ac:dyDescent="0.25">
      <c r="A66" s="169">
        <f>Données!A66</f>
        <v>5501</v>
      </c>
      <c r="B66" s="27" t="str">
        <f>Données!B66</f>
        <v>Sullens</v>
      </c>
      <c r="C66" s="347">
        <f>VPI!R66</f>
        <v>53840.673124999994</v>
      </c>
      <c r="D66" s="27">
        <f>Données!Z66</f>
        <v>1169</v>
      </c>
      <c r="E66" s="114">
        <f t="shared" si="5"/>
        <v>46.057034324208722</v>
      </c>
      <c r="F66" s="188">
        <f t="shared" si="6"/>
        <v>0.95020238678769997</v>
      </c>
      <c r="G66" s="443">
        <f t="shared" si="7"/>
        <v>0</v>
      </c>
      <c r="H66" s="443">
        <f t="shared" si="8"/>
        <v>0</v>
      </c>
      <c r="I66" s="443">
        <f t="shared" si="9"/>
        <v>0</v>
      </c>
      <c r="J66" s="443">
        <f t="shared" si="10"/>
        <v>0</v>
      </c>
      <c r="K66" s="443">
        <f t="shared" si="11"/>
        <v>0</v>
      </c>
      <c r="L66" s="445">
        <f t="shared" si="12"/>
        <v>0</v>
      </c>
      <c r="M66" s="299">
        <f>L66*D66*VPI!Q66</f>
        <v>0</v>
      </c>
    </row>
    <row r="67" spans="1:13" x14ac:dyDescent="0.25">
      <c r="A67" s="169">
        <f>Données!A67</f>
        <v>5503</v>
      </c>
      <c r="B67" s="27" t="str">
        <f>Données!B67</f>
        <v>Vufflens-la-Ville</v>
      </c>
      <c r="C67" s="347">
        <f>VPI!R67</f>
        <v>75222.663980099518</v>
      </c>
      <c r="D67" s="27">
        <f>Données!Z67</f>
        <v>1334</v>
      </c>
      <c r="E67" s="114">
        <f t="shared" si="5"/>
        <v>56.388803583283</v>
      </c>
      <c r="F67" s="188">
        <f t="shared" si="6"/>
        <v>1.1633570536862581</v>
      </c>
      <c r="G67" s="443">
        <f t="shared" si="7"/>
        <v>7.9180409703712868</v>
      </c>
      <c r="H67" s="443">
        <f t="shared" si="8"/>
        <v>0</v>
      </c>
      <c r="I67" s="443">
        <f t="shared" si="9"/>
        <v>0</v>
      </c>
      <c r="J67" s="443">
        <f t="shared" si="10"/>
        <v>0</v>
      </c>
      <c r="K67" s="443">
        <f t="shared" si="11"/>
        <v>0</v>
      </c>
      <c r="L67" s="445">
        <f t="shared" si="12"/>
        <v>1.5836081940742575</v>
      </c>
      <c r="M67" s="299">
        <f>L67*D67*VPI!Q67</f>
        <v>141539.73316996897</v>
      </c>
    </row>
    <row r="68" spans="1:13" x14ac:dyDescent="0.25">
      <c r="A68" s="169">
        <f>Données!A68</f>
        <v>5511</v>
      </c>
      <c r="B68" s="27" t="str">
        <f>Données!B68</f>
        <v>Assens</v>
      </c>
      <c r="C68" s="347">
        <f>VPI!R68</f>
        <v>72835.778857142868</v>
      </c>
      <c r="D68" s="27">
        <f>Données!Z68</f>
        <v>1669</v>
      </c>
      <c r="E68" s="114">
        <f t="shared" si="5"/>
        <v>43.64037079517248</v>
      </c>
      <c r="F68" s="188">
        <f t="shared" si="6"/>
        <v>0.9003442166504616</v>
      </c>
      <c r="G68" s="443">
        <f t="shared" si="7"/>
        <v>0</v>
      </c>
      <c r="H68" s="443">
        <f t="shared" si="8"/>
        <v>0</v>
      </c>
      <c r="I68" s="443">
        <f t="shared" si="9"/>
        <v>0</v>
      </c>
      <c r="J68" s="443">
        <f t="shared" si="10"/>
        <v>0</v>
      </c>
      <c r="K68" s="443">
        <f t="shared" si="11"/>
        <v>0</v>
      </c>
      <c r="L68" s="445">
        <f t="shared" si="12"/>
        <v>0</v>
      </c>
      <c r="M68" s="299">
        <f>L68*D68*VPI!Q68</f>
        <v>0</v>
      </c>
    </row>
    <row r="69" spans="1:13" x14ac:dyDescent="0.25">
      <c r="A69" s="169">
        <f>Données!A69</f>
        <v>5512</v>
      </c>
      <c r="B69" s="27" t="str">
        <f>Données!B69</f>
        <v>Bercher</v>
      </c>
      <c r="C69" s="347">
        <f>VPI!R69</f>
        <v>41198.7282278481</v>
      </c>
      <c r="D69" s="27">
        <f>Données!Z69</f>
        <v>1359</v>
      </c>
      <c r="E69" s="114">
        <f t="shared" si="5"/>
        <v>30.315473309674836</v>
      </c>
      <c r="F69" s="188">
        <f t="shared" si="6"/>
        <v>0.62543834005201637</v>
      </c>
      <c r="G69" s="443">
        <f t="shared" si="7"/>
        <v>0</v>
      </c>
      <c r="H69" s="443">
        <f t="shared" si="8"/>
        <v>0</v>
      </c>
      <c r="I69" s="443">
        <f t="shared" si="9"/>
        <v>0</v>
      </c>
      <c r="J69" s="443">
        <f t="shared" si="10"/>
        <v>0</v>
      </c>
      <c r="K69" s="443">
        <f t="shared" si="11"/>
        <v>0</v>
      </c>
      <c r="L69" s="445">
        <f t="shared" si="12"/>
        <v>0</v>
      </c>
      <c r="M69" s="299">
        <f>L69*D69*VPI!Q69</f>
        <v>0</v>
      </c>
    </row>
    <row r="70" spans="1:13" x14ac:dyDescent="0.25">
      <c r="A70" s="169">
        <f>Données!A70</f>
        <v>5514</v>
      </c>
      <c r="B70" s="27" t="str">
        <f>Données!B70</f>
        <v>Bottens</v>
      </c>
      <c r="C70" s="347">
        <f>VPI!R70</f>
        <v>45712.235586206894</v>
      </c>
      <c r="D70" s="27">
        <f>Données!Z70</f>
        <v>1356</v>
      </c>
      <c r="E70" s="114">
        <f t="shared" si="5"/>
        <v>33.71108819041806</v>
      </c>
      <c r="F70" s="188">
        <f t="shared" si="6"/>
        <v>0.69549324939727797</v>
      </c>
      <c r="G70" s="443">
        <f t="shared" si="7"/>
        <v>0</v>
      </c>
      <c r="H70" s="443">
        <f t="shared" si="8"/>
        <v>0</v>
      </c>
      <c r="I70" s="443">
        <f t="shared" si="9"/>
        <v>0</v>
      </c>
      <c r="J70" s="443">
        <f t="shared" si="10"/>
        <v>0</v>
      </c>
      <c r="K70" s="443">
        <f t="shared" si="11"/>
        <v>0</v>
      </c>
      <c r="L70" s="445">
        <f t="shared" si="12"/>
        <v>0</v>
      </c>
      <c r="M70" s="299">
        <f>L70*D70*VPI!Q70</f>
        <v>0</v>
      </c>
    </row>
    <row r="71" spans="1:13" x14ac:dyDescent="0.25">
      <c r="A71" s="169">
        <f>Données!A71</f>
        <v>5515</v>
      </c>
      <c r="B71" s="27" t="str">
        <f>Données!B71</f>
        <v>Bretigny-sur-Morrens</v>
      </c>
      <c r="C71" s="347">
        <f>VPI!R71</f>
        <v>29285.295897435899</v>
      </c>
      <c r="D71" s="27">
        <f>Données!Z71</f>
        <v>878</v>
      </c>
      <c r="E71" s="114">
        <f t="shared" ref="E71:E134" si="13">C71/D71</f>
        <v>33.354551136031773</v>
      </c>
      <c r="F71" s="188">
        <f t="shared" ref="F71:F134" si="14">E71/$E$306</f>
        <v>0.68813753566045066</v>
      </c>
      <c r="G71" s="443">
        <f t="shared" ref="G71:G134" si="15">IF(E71-$G$3&lt;0,0,E71-$G$3)</f>
        <v>0</v>
      </c>
      <c r="H71" s="443">
        <f t="shared" ref="H71:H134" si="16">IF(E71-$H$3&lt;0,0,E71-$H$3)</f>
        <v>0</v>
      </c>
      <c r="I71" s="443">
        <f t="shared" ref="I71:I134" si="17">IF(E71-$I$3&lt;0,0,E71-$I$3)</f>
        <v>0</v>
      </c>
      <c r="J71" s="443">
        <f t="shared" ref="J71:J134" si="18">IF(E71-$J$3&lt;0,0,E71-$J$3)</f>
        <v>0</v>
      </c>
      <c r="K71" s="443">
        <f t="shared" ref="K71:K134" si="19">IF(E71-$K$3&lt;0,0,E71-$K$3)</f>
        <v>0</v>
      </c>
      <c r="L71" s="445">
        <f t="shared" ref="L71:L134" si="20">(G71-H71)*$G$4+(H71-I71)*$H$4+(I71-J71)*$I$4+(J71-K71)*$J$4+(K71*$K$4)</f>
        <v>0</v>
      </c>
      <c r="M71" s="299">
        <f>L71*D71*VPI!Q71</f>
        <v>0</v>
      </c>
    </row>
    <row r="72" spans="1:13" x14ac:dyDescent="0.25">
      <c r="A72" s="169">
        <f>Données!A72</f>
        <v>5516</v>
      </c>
      <c r="B72" s="27" t="str">
        <f>Données!B72</f>
        <v>Cugy</v>
      </c>
      <c r="C72" s="347">
        <f>VPI!R72</f>
        <v>110290.24758771928</v>
      </c>
      <c r="D72" s="27">
        <f>Données!Z72</f>
        <v>2697</v>
      </c>
      <c r="E72" s="114">
        <f t="shared" si="13"/>
        <v>40.893677266488424</v>
      </c>
      <c r="F72" s="188">
        <f t="shared" si="14"/>
        <v>0.84367719965674948</v>
      </c>
      <c r="G72" s="443">
        <f t="shared" si="15"/>
        <v>0</v>
      </c>
      <c r="H72" s="443">
        <f t="shared" si="16"/>
        <v>0</v>
      </c>
      <c r="I72" s="443">
        <f t="shared" si="17"/>
        <v>0</v>
      </c>
      <c r="J72" s="443">
        <f t="shared" si="18"/>
        <v>0</v>
      </c>
      <c r="K72" s="443">
        <f t="shared" si="19"/>
        <v>0</v>
      </c>
      <c r="L72" s="445">
        <f t="shared" si="20"/>
        <v>0</v>
      </c>
      <c r="M72" s="299">
        <f>L72*D72*VPI!Q72</f>
        <v>0</v>
      </c>
    </row>
    <row r="73" spans="1:13" x14ac:dyDescent="0.25">
      <c r="A73" s="169">
        <f>Données!A73</f>
        <v>5518</v>
      </c>
      <c r="B73" s="27" t="str">
        <f>Données!B73</f>
        <v>Echallens</v>
      </c>
      <c r="C73" s="347">
        <f>VPI!R73</f>
        <v>193282.28662068967</v>
      </c>
      <c r="D73" s="27">
        <f>Données!Z73</f>
        <v>5816</v>
      </c>
      <c r="E73" s="114">
        <f t="shared" si="13"/>
        <v>33.232855333681165</v>
      </c>
      <c r="F73" s="188">
        <f t="shared" si="14"/>
        <v>0.68562683032407146</v>
      </c>
      <c r="G73" s="443">
        <f t="shared" si="15"/>
        <v>0</v>
      </c>
      <c r="H73" s="443">
        <f t="shared" si="16"/>
        <v>0</v>
      </c>
      <c r="I73" s="443">
        <f t="shared" si="17"/>
        <v>0</v>
      </c>
      <c r="J73" s="443">
        <f t="shared" si="18"/>
        <v>0</v>
      </c>
      <c r="K73" s="443">
        <f t="shared" si="19"/>
        <v>0</v>
      </c>
      <c r="L73" s="445">
        <f t="shared" si="20"/>
        <v>0</v>
      </c>
      <c r="M73" s="299">
        <f>L73*D73*VPI!Q73</f>
        <v>0</v>
      </c>
    </row>
    <row r="74" spans="1:13" x14ac:dyDescent="0.25">
      <c r="A74" s="169">
        <f>Données!A74</f>
        <v>5520</v>
      </c>
      <c r="B74" s="27" t="str">
        <f>Données!B74</f>
        <v>Essertines-sur-Yverdon</v>
      </c>
      <c r="C74" s="347">
        <f>VPI!R74</f>
        <v>31422.035945945943</v>
      </c>
      <c r="D74" s="27">
        <f>Données!Z74</f>
        <v>1081</v>
      </c>
      <c r="E74" s="114">
        <f t="shared" si="13"/>
        <v>29.067563317248791</v>
      </c>
      <c r="F74" s="188">
        <f t="shared" si="14"/>
        <v>0.59969271681122116</v>
      </c>
      <c r="G74" s="443">
        <f t="shared" si="15"/>
        <v>0</v>
      </c>
      <c r="H74" s="443">
        <f t="shared" si="16"/>
        <v>0</v>
      </c>
      <c r="I74" s="443">
        <f t="shared" si="17"/>
        <v>0</v>
      </c>
      <c r="J74" s="443">
        <f t="shared" si="18"/>
        <v>0</v>
      </c>
      <c r="K74" s="443">
        <f t="shared" si="19"/>
        <v>0</v>
      </c>
      <c r="L74" s="445">
        <f t="shared" si="20"/>
        <v>0</v>
      </c>
      <c r="M74" s="299">
        <f>L74*D74*VPI!Q74</f>
        <v>0</v>
      </c>
    </row>
    <row r="75" spans="1:13" x14ac:dyDescent="0.25">
      <c r="A75" s="169">
        <f>Données!A75</f>
        <v>5521</v>
      </c>
      <c r="B75" s="27" t="str">
        <f>Données!B75</f>
        <v>Etagnières</v>
      </c>
      <c r="C75" s="347">
        <f>VPI!R75</f>
        <v>47189.665890410972</v>
      </c>
      <c r="D75" s="27">
        <f>Données!Z75</f>
        <v>1154</v>
      </c>
      <c r="E75" s="114">
        <f t="shared" si="13"/>
        <v>40.892258137271206</v>
      </c>
      <c r="F75" s="188">
        <f t="shared" si="14"/>
        <v>0.84364792161075397</v>
      </c>
      <c r="G75" s="443">
        <f t="shared" si="15"/>
        <v>0</v>
      </c>
      <c r="H75" s="443">
        <f t="shared" si="16"/>
        <v>0</v>
      </c>
      <c r="I75" s="443">
        <f t="shared" si="17"/>
        <v>0</v>
      </c>
      <c r="J75" s="443">
        <f t="shared" si="18"/>
        <v>0</v>
      </c>
      <c r="K75" s="443">
        <f t="shared" si="19"/>
        <v>0</v>
      </c>
      <c r="L75" s="445">
        <f t="shared" si="20"/>
        <v>0</v>
      </c>
      <c r="M75" s="299">
        <f>L75*D75*VPI!Q75</f>
        <v>0</v>
      </c>
    </row>
    <row r="76" spans="1:13" x14ac:dyDescent="0.25">
      <c r="A76" s="169">
        <f>Données!A76</f>
        <v>5522</v>
      </c>
      <c r="B76" s="27" t="str">
        <f>Données!B76</f>
        <v>Fey</v>
      </c>
      <c r="C76" s="347">
        <f>VPI!R76</f>
        <v>24172.463733333334</v>
      </c>
      <c r="D76" s="27">
        <f>Données!Z76</f>
        <v>736</v>
      </c>
      <c r="E76" s="114">
        <f t="shared" si="13"/>
        <v>32.843021376811592</v>
      </c>
      <c r="F76" s="188">
        <f t="shared" si="14"/>
        <v>0.67758416840057767</v>
      </c>
      <c r="G76" s="443">
        <f t="shared" si="15"/>
        <v>0</v>
      </c>
      <c r="H76" s="443">
        <f t="shared" si="16"/>
        <v>0</v>
      </c>
      <c r="I76" s="443">
        <f t="shared" si="17"/>
        <v>0</v>
      </c>
      <c r="J76" s="443">
        <f t="shared" si="18"/>
        <v>0</v>
      </c>
      <c r="K76" s="443">
        <f t="shared" si="19"/>
        <v>0</v>
      </c>
      <c r="L76" s="445">
        <f t="shared" si="20"/>
        <v>0</v>
      </c>
      <c r="M76" s="299">
        <f>L76*D76*VPI!Q76</f>
        <v>0</v>
      </c>
    </row>
    <row r="77" spans="1:13" x14ac:dyDescent="0.25">
      <c r="A77" s="169">
        <f>Données!A77</f>
        <v>5523</v>
      </c>
      <c r="B77" s="27" t="str">
        <f>Données!B77</f>
        <v>Froideville</v>
      </c>
      <c r="C77" s="347">
        <f>VPI!R77</f>
        <v>92224.237222222204</v>
      </c>
      <c r="D77" s="27">
        <f>Données!Z77</f>
        <v>2720</v>
      </c>
      <c r="E77" s="114">
        <f t="shared" si="13"/>
        <v>33.905969566993456</v>
      </c>
      <c r="F77" s="188">
        <f t="shared" si="14"/>
        <v>0.6995138458572866</v>
      </c>
      <c r="G77" s="443">
        <f t="shared" si="15"/>
        <v>0</v>
      </c>
      <c r="H77" s="443">
        <f t="shared" si="16"/>
        <v>0</v>
      </c>
      <c r="I77" s="443">
        <f t="shared" si="17"/>
        <v>0</v>
      </c>
      <c r="J77" s="443">
        <f t="shared" si="18"/>
        <v>0</v>
      </c>
      <c r="K77" s="443">
        <f t="shared" si="19"/>
        <v>0</v>
      </c>
      <c r="L77" s="445">
        <f t="shared" si="20"/>
        <v>0</v>
      </c>
      <c r="M77" s="299">
        <f>L77*D77*VPI!Q77</f>
        <v>0</v>
      </c>
    </row>
    <row r="78" spans="1:13" x14ac:dyDescent="0.25">
      <c r="A78" s="169">
        <f>Données!A78</f>
        <v>5527</v>
      </c>
      <c r="B78" s="27" t="str">
        <f>Données!B78</f>
        <v>Morrens</v>
      </c>
      <c r="C78" s="347">
        <f>VPI!R78</f>
        <v>40722.505675675682</v>
      </c>
      <c r="D78" s="27">
        <f>Données!Z78</f>
        <v>1172</v>
      </c>
      <c r="E78" s="114">
        <f t="shared" si="13"/>
        <v>34.746165252283006</v>
      </c>
      <c r="F78" s="188">
        <f t="shared" si="14"/>
        <v>0.71684791778017687</v>
      </c>
      <c r="G78" s="443">
        <f t="shared" si="15"/>
        <v>0</v>
      </c>
      <c r="H78" s="443">
        <f t="shared" si="16"/>
        <v>0</v>
      </c>
      <c r="I78" s="443">
        <f t="shared" si="17"/>
        <v>0</v>
      </c>
      <c r="J78" s="443">
        <f t="shared" si="18"/>
        <v>0</v>
      </c>
      <c r="K78" s="443">
        <f t="shared" si="19"/>
        <v>0</v>
      </c>
      <c r="L78" s="445">
        <f t="shared" si="20"/>
        <v>0</v>
      </c>
      <c r="M78" s="299">
        <f>L78*D78*VPI!Q78</f>
        <v>0</v>
      </c>
    </row>
    <row r="79" spans="1:13" x14ac:dyDescent="0.25">
      <c r="A79" s="169">
        <f>Données!A79</f>
        <v>5529</v>
      </c>
      <c r="B79" s="27" t="str">
        <f>Données!B79</f>
        <v>Oulens-sous-Echallens</v>
      </c>
      <c r="C79" s="347">
        <f>VPI!R79</f>
        <v>22677.013380281693</v>
      </c>
      <c r="D79" s="27">
        <f>Données!Z79</f>
        <v>606</v>
      </c>
      <c r="E79" s="114">
        <f t="shared" si="13"/>
        <v>37.420814158880681</v>
      </c>
      <c r="F79" s="188">
        <f t="shared" si="14"/>
        <v>0.77202858262668372</v>
      </c>
      <c r="G79" s="443">
        <f t="shared" si="15"/>
        <v>0</v>
      </c>
      <c r="H79" s="443">
        <f t="shared" si="16"/>
        <v>0</v>
      </c>
      <c r="I79" s="443">
        <f t="shared" si="17"/>
        <v>0</v>
      </c>
      <c r="J79" s="443">
        <f t="shared" si="18"/>
        <v>0</v>
      </c>
      <c r="K79" s="443">
        <f t="shared" si="19"/>
        <v>0</v>
      </c>
      <c r="L79" s="445">
        <f t="shared" si="20"/>
        <v>0</v>
      </c>
      <c r="M79" s="299">
        <f>L79*D79*VPI!Q79</f>
        <v>0</v>
      </c>
    </row>
    <row r="80" spans="1:13" x14ac:dyDescent="0.25">
      <c r="A80" s="169">
        <f>Données!A80</f>
        <v>5530</v>
      </c>
      <c r="B80" s="27" t="str">
        <f>Données!B80</f>
        <v>Pailly</v>
      </c>
      <c r="C80" s="347">
        <f>VPI!R80</f>
        <v>20359.246820175435</v>
      </c>
      <c r="D80" s="27">
        <f>Données!Z80</f>
        <v>566</v>
      </c>
      <c r="E80" s="114">
        <f t="shared" si="13"/>
        <v>35.970400742359423</v>
      </c>
      <c r="F80" s="188">
        <f t="shared" si="14"/>
        <v>0.7421051125112188</v>
      </c>
      <c r="G80" s="443">
        <f t="shared" si="15"/>
        <v>0</v>
      </c>
      <c r="H80" s="443">
        <f t="shared" si="16"/>
        <v>0</v>
      </c>
      <c r="I80" s="443">
        <f t="shared" si="17"/>
        <v>0</v>
      </c>
      <c r="J80" s="443">
        <f t="shared" si="18"/>
        <v>0</v>
      </c>
      <c r="K80" s="443">
        <f t="shared" si="19"/>
        <v>0</v>
      </c>
      <c r="L80" s="445">
        <f t="shared" si="20"/>
        <v>0</v>
      </c>
      <c r="M80" s="299">
        <f>L80*D80*VPI!Q80</f>
        <v>0</v>
      </c>
    </row>
    <row r="81" spans="1:13" x14ac:dyDescent="0.25">
      <c r="A81" s="169">
        <f>Données!A81</f>
        <v>5531</v>
      </c>
      <c r="B81" s="27" t="str">
        <f>Données!B81</f>
        <v>Penthéréaz</v>
      </c>
      <c r="C81" s="347">
        <f>VPI!R81</f>
        <v>17299.306216216217</v>
      </c>
      <c r="D81" s="27">
        <f>Données!Z81</f>
        <v>433</v>
      </c>
      <c r="E81" s="114">
        <f t="shared" si="13"/>
        <v>39.952208351538609</v>
      </c>
      <c r="F81" s="188">
        <f t="shared" si="14"/>
        <v>0.82425376036679232</v>
      </c>
      <c r="G81" s="443">
        <f t="shared" si="15"/>
        <v>0</v>
      </c>
      <c r="H81" s="443">
        <f t="shared" si="16"/>
        <v>0</v>
      </c>
      <c r="I81" s="443">
        <f t="shared" si="17"/>
        <v>0</v>
      </c>
      <c r="J81" s="443">
        <f t="shared" si="18"/>
        <v>0</v>
      </c>
      <c r="K81" s="443">
        <f t="shared" si="19"/>
        <v>0</v>
      </c>
      <c r="L81" s="445">
        <f t="shared" si="20"/>
        <v>0</v>
      </c>
      <c r="M81" s="299">
        <f>L81*D81*VPI!Q81</f>
        <v>0</v>
      </c>
    </row>
    <row r="82" spans="1:13" x14ac:dyDescent="0.25">
      <c r="A82" s="169">
        <f>Données!A82</f>
        <v>5533</v>
      </c>
      <c r="B82" s="27" t="str">
        <f>Données!B82</f>
        <v>Poliez-Pittet</v>
      </c>
      <c r="C82" s="347">
        <f>VPI!R82</f>
        <v>28012.381095890411</v>
      </c>
      <c r="D82" s="27">
        <f>Données!Z82</f>
        <v>848</v>
      </c>
      <c r="E82" s="114">
        <f t="shared" si="13"/>
        <v>33.033468273455675</v>
      </c>
      <c r="F82" s="188">
        <f t="shared" si="14"/>
        <v>0.6815132771328869</v>
      </c>
      <c r="G82" s="443">
        <f t="shared" si="15"/>
        <v>0</v>
      </c>
      <c r="H82" s="443">
        <f t="shared" si="16"/>
        <v>0</v>
      </c>
      <c r="I82" s="443">
        <f t="shared" si="17"/>
        <v>0</v>
      </c>
      <c r="J82" s="443">
        <f t="shared" si="18"/>
        <v>0</v>
      </c>
      <c r="K82" s="443">
        <f t="shared" si="19"/>
        <v>0</v>
      </c>
      <c r="L82" s="445">
        <f t="shared" si="20"/>
        <v>0</v>
      </c>
      <c r="M82" s="299">
        <f>L82*D82*VPI!Q82</f>
        <v>0</v>
      </c>
    </row>
    <row r="83" spans="1:13" x14ac:dyDescent="0.25">
      <c r="A83" s="169">
        <f>Données!A83</f>
        <v>5534</v>
      </c>
      <c r="B83" s="27" t="str">
        <f>Données!B83</f>
        <v>Rueyres</v>
      </c>
      <c r="C83" s="347">
        <f>VPI!R83</f>
        <v>15042.055228310503</v>
      </c>
      <c r="D83" s="27">
        <f>Données!Z83</f>
        <v>303</v>
      </c>
      <c r="E83" s="114">
        <f t="shared" si="13"/>
        <v>49.64374662808747</v>
      </c>
      <c r="F83" s="188">
        <f t="shared" si="14"/>
        <v>1.024199825873243</v>
      </c>
      <c r="G83" s="443">
        <f t="shared" si="15"/>
        <v>1.1729840151757571</v>
      </c>
      <c r="H83" s="443">
        <f t="shared" si="16"/>
        <v>0</v>
      </c>
      <c r="I83" s="443">
        <f t="shared" si="17"/>
        <v>0</v>
      </c>
      <c r="J83" s="443">
        <f t="shared" si="18"/>
        <v>0</v>
      </c>
      <c r="K83" s="443">
        <f t="shared" si="19"/>
        <v>0</v>
      </c>
      <c r="L83" s="445">
        <f t="shared" si="20"/>
        <v>0.23459680303515143</v>
      </c>
      <c r="M83" s="299">
        <f>L83*D83*VPI!Q83</f>
        <v>5189.0466863345146</v>
      </c>
    </row>
    <row r="84" spans="1:13" x14ac:dyDescent="0.25">
      <c r="A84" s="169">
        <f>Données!A84</f>
        <v>5535</v>
      </c>
      <c r="B84" s="27" t="str">
        <f>Données!B84</f>
        <v>Saint-Barthélemy</v>
      </c>
      <c r="C84" s="347">
        <f>VPI!R84</f>
        <v>25492.610399999998</v>
      </c>
      <c r="D84" s="27">
        <f>Données!Z84</f>
        <v>814</v>
      </c>
      <c r="E84" s="114">
        <f t="shared" si="13"/>
        <v>31.317703194103192</v>
      </c>
      <c r="F84" s="188">
        <f t="shared" si="14"/>
        <v>0.6461153385228714</v>
      </c>
      <c r="G84" s="443">
        <f t="shared" si="15"/>
        <v>0</v>
      </c>
      <c r="H84" s="443">
        <f t="shared" si="16"/>
        <v>0</v>
      </c>
      <c r="I84" s="443">
        <f t="shared" si="17"/>
        <v>0</v>
      </c>
      <c r="J84" s="443">
        <f t="shared" si="18"/>
        <v>0</v>
      </c>
      <c r="K84" s="443">
        <f t="shared" si="19"/>
        <v>0</v>
      </c>
      <c r="L84" s="445">
        <f t="shared" si="20"/>
        <v>0</v>
      </c>
      <c r="M84" s="299">
        <f>L84*D84*VPI!Q84</f>
        <v>0</v>
      </c>
    </row>
    <row r="85" spans="1:13" x14ac:dyDescent="0.25">
      <c r="A85" s="169">
        <f>Données!A85</f>
        <v>5537</v>
      </c>
      <c r="B85" s="27" t="str">
        <f>Données!B85</f>
        <v>Villars-le-Terroir</v>
      </c>
      <c r="C85" s="347">
        <f>VPI!R85</f>
        <v>39162.728026315795</v>
      </c>
      <c r="D85" s="27">
        <f>Données!Z85</f>
        <v>1308</v>
      </c>
      <c r="E85" s="114">
        <f t="shared" si="13"/>
        <v>29.940923567519722</v>
      </c>
      <c r="F85" s="188">
        <f t="shared" si="14"/>
        <v>0.61771100666660472</v>
      </c>
      <c r="G85" s="443">
        <f t="shared" si="15"/>
        <v>0</v>
      </c>
      <c r="H85" s="443">
        <f t="shared" si="16"/>
        <v>0</v>
      </c>
      <c r="I85" s="443">
        <f t="shared" si="17"/>
        <v>0</v>
      </c>
      <c r="J85" s="443">
        <f t="shared" si="18"/>
        <v>0</v>
      </c>
      <c r="K85" s="443">
        <f t="shared" si="19"/>
        <v>0</v>
      </c>
      <c r="L85" s="445">
        <f t="shared" si="20"/>
        <v>0</v>
      </c>
      <c r="M85" s="299">
        <f>L85*D85*VPI!Q85</f>
        <v>0</v>
      </c>
    </row>
    <row r="86" spans="1:13" x14ac:dyDescent="0.25">
      <c r="A86" s="169">
        <f>Données!A86</f>
        <v>5539</v>
      </c>
      <c r="B86" s="27" t="str">
        <f>Données!B86</f>
        <v>Vuarrens</v>
      </c>
      <c r="C86" s="347">
        <f>VPI!R86</f>
        <v>34442.458945578233</v>
      </c>
      <c r="D86" s="27">
        <f>Données!Z86</f>
        <v>1106</v>
      </c>
      <c r="E86" s="114">
        <f t="shared" si="13"/>
        <v>31.141463784428783</v>
      </c>
      <c r="F86" s="188">
        <f t="shared" si="14"/>
        <v>0.64247934436528287</v>
      </c>
      <c r="G86" s="443">
        <f t="shared" si="15"/>
        <v>0</v>
      </c>
      <c r="H86" s="443">
        <f t="shared" si="16"/>
        <v>0</v>
      </c>
      <c r="I86" s="443">
        <f t="shared" si="17"/>
        <v>0</v>
      </c>
      <c r="J86" s="443">
        <f t="shared" si="18"/>
        <v>0</v>
      </c>
      <c r="K86" s="443">
        <f t="shared" si="19"/>
        <v>0</v>
      </c>
      <c r="L86" s="445">
        <f t="shared" si="20"/>
        <v>0</v>
      </c>
      <c r="M86" s="299">
        <f>L86*D86*VPI!Q86</f>
        <v>0</v>
      </c>
    </row>
    <row r="87" spans="1:13" x14ac:dyDescent="0.25">
      <c r="A87" s="169">
        <f>Données!A87</f>
        <v>5540</v>
      </c>
      <c r="B87" s="27" t="str">
        <f>Données!B87</f>
        <v>Montilliez</v>
      </c>
      <c r="C87" s="347">
        <f>VPI!R87</f>
        <v>67464.467689655183</v>
      </c>
      <c r="D87" s="27">
        <f>Données!Z87</f>
        <v>1895</v>
      </c>
      <c r="E87" s="114">
        <f t="shared" si="13"/>
        <v>35.601302210899831</v>
      </c>
      <c r="F87" s="188">
        <f t="shared" si="14"/>
        <v>0.73449024301953736</v>
      </c>
      <c r="G87" s="443">
        <f t="shared" si="15"/>
        <v>0</v>
      </c>
      <c r="H87" s="443">
        <f t="shared" si="16"/>
        <v>0</v>
      </c>
      <c r="I87" s="443">
        <f t="shared" si="17"/>
        <v>0</v>
      </c>
      <c r="J87" s="443">
        <f t="shared" si="18"/>
        <v>0</v>
      </c>
      <c r="K87" s="443">
        <f t="shared" si="19"/>
        <v>0</v>
      </c>
      <c r="L87" s="445">
        <f t="shared" si="20"/>
        <v>0</v>
      </c>
      <c r="M87" s="299">
        <f>L87*D87*VPI!Q87</f>
        <v>0</v>
      </c>
    </row>
    <row r="88" spans="1:13" x14ac:dyDescent="0.25">
      <c r="A88" s="169">
        <f>Données!A88</f>
        <v>5541</v>
      </c>
      <c r="B88" s="27" t="str">
        <f>Données!B88</f>
        <v>Goumoëns</v>
      </c>
      <c r="C88" s="347">
        <f>VPI!R88</f>
        <v>41726.211258278148</v>
      </c>
      <c r="D88" s="27">
        <f>Données!Z88</f>
        <v>1175</v>
      </c>
      <c r="E88" s="114">
        <f t="shared" si="13"/>
        <v>35.511669155981402</v>
      </c>
      <c r="F88" s="188">
        <f t="shared" si="14"/>
        <v>0.73264102402469222</v>
      </c>
      <c r="G88" s="443">
        <f t="shared" si="15"/>
        <v>0</v>
      </c>
      <c r="H88" s="443">
        <f t="shared" si="16"/>
        <v>0</v>
      </c>
      <c r="I88" s="443">
        <f t="shared" si="17"/>
        <v>0</v>
      </c>
      <c r="J88" s="443">
        <f t="shared" si="18"/>
        <v>0</v>
      </c>
      <c r="K88" s="443">
        <f t="shared" si="19"/>
        <v>0</v>
      </c>
      <c r="L88" s="445">
        <f t="shared" si="20"/>
        <v>0</v>
      </c>
      <c r="M88" s="299">
        <f>L88*D88*VPI!Q88</f>
        <v>0</v>
      </c>
    </row>
    <row r="89" spans="1:13" x14ac:dyDescent="0.25">
      <c r="A89" s="169">
        <f>Données!A89</f>
        <v>5551</v>
      </c>
      <c r="B89" s="27" t="str">
        <f>Données!B89</f>
        <v>Bonvillars</v>
      </c>
      <c r="C89" s="347">
        <f>VPI!R89</f>
        <v>18575.023035714283</v>
      </c>
      <c r="D89" s="27">
        <f>Données!Z89</f>
        <v>501</v>
      </c>
      <c r="E89" s="114">
        <f t="shared" si="13"/>
        <v>37.075894282862841</v>
      </c>
      <c r="F89" s="188">
        <f t="shared" si="14"/>
        <v>0.76491254282404275</v>
      </c>
      <c r="G89" s="443">
        <f t="shared" si="15"/>
        <v>0</v>
      </c>
      <c r="H89" s="443">
        <f t="shared" si="16"/>
        <v>0</v>
      </c>
      <c r="I89" s="443">
        <f t="shared" si="17"/>
        <v>0</v>
      </c>
      <c r="J89" s="443">
        <f t="shared" si="18"/>
        <v>0</v>
      </c>
      <c r="K89" s="443">
        <f t="shared" si="19"/>
        <v>0</v>
      </c>
      <c r="L89" s="445">
        <f t="shared" si="20"/>
        <v>0</v>
      </c>
      <c r="M89" s="299">
        <f>L89*D89*VPI!Q89</f>
        <v>0</v>
      </c>
    </row>
    <row r="90" spans="1:13" x14ac:dyDescent="0.25">
      <c r="A90" s="169">
        <f>Données!A90</f>
        <v>5552</v>
      </c>
      <c r="B90" s="27" t="str">
        <f>Données!B90</f>
        <v>Bullet</v>
      </c>
      <c r="C90" s="347">
        <f>VPI!R90</f>
        <v>19038.952167832165</v>
      </c>
      <c r="D90" s="27">
        <f>Données!Z90</f>
        <v>651</v>
      </c>
      <c r="E90" s="114">
        <f t="shared" si="13"/>
        <v>29.24570225473451</v>
      </c>
      <c r="F90" s="188">
        <f t="shared" si="14"/>
        <v>0.60336790011519226</v>
      </c>
      <c r="G90" s="443">
        <f t="shared" si="15"/>
        <v>0</v>
      </c>
      <c r="H90" s="443">
        <f t="shared" si="16"/>
        <v>0</v>
      </c>
      <c r="I90" s="443">
        <f t="shared" si="17"/>
        <v>0</v>
      </c>
      <c r="J90" s="443">
        <f t="shared" si="18"/>
        <v>0</v>
      </c>
      <c r="K90" s="443">
        <f t="shared" si="19"/>
        <v>0</v>
      </c>
      <c r="L90" s="445">
        <f t="shared" si="20"/>
        <v>0</v>
      </c>
      <c r="M90" s="299">
        <f>L90*D90*VPI!Q90</f>
        <v>0</v>
      </c>
    </row>
    <row r="91" spans="1:13" x14ac:dyDescent="0.25">
      <c r="A91" s="169">
        <f>Données!A91</f>
        <v>5553</v>
      </c>
      <c r="B91" s="27" t="str">
        <f>Données!B91</f>
        <v>Champagne</v>
      </c>
      <c r="C91" s="347">
        <f>VPI!R91</f>
        <v>38263.796923076923</v>
      </c>
      <c r="D91" s="27">
        <f>Données!Z91</f>
        <v>1077</v>
      </c>
      <c r="E91" s="114">
        <f t="shared" si="13"/>
        <v>35.528130847796589</v>
      </c>
      <c r="F91" s="188">
        <f t="shared" si="14"/>
        <v>0.73298064508546756</v>
      </c>
      <c r="G91" s="443">
        <f t="shared" si="15"/>
        <v>0</v>
      </c>
      <c r="H91" s="443">
        <f t="shared" si="16"/>
        <v>0</v>
      </c>
      <c r="I91" s="443">
        <f t="shared" si="17"/>
        <v>0</v>
      </c>
      <c r="J91" s="443">
        <f t="shared" si="18"/>
        <v>0</v>
      </c>
      <c r="K91" s="443">
        <f t="shared" si="19"/>
        <v>0</v>
      </c>
      <c r="L91" s="445">
        <f t="shared" si="20"/>
        <v>0</v>
      </c>
      <c r="M91" s="299">
        <f>L91*D91*VPI!Q91</f>
        <v>0</v>
      </c>
    </row>
    <row r="92" spans="1:13" x14ac:dyDescent="0.25">
      <c r="A92" s="169">
        <f>Données!A92</f>
        <v>5554</v>
      </c>
      <c r="B92" s="27" t="str">
        <f>Données!B92</f>
        <v>Concise</v>
      </c>
      <c r="C92" s="347">
        <f>VPI!R92</f>
        <v>33907.166000000005</v>
      </c>
      <c r="D92" s="27">
        <f>Données!Z92</f>
        <v>1002</v>
      </c>
      <c r="E92" s="114">
        <f t="shared" si="13"/>
        <v>33.83948702594811</v>
      </c>
      <c r="F92" s="188">
        <f t="shared" si="14"/>
        <v>0.69814224496921562</v>
      </c>
      <c r="G92" s="443">
        <f t="shared" si="15"/>
        <v>0</v>
      </c>
      <c r="H92" s="443">
        <f t="shared" si="16"/>
        <v>0</v>
      </c>
      <c r="I92" s="443">
        <f t="shared" si="17"/>
        <v>0</v>
      </c>
      <c r="J92" s="443">
        <f t="shared" si="18"/>
        <v>0</v>
      </c>
      <c r="K92" s="443">
        <f t="shared" si="19"/>
        <v>0</v>
      </c>
      <c r="L92" s="445">
        <f t="shared" si="20"/>
        <v>0</v>
      </c>
      <c r="M92" s="299">
        <f>L92*D92*VPI!Q92</f>
        <v>0</v>
      </c>
    </row>
    <row r="93" spans="1:13" x14ac:dyDescent="0.25">
      <c r="A93" s="169">
        <f>Données!A93</f>
        <v>5555</v>
      </c>
      <c r="B93" s="27" t="str">
        <f>Données!B93</f>
        <v>Corcelles-près-Concise</v>
      </c>
      <c r="C93" s="347">
        <f>VPI!R93</f>
        <v>13425.201594202899</v>
      </c>
      <c r="D93" s="27">
        <f>Données!Z93</f>
        <v>412</v>
      </c>
      <c r="E93" s="114">
        <f t="shared" si="13"/>
        <v>32.585440762628394</v>
      </c>
      <c r="F93" s="188">
        <f t="shared" si="14"/>
        <v>0.67227002436203132</v>
      </c>
      <c r="G93" s="443">
        <f t="shared" si="15"/>
        <v>0</v>
      </c>
      <c r="H93" s="443">
        <f t="shared" si="16"/>
        <v>0</v>
      </c>
      <c r="I93" s="443">
        <f t="shared" si="17"/>
        <v>0</v>
      </c>
      <c r="J93" s="443">
        <f t="shared" si="18"/>
        <v>0</v>
      </c>
      <c r="K93" s="443">
        <f t="shared" si="19"/>
        <v>0</v>
      </c>
      <c r="L93" s="445">
        <f t="shared" si="20"/>
        <v>0</v>
      </c>
      <c r="M93" s="299">
        <f>L93*D93*VPI!Q93</f>
        <v>0</v>
      </c>
    </row>
    <row r="94" spans="1:13" x14ac:dyDescent="0.25">
      <c r="A94" s="169">
        <f>Données!A94</f>
        <v>5556</v>
      </c>
      <c r="B94" s="27" t="str">
        <f>Données!B94</f>
        <v>Fiez</v>
      </c>
      <c r="C94" s="347">
        <f>VPI!R94</f>
        <v>13304.241787439612</v>
      </c>
      <c r="D94" s="27">
        <f>Données!Z94</f>
        <v>436</v>
      </c>
      <c r="E94" s="114">
        <f t="shared" si="13"/>
        <v>30.514316026237644</v>
      </c>
      <c r="F94" s="188">
        <f t="shared" si="14"/>
        <v>0.6295406628925041</v>
      </c>
      <c r="G94" s="443">
        <f t="shared" si="15"/>
        <v>0</v>
      </c>
      <c r="H94" s="443">
        <f t="shared" si="16"/>
        <v>0</v>
      </c>
      <c r="I94" s="443">
        <f t="shared" si="17"/>
        <v>0</v>
      </c>
      <c r="J94" s="443">
        <f t="shared" si="18"/>
        <v>0</v>
      </c>
      <c r="K94" s="443">
        <f t="shared" si="19"/>
        <v>0</v>
      </c>
      <c r="L94" s="445">
        <f t="shared" si="20"/>
        <v>0</v>
      </c>
      <c r="M94" s="299">
        <f>L94*D94*VPI!Q94</f>
        <v>0</v>
      </c>
    </row>
    <row r="95" spans="1:13" x14ac:dyDescent="0.25">
      <c r="A95" s="169">
        <f>Données!A95</f>
        <v>5557</v>
      </c>
      <c r="B95" s="27" t="str">
        <f>Données!B95</f>
        <v>Fontaines-sur-Grandson</v>
      </c>
      <c r="C95" s="347">
        <f>VPI!R95</f>
        <v>5098.7534782608691</v>
      </c>
      <c r="D95" s="27">
        <f>Données!Z95</f>
        <v>214</v>
      </c>
      <c r="E95" s="114">
        <f t="shared" si="13"/>
        <v>23.825950832994714</v>
      </c>
      <c r="F95" s="188">
        <f t="shared" si="14"/>
        <v>0.49155304246539588</v>
      </c>
      <c r="G95" s="443">
        <f t="shared" si="15"/>
        <v>0</v>
      </c>
      <c r="H95" s="443">
        <f t="shared" si="16"/>
        <v>0</v>
      </c>
      <c r="I95" s="443">
        <f t="shared" si="17"/>
        <v>0</v>
      </c>
      <c r="J95" s="443">
        <f t="shared" si="18"/>
        <v>0</v>
      </c>
      <c r="K95" s="443">
        <f t="shared" si="19"/>
        <v>0</v>
      </c>
      <c r="L95" s="445">
        <f t="shared" si="20"/>
        <v>0</v>
      </c>
      <c r="M95" s="299">
        <f>L95*D95*VPI!Q95</f>
        <v>0</v>
      </c>
    </row>
    <row r="96" spans="1:13" x14ac:dyDescent="0.25">
      <c r="A96" s="169">
        <f>Données!A96</f>
        <v>5559</v>
      </c>
      <c r="B96" s="27" t="str">
        <f>Données!B96</f>
        <v>Giez</v>
      </c>
      <c r="C96" s="347">
        <f>VPI!R96</f>
        <v>21011.030606060605</v>
      </c>
      <c r="D96" s="27">
        <f>Données!Z96</f>
        <v>450</v>
      </c>
      <c r="E96" s="114">
        <f t="shared" si="13"/>
        <v>46.691179124579122</v>
      </c>
      <c r="F96" s="188">
        <f t="shared" si="14"/>
        <v>0.96328542419387186</v>
      </c>
      <c r="G96" s="443">
        <f t="shared" si="15"/>
        <v>0</v>
      </c>
      <c r="H96" s="443">
        <f t="shared" si="16"/>
        <v>0</v>
      </c>
      <c r="I96" s="443">
        <f t="shared" si="17"/>
        <v>0</v>
      </c>
      <c r="J96" s="443">
        <f t="shared" si="18"/>
        <v>0</v>
      </c>
      <c r="K96" s="443">
        <f t="shared" si="19"/>
        <v>0</v>
      </c>
      <c r="L96" s="445">
        <f t="shared" si="20"/>
        <v>0</v>
      </c>
      <c r="M96" s="299">
        <f>L96*D96*VPI!Q96</f>
        <v>0</v>
      </c>
    </row>
    <row r="97" spans="1:13" x14ac:dyDescent="0.25">
      <c r="A97" s="169">
        <f>Données!A97</f>
        <v>5560</v>
      </c>
      <c r="B97" s="27" t="str">
        <f>Données!B97</f>
        <v>Grandevent</v>
      </c>
      <c r="C97" s="347">
        <f>VPI!R97</f>
        <v>8996.1449295774655</v>
      </c>
      <c r="D97" s="27">
        <f>Données!Z97</f>
        <v>237</v>
      </c>
      <c r="E97" s="114">
        <f t="shared" si="13"/>
        <v>37.958417424377494</v>
      </c>
      <c r="F97" s="188">
        <f t="shared" si="14"/>
        <v>0.7831198722313083</v>
      </c>
      <c r="G97" s="443">
        <f t="shared" si="15"/>
        <v>0</v>
      </c>
      <c r="H97" s="443">
        <f t="shared" si="16"/>
        <v>0</v>
      </c>
      <c r="I97" s="443">
        <f t="shared" si="17"/>
        <v>0</v>
      </c>
      <c r="J97" s="443">
        <f t="shared" si="18"/>
        <v>0</v>
      </c>
      <c r="K97" s="443">
        <f t="shared" si="19"/>
        <v>0</v>
      </c>
      <c r="L97" s="445">
        <f t="shared" si="20"/>
        <v>0</v>
      </c>
      <c r="M97" s="299">
        <f>L97*D97*VPI!Q97</f>
        <v>0</v>
      </c>
    </row>
    <row r="98" spans="1:13" x14ac:dyDescent="0.25">
      <c r="A98" s="169">
        <f>Données!A98</f>
        <v>5561</v>
      </c>
      <c r="B98" s="27" t="str">
        <f>Données!B98</f>
        <v>Grandson</v>
      </c>
      <c r="C98" s="347">
        <f>VPI!R98</f>
        <v>132376.08594202899</v>
      </c>
      <c r="D98" s="27">
        <f>Données!Z98</f>
        <v>3358</v>
      </c>
      <c r="E98" s="114">
        <f t="shared" si="13"/>
        <v>39.421109571777542</v>
      </c>
      <c r="F98" s="188">
        <f t="shared" si="14"/>
        <v>0.81329666476665852</v>
      </c>
      <c r="G98" s="443">
        <f t="shared" si="15"/>
        <v>0</v>
      </c>
      <c r="H98" s="443">
        <f t="shared" si="16"/>
        <v>0</v>
      </c>
      <c r="I98" s="443">
        <f t="shared" si="17"/>
        <v>0</v>
      </c>
      <c r="J98" s="443">
        <f t="shared" si="18"/>
        <v>0</v>
      </c>
      <c r="K98" s="443">
        <f t="shared" si="19"/>
        <v>0</v>
      </c>
      <c r="L98" s="445">
        <f t="shared" si="20"/>
        <v>0</v>
      </c>
      <c r="M98" s="299">
        <f>L98*D98*VPI!Q98</f>
        <v>0</v>
      </c>
    </row>
    <row r="99" spans="1:13" x14ac:dyDescent="0.25">
      <c r="A99" s="169">
        <f>Données!A99</f>
        <v>5562</v>
      </c>
      <c r="B99" s="27" t="str">
        <f>Données!B99</f>
        <v>Mauborget</v>
      </c>
      <c r="C99" s="347">
        <f>VPI!R99</f>
        <v>4559.8505476190467</v>
      </c>
      <c r="D99" s="27">
        <f>Données!Z99</f>
        <v>138</v>
      </c>
      <c r="E99" s="114">
        <f t="shared" si="13"/>
        <v>33.042395272601787</v>
      </c>
      <c r="F99" s="188">
        <f t="shared" si="14"/>
        <v>0.68169744999638004</v>
      </c>
      <c r="G99" s="443">
        <f t="shared" si="15"/>
        <v>0</v>
      </c>
      <c r="H99" s="443">
        <f t="shared" si="16"/>
        <v>0</v>
      </c>
      <c r="I99" s="443">
        <f t="shared" si="17"/>
        <v>0</v>
      </c>
      <c r="J99" s="443">
        <f t="shared" si="18"/>
        <v>0</v>
      </c>
      <c r="K99" s="443">
        <f t="shared" si="19"/>
        <v>0</v>
      </c>
      <c r="L99" s="445">
        <f t="shared" si="20"/>
        <v>0</v>
      </c>
      <c r="M99" s="299">
        <f>L99*D99*VPI!Q99</f>
        <v>0</v>
      </c>
    </row>
    <row r="100" spans="1:13" x14ac:dyDescent="0.25">
      <c r="A100" s="169">
        <f>Données!A100</f>
        <v>5563</v>
      </c>
      <c r="B100" s="27" t="str">
        <f>Données!B100</f>
        <v>Mutrux</v>
      </c>
      <c r="C100" s="347">
        <f>VPI!R100</f>
        <v>2282.08925</v>
      </c>
      <c r="D100" s="27">
        <f>Données!Z100</f>
        <v>151</v>
      </c>
      <c r="E100" s="114">
        <f t="shared" si="13"/>
        <v>15.113173841059602</v>
      </c>
      <c r="F100" s="188">
        <f t="shared" si="14"/>
        <v>0.31179979489395804</v>
      </c>
      <c r="G100" s="443">
        <f t="shared" si="15"/>
        <v>0</v>
      </c>
      <c r="H100" s="443">
        <f t="shared" si="16"/>
        <v>0</v>
      </c>
      <c r="I100" s="443">
        <f t="shared" si="17"/>
        <v>0</v>
      </c>
      <c r="J100" s="443">
        <f t="shared" si="18"/>
        <v>0</v>
      </c>
      <c r="K100" s="443">
        <f t="shared" si="19"/>
        <v>0</v>
      </c>
      <c r="L100" s="445">
        <f t="shared" si="20"/>
        <v>0</v>
      </c>
      <c r="M100" s="299">
        <f>L100*D100*VPI!Q100</f>
        <v>0</v>
      </c>
    </row>
    <row r="101" spans="1:13" x14ac:dyDescent="0.25">
      <c r="A101" s="169">
        <f>Données!A101</f>
        <v>5564</v>
      </c>
      <c r="B101" s="27" t="str">
        <f>Données!B101</f>
        <v>Novalles</v>
      </c>
      <c r="C101" s="347">
        <f>VPI!R101</f>
        <v>2548.8725328947371</v>
      </c>
      <c r="D101" s="27">
        <f>Données!Z101</f>
        <v>99</v>
      </c>
      <c r="E101" s="114">
        <f t="shared" si="13"/>
        <v>25.746187200956939</v>
      </c>
      <c r="F101" s="188">
        <f t="shared" si="14"/>
        <v>0.53116942695055991</v>
      </c>
      <c r="G101" s="443">
        <f t="shared" si="15"/>
        <v>0</v>
      </c>
      <c r="H101" s="443">
        <f t="shared" si="16"/>
        <v>0</v>
      </c>
      <c r="I101" s="443">
        <f t="shared" si="17"/>
        <v>0</v>
      </c>
      <c r="J101" s="443">
        <f t="shared" si="18"/>
        <v>0</v>
      </c>
      <c r="K101" s="443">
        <f t="shared" si="19"/>
        <v>0</v>
      </c>
      <c r="L101" s="445">
        <f t="shared" si="20"/>
        <v>0</v>
      </c>
      <c r="M101" s="299">
        <f>L101*D101*VPI!Q101</f>
        <v>0</v>
      </c>
    </row>
    <row r="102" spans="1:13" x14ac:dyDescent="0.25">
      <c r="A102" s="169">
        <f>Données!A102</f>
        <v>5565</v>
      </c>
      <c r="B102" s="27" t="str">
        <f>Données!B102</f>
        <v>Onnens</v>
      </c>
      <c r="C102" s="347">
        <f>VPI!R102</f>
        <v>11658.700944881888</v>
      </c>
      <c r="D102" s="27">
        <f>Données!Z102</f>
        <v>496</v>
      </c>
      <c r="E102" s="114">
        <f t="shared" si="13"/>
        <v>23.505445453390902</v>
      </c>
      <c r="F102" s="188">
        <f t="shared" si="14"/>
        <v>0.48494069798541783</v>
      </c>
      <c r="G102" s="443">
        <f t="shared" si="15"/>
        <v>0</v>
      </c>
      <c r="H102" s="443">
        <f t="shared" si="16"/>
        <v>0</v>
      </c>
      <c r="I102" s="443">
        <f t="shared" si="17"/>
        <v>0</v>
      </c>
      <c r="J102" s="443">
        <f t="shared" si="18"/>
        <v>0</v>
      </c>
      <c r="K102" s="443">
        <f t="shared" si="19"/>
        <v>0</v>
      </c>
      <c r="L102" s="445">
        <f t="shared" si="20"/>
        <v>0</v>
      </c>
      <c r="M102" s="299">
        <f>L102*D102*VPI!Q102</f>
        <v>0</v>
      </c>
    </row>
    <row r="103" spans="1:13" x14ac:dyDescent="0.25">
      <c r="A103" s="169">
        <f>Données!A103</f>
        <v>5566</v>
      </c>
      <c r="B103" s="27" t="str">
        <f>Données!B103</f>
        <v>Provence</v>
      </c>
      <c r="C103" s="347">
        <f>VPI!R103</f>
        <v>8528.9197942386818</v>
      </c>
      <c r="D103" s="27">
        <f>Données!Z103</f>
        <v>403</v>
      </c>
      <c r="E103" s="114">
        <f t="shared" si="13"/>
        <v>21.163572690418565</v>
      </c>
      <c r="F103" s="188">
        <f t="shared" si="14"/>
        <v>0.43662553567459206</v>
      </c>
      <c r="G103" s="443">
        <f t="shared" si="15"/>
        <v>0</v>
      </c>
      <c r="H103" s="443">
        <f t="shared" si="16"/>
        <v>0</v>
      </c>
      <c r="I103" s="443">
        <f t="shared" si="17"/>
        <v>0</v>
      </c>
      <c r="J103" s="443">
        <f t="shared" si="18"/>
        <v>0</v>
      </c>
      <c r="K103" s="443">
        <f t="shared" si="19"/>
        <v>0</v>
      </c>
      <c r="L103" s="445">
        <f t="shared" si="20"/>
        <v>0</v>
      </c>
      <c r="M103" s="299">
        <f>L103*D103*VPI!Q103</f>
        <v>0</v>
      </c>
    </row>
    <row r="104" spans="1:13" x14ac:dyDescent="0.25">
      <c r="A104" s="169">
        <f>Données!A104</f>
        <v>5568</v>
      </c>
      <c r="B104" s="27" t="str">
        <f>Données!B104</f>
        <v>Sainte-Croix</v>
      </c>
      <c r="C104" s="347">
        <f>VPI!R104</f>
        <v>106004.96942857141</v>
      </c>
      <c r="D104" s="27">
        <f>Données!Z104</f>
        <v>4869</v>
      </c>
      <c r="E104" s="114">
        <f t="shared" si="13"/>
        <v>21.771404688554409</v>
      </c>
      <c r="F104" s="188">
        <f t="shared" si="14"/>
        <v>0.44916571382260262</v>
      </c>
      <c r="G104" s="443">
        <f t="shared" si="15"/>
        <v>0</v>
      </c>
      <c r="H104" s="443">
        <f t="shared" si="16"/>
        <v>0</v>
      </c>
      <c r="I104" s="443">
        <f t="shared" si="17"/>
        <v>0</v>
      </c>
      <c r="J104" s="443">
        <f t="shared" si="18"/>
        <v>0</v>
      </c>
      <c r="K104" s="443">
        <f t="shared" si="19"/>
        <v>0</v>
      </c>
      <c r="L104" s="445">
        <f t="shared" si="20"/>
        <v>0</v>
      </c>
      <c r="M104" s="299">
        <f>L104*D104*VPI!Q104</f>
        <v>0</v>
      </c>
    </row>
    <row r="105" spans="1:13" x14ac:dyDescent="0.25">
      <c r="A105" s="169">
        <f>Données!A105</f>
        <v>5571</v>
      </c>
      <c r="B105" s="27" t="str">
        <f>Données!B105</f>
        <v>Tévenon</v>
      </c>
      <c r="C105" s="347">
        <f>VPI!R105</f>
        <v>25907.008578088578</v>
      </c>
      <c r="D105" s="27">
        <f>Données!Z105</f>
        <v>867</v>
      </c>
      <c r="E105" s="114">
        <f t="shared" si="13"/>
        <v>29.881209432628118</v>
      </c>
      <c r="F105" s="188">
        <f t="shared" si="14"/>
        <v>0.61647904472351578</v>
      </c>
      <c r="G105" s="443">
        <f t="shared" si="15"/>
        <v>0</v>
      </c>
      <c r="H105" s="443">
        <f t="shared" si="16"/>
        <v>0</v>
      </c>
      <c r="I105" s="443">
        <f t="shared" si="17"/>
        <v>0</v>
      </c>
      <c r="J105" s="443">
        <f t="shared" si="18"/>
        <v>0</v>
      </c>
      <c r="K105" s="443">
        <f t="shared" si="19"/>
        <v>0</v>
      </c>
      <c r="L105" s="445">
        <f t="shared" si="20"/>
        <v>0</v>
      </c>
      <c r="M105" s="299">
        <f>L105*D105*VPI!Q105</f>
        <v>0</v>
      </c>
    </row>
    <row r="106" spans="1:13" x14ac:dyDescent="0.25">
      <c r="A106" s="169">
        <f>Données!A106</f>
        <v>5581</v>
      </c>
      <c r="B106" s="27" t="str">
        <f>Données!B106</f>
        <v>Belmont-sur-Lausanne</v>
      </c>
      <c r="C106" s="347">
        <f>VPI!R106</f>
        <v>233670.95416666666</v>
      </c>
      <c r="D106" s="27">
        <f>Données!Z106</f>
        <v>3835</v>
      </c>
      <c r="E106" s="114">
        <f t="shared" si="13"/>
        <v>60.931148413733162</v>
      </c>
      <c r="F106" s="188">
        <f t="shared" si="14"/>
        <v>1.2570701414444474</v>
      </c>
      <c r="G106" s="443">
        <f t="shared" si="15"/>
        <v>12.460385800821449</v>
      </c>
      <c r="H106" s="443">
        <f t="shared" si="16"/>
        <v>2.7662332782391061</v>
      </c>
      <c r="I106" s="443">
        <f t="shared" si="17"/>
        <v>0</v>
      </c>
      <c r="J106" s="443">
        <f t="shared" si="18"/>
        <v>0</v>
      </c>
      <c r="K106" s="443">
        <f t="shared" si="19"/>
        <v>0</v>
      </c>
      <c r="L106" s="445">
        <f t="shared" si="20"/>
        <v>2.7687004879882005</v>
      </c>
      <c r="M106" s="299">
        <f>L106*D106*VPI!Q106</f>
        <v>764493.5787433018</v>
      </c>
    </row>
    <row r="107" spans="1:13" x14ac:dyDescent="0.25">
      <c r="A107" s="169">
        <f>Données!A107</f>
        <v>5582</v>
      </c>
      <c r="B107" s="27" t="str">
        <f>Données!B107</f>
        <v>Cheseaux-sur-Lausanne</v>
      </c>
      <c r="C107" s="347">
        <f>VPI!R107</f>
        <v>170428.79082191776</v>
      </c>
      <c r="D107" s="27">
        <f>Données!Z107</f>
        <v>4525</v>
      </c>
      <c r="E107" s="114">
        <f t="shared" si="13"/>
        <v>37.663821176114425</v>
      </c>
      <c r="F107" s="188">
        <f t="shared" si="14"/>
        <v>0.77704205887780853</v>
      </c>
      <c r="G107" s="443">
        <f t="shared" si="15"/>
        <v>0</v>
      </c>
      <c r="H107" s="443">
        <f t="shared" si="16"/>
        <v>0</v>
      </c>
      <c r="I107" s="443">
        <f t="shared" si="17"/>
        <v>0</v>
      </c>
      <c r="J107" s="443">
        <f t="shared" si="18"/>
        <v>0</v>
      </c>
      <c r="K107" s="443">
        <f t="shared" si="19"/>
        <v>0</v>
      </c>
      <c r="L107" s="445">
        <f t="shared" si="20"/>
        <v>0</v>
      </c>
      <c r="M107" s="299">
        <f>L107*D107*VPI!Q107</f>
        <v>0</v>
      </c>
    </row>
    <row r="108" spans="1:13" x14ac:dyDescent="0.25">
      <c r="A108" s="169">
        <f>Données!A108</f>
        <v>5583</v>
      </c>
      <c r="B108" s="27" t="str">
        <f>Données!B108</f>
        <v>Crissier</v>
      </c>
      <c r="C108" s="347">
        <f>VPI!R108</f>
        <v>340496.54456692917</v>
      </c>
      <c r="D108" s="27">
        <f>Données!Z108</f>
        <v>9161</v>
      </c>
      <c r="E108" s="114">
        <f t="shared" si="13"/>
        <v>37.16805420444593</v>
      </c>
      <c r="F108" s="188">
        <f t="shared" si="14"/>
        <v>0.76681389358922625</v>
      </c>
      <c r="G108" s="443">
        <f t="shared" si="15"/>
        <v>0</v>
      </c>
      <c r="H108" s="443">
        <f t="shared" si="16"/>
        <v>0</v>
      </c>
      <c r="I108" s="443">
        <f t="shared" si="17"/>
        <v>0</v>
      </c>
      <c r="J108" s="443">
        <f t="shared" si="18"/>
        <v>0</v>
      </c>
      <c r="K108" s="443">
        <f t="shared" si="19"/>
        <v>0</v>
      </c>
      <c r="L108" s="445">
        <f t="shared" si="20"/>
        <v>0</v>
      </c>
      <c r="M108" s="299">
        <f>L108*D108*VPI!Q108</f>
        <v>0</v>
      </c>
    </row>
    <row r="109" spans="1:13" x14ac:dyDescent="0.25">
      <c r="A109" s="169">
        <f>Données!A109</f>
        <v>5584</v>
      </c>
      <c r="B109" s="27" t="str">
        <f>Données!B109</f>
        <v>Epalinges</v>
      </c>
      <c r="C109" s="347">
        <f>VPI!R109</f>
        <v>489766.22341085278</v>
      </c>
      <c r="D109" s="27">
        <f>Données!Z109</f>
        <v>9825</v>
      </c>
      <c r="E109" s="114">
        <f t="shared" si="13"/>
        <v>49.848979482020638</v>
      </c>
      <c r="F109" s="188">
        <f t="shared" si="14"/>
        <v>1.0284339835978111</v>
      </c>
      <c r="G109" s="443">
        <f t="shared" si="15"/>
        <v>1.3782168691089254</v>
      </c>
      <c r="H109" s="443">
        <f t="shared" si="16"/>
        <v>0</v>
      </c>
      <c r="I109" s="443">
        <f t="shared" si="17"/>
        <v>0</v>
      </c>
      <c r="J109" s="443">
        <f t="shared" si="18"/>
        <v>0</v>
      </c>
      <c r="K109" s="443">
        <f t="shared" si="19"/>
        <v>0</v>
      </c>
      <c r="L109" s="445">
        <f t="shared" si="20"/>
        <v>0.27564337382178511</v>
      </c>
      <c r="M109" s="299">
        <f>L109*D109*VPI!Q109</f>
        <v>174678.65153303798</v>
      </c>
    </row>
    <row r="110" spans="1:13" x14ac:dyDescent="0.25">
      <c r="A110" s="169">
        <f>Données!A110</f>
        <v>5585</v>
      </c>
      <c r="B110" s="27" t="str">
        <f>Données!B110</f>
        <v>Jouxtens-Mézery</v>
      </c>
      <c r="C110" s="347">
        <f>VPI!R110</f>
        <v>252946.52254237281</v>
      </c>
      <c r="D110" s="27">
        <f>Données!Z110</f>
        <v>1468</v>
      </c>
      <c r="E110" s="114">
        <f t="shared" si="13"/>
        <v>172.30689546483163</v>
      </c>
      <c r="F110" s="188">
        <f t="shared" si="14"/>
        <v>3.5548624815515542</v>
      </c>
      <c r="G110" s="443">
        <f t="shared" si="15"/>
        <v>123.83613285191991</v>
      </c>
      <c r="H110" s="443">
        <f t="shared" si="16"/>
        <v>114.14198032933757</v>
      </c>
      <c r="I110" s="443">
        <f t="shared" si="17"/>
        <v>99.60075154546405</v>
      </c>
      <c r="J110" s="443">
        <f t="shared" si="18"/>
        <v>75.3653702390082</v>
      </c>
      <c r="K110" s="443">
        <f t="shared" si="19"/>
        <v>26.894607626096473</v>
      </c>
      <c r="L110" s="445">
        <f t="shared" si="20"/>
        <v>56.367497544374615</v>
      </c>
      <c r="M110" s="299">
        <f>L110*D110*VPI!Q110</f>
        <v>4882101.6973133748</v>
      </c>
    </row>
    <row r="111" spans="1:13" x14ac:dyDescent="0.25">
      <c r="A111" s="169">
        <f>Données!A111</f>
        <v>5586</v>
      </c>
      <c r="B111" s="27" t="str">
        <f>Données!B111</f>
        <v>Lausanne</v>
      </c>
      <c r="C111" s="347">
        <f>VPI!R111</f>
        <v>6671978.8432696378</v>
      </c>
      <c r="D111" s="27">
        <f>Données!Z111</f>
        <v>141513</v>
      </c>
      <c r="E111" s="114">
        <f t="shared" si="13"/>
        <v>47.147462376386891</v>
      </c>
      <c r="F111" s="188">
        <f t="shared" si="14"/>
        <v>0.97269900110520813</v>
      </c>
      <c r="G111" s="443">
        <f t="shared" si="15"/>
        <v>0</v>
      </c>
      <c r="H111" s="443">
        <f t="shared" si="16"/>
        <v>0</v>
      </c>
      <c r="I111" s="443">
        <f t="shared" si="17"/>
        <v>0</v>
      </c>
      <c r="J111" s="443">
        <f t="shared" si="18"/>
        <v>0</v>
      </c>
      <c r="K111" s="443">
        <f t="shared" si="19"/>
        <v>0</v>
      </c>
      <c r="L111" s="445">
        <f t="shared" si="20"/>
        <v>0</v>
      </c>
      <c r="M111" s="299">
        <f>L111*D111*VPI!Q111</f>
        <v>0</v>
      </c>
    </row>
    <row r="112" spans="1:13" x14ac:dyDescent="0.25">
      <c r="A112" s="169">
        <f>Données!A112</f>
        <v>5587</v>
      </c>
      <c r="B112" s="27" t="str">
        <f>Données!B112</f>
        <v>Le Mont-sur-Lausanne</v>
      </c>
      <c r="C112" s="347">
        <f>VPI!R112</f>
        <v>484050.33068027202</v>
      </c>
      <c r="D112" s="27">
        <f>Données!Z112</f>
        <v>9297</v>
      </c>
      <c r="E112" s="114">
        <f t="shared" si="13"/>
        <v>52.065217885368618</v>
      </c>
      <c r="F112" s="188">
        <f t="shared" si="14"/>
        <v>1.0741571842218016</v>
      </c>
      <c r="G112" s="443">
        <f t="shared" si="15"/>
        <v>3.594455272456905</v>
      </c>
      <c r="H112" s="443">
        <f t="shared" si="16"/>
        <v>0</v>
      </c>
      <c r="I112" s="443">
        <f t="shared" si="17"/>
        <v>0</v>
      </c>
      <c r="J112" s="443">
        <f t="shared" si="18"/>
        <v>0</v>
      </c>
      <c r="K112" s="443">
        <f t="shared" si="19"/>
        <v>0</v>
      </c>
      <c r="L112" s="445">
        <f t="shared" si="20"/>
        <v>0.71889105449138102</v>
      </c>
      <c r="M112" s="299">
        <f>L112*D112*VPI!Q112</f>
        <v>491239.46482006815</v>
      </c>
    </row>
    <row r="113" spans="1:13" x14ac:dyDescent="0.25">
      <c r="A113" s="169">
        <f>Données!A113</f>
        <v>5588</v>
      </c>
      <c r="B113" s="27" t="str">
        <f>Données!B113</f>
        <v>Paudex</v>
      </c>
      <c r="C113" s="347">
        <f>VPI!R113</f>
        <v>137556.51114930178</v>
      </c>
      <c r="D113" s="27">
        <f>Données!Z113</f>
        <v>1550</v>
      </c>
      <c r="E113" s="114">
        <f t="shared" si="13"/>
        <v>88.746136225355983</v>
      </c>
      <c r="F113" s="188">
        <f t="shared" si="14"/>
        <v>1.8309209808412557</v>
      </c>
      <c r="G113" s="443">
        <f t="shared" si="15"/>
        <v>40.27537361244427</v>
      </c>
      <c r="H113" s="443">
        <f t="shared" si="16"/>
        <v>30.581221089861927</v>
      </c>
      <c r="I113" s="443">
        <f t="shared" si="17"/>
        <v>16.039992305988406</v>
      </c>
      <c r="J113" s="443">
        <f t="shared" si="18"/>
        <v>0</v>
      </c>
      <c r="K113" s="443">
        <f t="shared" si="19"/>
        <v>0</v>
      </c>
      <c r="L113" s="445">
        <f t="shared" si="20"/>
        <v>12.717196062073889</v>
      </c>
      <c r="M113" s="299">
        <f>L113*D113*VPI!Q113</f>
        <v>1310824.9840982661</v>
      </c>
    </row>
    <row r="114" spans="1:13" x14ac:dyDescent="0.25">
      <c r="A114" s="169">
        <f>Données!A114</f>
        <v>5589</v>
      </c>
      <c r="B114" s="27" t="str">
        <f>Données!B114</f>
        <v>Prilly</v>
      </c>
      <c r="C114" s="347">
        <f>VPI!R114</f>
        <v>404219.10002122016</v>
      </c>
      <c r="D114" s="27">
        <f>Données!Z114</f>
        <v>12318</v>
      </c>
      <c r="E114" s="114">
        <f t="shared" si="13"/>
        <v>32.815319047022257</v>
      </c>
      <c r="F114" s="188">
        <f t="shared" si="14"/>
        <v>0.67701264180813325</v>
      </c>
      <c r="G114" s="443">
        <f t="shared" si="15"/>
        <v>0</v>
      </c>
      <c r="H114" s="443">
        <f t="shared" si="16"/>
        <v>0</v>
      </c>
      <c r="I114" s="443">
        <f t="shared" si="17"/>
        <v>0</v>
      </c>
      <c r="J114" s="443">
        <f t="shared" si="18"/>
        <v>0</v>
      </c>
      <c r="K114" s="443">
        <f t="shared" si="19"/>
        <v>0</v>
      </c>
      <c r="L114" s="445">
        <f t="shared" si="20"/>
        <v>0</v>
      </c>
      <c r="M114" s="299">
        <f>L114*D114*VPI!Q114</f>
        <v>0</v>
      </c>
    </row>
    <row r="115" spans="1:13" x14ac:dyDescent="0.25">
      <c r="A115" s="169">
        <f>Données!A115</f>
        <v>5590</v>
      </c>
      <c r="B115" s="27" t="str">
        <f>Données!B115</f>
        <v>Pully</v>
      </c>
      <c r="C115" s="347">
        <f>VPI!R115</f>
        <v>1396472.1616393442</v>
      </c>
      <c r="D115" s="27">
        <f>Données!Z115</f>
        <v>19005</v>
      </c>
      <c r="E115" s="114">
        <f t="shared" si="13"/>
        <v>73.47919819202022</v>
      </c>
      <c r="F115" s="188">
        <f t="shared" si="14"/>
        <v>1.515948877859139</v>
      </c>
      <c r="G115" s="443">
        <f t="shared" si="15"/>
        <v>25.008435579108507</v>
      </c>
      <c r="H115" s="443">
        <f t="shared" si="16"/>
        <v>15.314283056526165</v>
      </c>
      <c r="I115" s="443">
        <f t="shared" si="17"/>
        <v>0.7730542726526437</v>
      </c>
      <c r="J115" s="443">
        <f t="shared" si="18"/>
        <v>0</v>
      </c>
      <c r="K115" s="443">
        <f t="shared" si="19"/>
        <v>0</v>
      </c>
      <c r="L115" s="445">
        <f t="shared" si="20"/>
        <v>6.610420848739583</v>
      </c>
      <c r="M115" s="299">
        <f>L115*D115*VPI!Q115</f>
        <v>7663493.942048043</v>
      </c>
    </row>
    <row r="116" spans="1:13" x14ac:dyDescent="0.25">
      <c r="A116" s="169">
        <f>Données!A116</f>
        <v>5591</v>
      </c>
      <c r="B116" s="27" t="str">
        <f>Données!B116</f>
        <v>Renens</v>
      </c>
      <c r="C116" s="347">
        <f>VPI!R116</f>
        <v>592907.73419294995</v>
      </c>
      <c r="D116" s="27">
        <f>Données!Z116</f>
        <v>21116</v>
      </c>
      <c r="E116" s="114">
        <f t="shared" si="13"/>
        <v>28.078600785799864</v>
      </c>
      <c r="F116" s="188">
        <f t="shared" si="14"/>
        <v>0.57928943701662006</v>
      </c>
      <c r="G116" s="443">
        <f t="shared" si="15"/>
        <v>0</v>
      </c>
      <c r="H116" s="443">
        <f t="shared" si="16"/>
        <v>0</v>
      </c>
      <c r="I116" s="443">
        <f t="shared" si="17"/>
        <v>0</v>
      </c>
      <c r="J116" s="443">
        <f t="shared" si="18"/>
        <v>0</v>
      </c>
      <c r="K116" s="443">
        <f t="shared" si="19"/>
        <v>0</v>
      </c>
      <c r="L116" s="445">
        <f t="shared" si="20"/>
        <v>0</v>
      </c>
      <c r="M116" s="299">
        <f>L116*D116*VPI!Q116</f>
        <v>0</v>
      </c>
    </row>
    <row r="117" spans="1:13" x14ac:dyDescent="0.25">
      <c r="A117" s="169">
        <f>Données!A117</f>
        <v>5592</v>
      </c>
      <c r="B117" s="27" t="str">
        <f>Données!B117</f>
        <v>Romanel-sur-Lausanne</v>
      </c>
      <c r="C117" s="347">
        <f>VPI!R117</f>
        <v>113604.64354609928</v>
      </c>
      <c r="D117" s="27">
        <f>Données!Z117</f>
        <v>3798</v>
      </c>
      <c r="E117" s="114">
        <f t="shared" si="13"/>
        <v>29.911701828883434</v>
      </c>
      <c r="F117" s="188">
        <f t="shared" si="14"/>
        <v>0.61710813315975166</v>
      </c>
      <c r="G117" s="443">
        <f t="shared" si="15"/>
        <v>0</v>
      </c>
      <c r="H117" s="443">
        <f t="shared" si="16"/>
        <v>0</v>
      </c>
      <c r="I117" s="443">
        <f t="shared" si="17"/>
        <v>0</v>
      </c>
      <c r="J117" s="443">
        <f t="shared" si="18"/>
        <v>0</v>
      </c>
      <c r="K117" s="443">
        <f t="shared" si="19"/>
        <v>0</v>
      </c>
      <c r="L117" s="445">
        <f t="shared" si="20"/>
        <v>0</v>
      </c>
      <c r="M117" s="299">
        <f>L117*D117*VPI!Q117</f>
        <v>0</v>
      </c>
    </row>
    <row r="118" spans="1:13" x14ac:dyDescent="0.25">
      <c r="A118" s="169">
        <f>Données!A118</f>
        <v>5601</v>
      </c>
      <c r="B118" s="27" t="str">
        <f>Données!B118</f>
        <v>Chexbres</v>
      </c>
      <c r="C118" s="347">
        <f>VPI!R118</f>
        <v>106015.29511111112</v>
      </c>
      <c r="D118" s="27">
        <f>Données!Z118</f>
        <v>2204</v>
      </c>
      <c r="E118" s="114">
        <f t="shared" si="13"/>
        <v>48.101313571284535</v>
      </c>
      <c r="F118" s="188">
        <f t="shared" si="14"/>
        <v>0.99237789913524566</v>
      </c>
      <c r="G118" s="443">
        <f t="shared" si="15"/>
        <v>0</v>
      </c>
      <c r="H118" s="443">
        <f t="shared" si="16"/>
        <v>0</v>
      </c>
      <c r="I118" s="443">
        <f t="shared" si="17"/>
        <v>0</v>
      </c>
      <c r="J118" s="443">
        <f t="shared" si="18"/>
        <v>0</v>
      </c>
      <c r="K118" s="443">
        <f t="shared" si="19"/>
        <v>0</v>
      </c>
      <c r="L118" s="445">
        <f t="shared" si="20"/>
        <v>0</v>
      </c>
      <c r="M118" s="299">
        <f>L118*D118*VPI!Q118</f>
        <v>0</v>
      </c>
    </row>
    <row r="119" spans="1:13" x14ac:dyDescent="0.25">
      <c r="A119" s="169">
        <f>Données!A119</f>
        <v>5604</v>
      </c>
      <c r="B119" s="27" t="str">
        <f>Données!B119</f>
        <v>Forel (Lavaux)</v>
      </c>
      <c r="C119" s="347">
        <f>VPI!R119</f>
        <v>70961.315942029003</v>
      </c>
      <c r="D119" s="27">
        <f>Données!Z119</f>
        <v>2067</v>
      </c>
      <c r="E119" s="114">
        <f t="shared" si="13"/>
        <v>34.330583426235606</v>
      </c>
      <c r="F119" s="188">
        <f t="shared" si="14"/>
        <v>0.70827405172887814</v>
      </c>
      <c r="G119" s="443">
        <f t="shared" si="15"/>
        <v>0</v>
      </c>
      <c r="H119" s="443">
        <f t="shared" si="16"/>
        <v>0</v>
      </c>
      <c r="I119" s="443">
        <f t="shared" si="17"/>
        <v>0</v>
      </c>
      <c r="J119" s="443">
        <f t="shared" si="18"/>
        <v>0</v>
      </c>
      <c r="K119" s="443">
        <f t="shared" si="19"/>
        <v>0</v>
      </c>
      <c r="L119" s="445">
        <f t="shared" si="20"/>
        <v>0</v>
      </c>
      <c r="M119" s="299">
        <f>L119*D119*VPI!Q119</f>
        <v>0</v>
      </c>
    </row>
    <row r="120" spans="1:13" x14ac:dyDescent="0.25">
      <c r="A120" s="169">
        <f>Données!A120</f>
        <v>5606</v>
      </c>
      <c r="B120" s="27" t="str">
        <f>Données!B120</f>
        <v>Lutry</v>
      </c>
      <c r="C120" s="347">
        <f>VPI!R120</f>
        <v>1212171.2253174603</v>
      </c>
      <c r="D120" s="27">
        <f>Données!Z120</f>
        <v>10713</v>
      </c>
      <c r="E120" s="114">
        <f t="shared" si="13"/>
        <v>113.14955897670683</v>
      </c>
      <c r="F120" s="188">
        <f t="shared" si="14"/>
        <v>2.3343878428388063</v>
      </c>
      <c r="G120" s="443">
        <f t="shared" si="15"/>
        <v>64.678796363795115</v>
      </c>
      <c r="H120" s="443">
        <f t="shared" si="16"/>
        <v>54.984643841212772</v>
      </c>
      <c r="I120" s="443">
        <f t="shared" si="17"/>
        <v>40.443415057339251</v>
      </c>
      <c r="J120" s="443">
        <f t="shared" si="18"/>
        <v>16.208033750883402</v>
      </c>
      <c r="K120" s="443">
        <f t="shared" si="19"/>
        <v>0</v>
      </c>
      <c r="L120" s="445">
        <f t="shared" si="20"/>
        <v>24.099368537702567</v>
      </c>
      <c r="M120" s="299">
        <f>L120*D120*VPI!Q120</f>
        <v>13941532.897798009</v>
      </c>
    </row>
    <row r="121" spans="1:13" x14ac:dyDescent="0.25">
      <c r="A121" s="169">
        <f>Données!A121</f>
        <v>5607</v>
      </c>
      <c r="B121" s="27" t="str">
        <f>Données!B121</f>
        <v>Puidoux</v>
      </c>
      <c r="C121" s="347">
        <f>VPI!R121</f>
        <v>117496.04099650904</v>
      </c>
      <c r="D121" s="27">
        <f>Données!Z121</f>
        <v>2991</v>
      </c>
      <c r="E121" s="114">
        <f t="shared" si="13"/>
        <v>39.283196588602152</v>
      </c>
      <c r="F121" s="188">
        <f t="shared" si="14"/>
        <v>0.81045138287421614</v>
      </c>
      <c r="G121" s="443">
        <f t="shared" si="15"/>
        <v>0</v>
      </c>
      <c r="H121" s="443">
        <f t="shared" si="16"/>
        <v>0</v>
      </c>
      <c r="I121" s="443">
        <f t="shared" si="17"/>
        <v>0</v>
      </c>
      <c r="J121" s="443">
        <f t="shared" si="18"/>
        <v>0</v>
      </c>
      <c r="K121" s="443">
        <f t="shared" si="19"/>
        <v>0</v>
      </c>
      <c r="L121" s="445">
        <f t="shared" si="20"/>
        <v>0</v>
      </c>
      <c r="M121" s="299">
        <f>L121*D121*VPI!Q121</f>
        <v>0</v>
      </c>
    </row>
    <row r="122" spans="1:13" x14ac:dyDescent="0.25">
      <c r="A122" s="169">
        <f>Données!A122</f>
        <v>5609</v>
      </c>
      <c r="B122" s="27" t="str">
        <f>Données!B122</f>
        <v>Rivaz</v>
      </c>
      <c r="C122" s="347">
        <f>VPI!R122</f>
        <v>14930.201612903227</v>
      </c>
      <c r="D122" s="27">
        <f>Données!Z122</f>
        <v>332</v>
      </c>
      <c r="E122" s="114">
        <f t="shared" si="13"/>
        <v>44.970486785853097</v>
      </c>
      <c r="F122" s="188">
        <f t="shared" si="14"/>
        <v>0.92778583132656944</v>
      </c>
      <c r="G122" s="443">
        <f t="shared" si="15"/>
        <v>0</v>
      </c>
      <c r="H122" s="443">
        <f t="shared" si="16"/>
        <v>0</v>
      </c>
      <c r="I122" s="443">
        <f t="shared" si="17"/>
        <v>0</v>
      </c>
      <c r="J122" s="443">
        <f t="shared" si="18"/>
        <v>0</v>
      </c>
      <c r="K122" s="443">
        <f t="shared" si="19"/>
        <v>0</v>
      </c>
      <c r="L122" s="445">
        <f t="shared" si="20"/>
        <v>0</v>
      </c>
      <c r="M122" s="299">
        <f>L122*D122*VPI!Q122</f>
        <v>0</v>
      </c>
    </row>
    <row r="123" spans="1:13" x14ac:dyDescent="0.25">
      <c r="A123" s="169">
        <f>Données!A123</f>
        <v>5610</v>
      </c>
      <c r="B123" s="27" t="str">
        <f>Données!B123</f>
        <v>St-Saphorin (Lavaux)</v>
      </c>
      <c r="C123" s="347">
        <f>VPI!R123</f>
        <v>21326.679629629627</v>
      </c>
      <c r="D123" s="27">
        <f>Données!Z123</f>
        <v>402</v>
      </c>
      <c r="E123" s="114">
        <f t="shared" si="13"/>
        <v>53.051441864750316</v>
      </c>
      <c r="F123" s="188">
        <f t="shared" si="14"/>
        <v>1.0945039649658492</v>
      </c>
      <c r="G123" s="443">
        <f t="shared" si="15"/>
        <v>4.5806792518386032</v>
      </c>
      <c r="H123" s="443">
        <f t="shared" si="16"/>
        <v>0</v>
      </c>
      <c r="I123" s="443">
        <f t="shared" si="17"/>
        <v>0</v>
      </c>
      <c r="J123" s="443">
        <f t="shared" si="18"/>
        <v>0</v>
      </c>
      <c r="K123" s="443">
        <f t="shared" si="19"/>
        <v>0</v>
      </c>
      <c r="L123" s="445">
        <f t="shared" si="20"/>
        <v>0.91613585036772072</v>
      </c>
      <c r="M123" s="299">
        <f>L123*D123*VPI!Q123</f>
        <v>26516.636053043308</v>
      </c>
    </row>
    <row r="124" spans="1:13" x14ac:dyDescent="0.25">
      <c r="A124" s="169">
        <f>Données!A124</f>
        <v>5611</v>
      </c>
      <c r="B124" s="27" t="str">
        <f>Données!B124</f>
        <v>Savigny</v>
      </c>
      <c r="C124" s="347">
        <f>VPI!R124</f>
        <v>139629.67036231884</v>
      </c>
      <c r="D124" s="27">
        <f>Données!Z124</f>
        <v>3421</v>
      </c>
      <c r="E124" s="114">
        <f t="shared" si="13"/>
        <v>40.81545465136476</v>
      </c>
      <c r="F124" s="188">
        <f t="shared" si="14"/>
        <v>0.84206338937387137</v>
      </c>
      <c r="G124" s="443">
        <f t="shared" si="15"/>
        <v>0</v>
      </c>
      <c r="H124" s="443">
        <f t="shared" si="16"/>
        <v>0</v>
      </c>
      <c r="I124" s="443">
        <f t="shared" si="17"/>
        <v>0</v>
      </c>
      <c r="J124" s="443">
        <f t="shared" si="18"/>
        <v>0</v>
      </c>
      <c r="K124" s="443">
        <f t="shared" si="19"/>
        <v>0</v>
      </c>
      <c r="L124" s="445">
        <f t="shared" si="20"/>
        <v>0</v>
      </c>
      <c r="M124" s="299">
        <f>L124*D124*VPI!Q124</f>
        <v>0</v>
      </c>
    </row>
    <row r="125" spans="1:13" x14ac:dyDescent="0.25">
      <c r="A125" s="169">
        <f>Données!A125</f>
        <v>5613</v>
      </c>
      <c r="B125" s="27" t="str">
        <f>Données!B125</f>
        <v>Bourg-en-Lavaux</v>
      </c>
      <c r="C125" s="347">
        <f>VPI!R125</f>
        <v>367206.35685333336</v>
      </c>
      <c r="D125" s="27">
        <f>Données!Z125</f>
        <v>5389</v>
      </c>
      <c r="E125" s="114">
        <f t="shared" si="13"/>
        <v>68.139980859776088</v>
      </c>
      <c r="F125" s="188">
        <f t="shared" si="14"/>
        <v>1.4057955185055178</v>
      </c>
      <c r="G125" s="443">
        <f t="shared" si="15"/>
        <v>19.669218246864375</v>
      </c>
      <c r="H125" s="443">
        <f t="shared" si="16"/>
        <v>9.9750657242820324</v>
      </c>
      <c r="I125" s="443">
        <f t="shared" si="17"/>
        <v>0</v>
      </c>
      <c r="J125" s="443">
        <f t="shared" si="18"/>
        <v>0</v>
      </c>
      <c r="K125" s="443">
        <f t="shared" si="19"/>
        <v>0</v>
      </c>
      <c r="L125" s="445">
        <f t="shared" si="20"/>
        <v>4.9313502218010781</v>
      </c>
      <c r="M125" s="299">
        <f>L125*D125*VPI!Q125</f>
        <v>1660940.3965803755</v>
      </c>
    </row>
    <row r="126" spans="1:13" x14ac:dyDescent="0.25">
      <c r="A126" s="169">
        <f>Données!A126</f>
        <v>5621</v>
      </c>
      <c r="B126" s="27" t="str">
        <f>Données!B126</f>
        <v>Aclens</v>
      </c>
      <c r="C126" s="347">
        <f>VPI!R126</f>
        <v>39203.094076246336</v>
      </c>
      <c r="D126" s="27">
        <f>Données!Z126</f>
        <v>557</v>
      </c>
      <c r="E126" s="114">
        <f t="shared" si="13"/>
        <v>70.382574643171154</v>
      </c>
      <c r="F126" s="188">
        <f t="shared" si="14"/>
        <v>1.4520624568102534</v>
      </c>
      <c r="G126" s="443">
        <f t="shared" si="15"/>
        <v>21.911812030259441</v>
      </c>
      <c r="H126" s="443">
        <f t="shared" si="16"/>
        <v>12.217659507677098</v>
      </c>
      <c r="I126" s="443">
        <f t="shared" si="17"/>
        <v>0</v>
      </c>
      <c r="J126" s="443">
        <f t="shared" si="18"/>
        <v>0</v>
      </c>
      <c r="K126" s="443">
        <f t="shared" si="19"/>
        <v>0</v>
      </c>
      <c r="L126" s="445">
        <f t="shared" si="20"/>
        <v>5.6041283568195981</v>
      </c>
      <c r="M126" s="299">
        <f>L126*D126*VPI!Q126</f>
        <v>193532.96867440801</v>
      </c>
    </row>
    <row r="127" spans="1:13" x14ac:dyDescent="0.25">
      <c r="A127" s="169">
        <f>Données!A127</f>
        <v>5622</v>
      </c>
      <c r="B127" s="27" t="str">
        <f>Données!B127</f>
        <v>Bremblens</v>
      </c>
      <c r="C127" s="347">
        <f>VPI!R127</f>
        <v>30852.761617647058</v>
      </c>
      <c r="D127" s="27">
        <f>Données!Z127</f>
        <v>604</v>
      </c>
      <c r="E127" s="114">
        <f t="shared" si="13"/>
        <v>51.080731155044802</v>
      </c>
      <c r="F127" s="188">
        <f t="shared" si="14"/>
        <v>1.0538462446521903</v>
      </c>
      <c r="G127" s="443">
        <f t="shared" si="15"/>
        <v>2.6099685421330889</v>
      </c>
      <c r="H127" s="443">
        <f t="shared" si="16"/>
        <v>0</v>
      </c>
      <c r="I127" s="443">
        <f t="shared" si="17"/>
        <v>0</v>
      </c>
      <c r="J127" s="443">
        <f t="shared" si="18"/>
        <v>0</v>
      </c>
      <c r="K127" s="443">
        <f t="shared" si="19"/>
        <v>0</v>
      </c>
      <c r="L127" s="445">
        <f t="shared" si="20"/>
        <v>0.52199370842661785</v>
      </c>
      <c r="M127" s="299">
        <f>L127*D127*VPI!Q127</f>
        <v>21439.325592498051</v>
      </c>
    </row>
    <row r="128" spans="1:13" x14ac:dyDescent="0.25">
      <c r="A128" s="169">
        <f>Données!A128</f>
        <v>5623</v>
      </c>
      <c r="B128" s="27" t="str">
        <f>Données!B128</f>
        <v>Buchillon</v>
      </c>
      <c r="C128" s="347">
        <f>VPI!R128</f>
        <v>88403.083461538452</v>
      </c>
      <c r="D128" s="27">
        <f>Données!Z128</f>
        <v>670</v>
      </c>
      <c r="E128" s="114">
        <f t="shared" si="13"/>
        <v>131.94490068886336</v>
      </c>
      <c r="F128" s="188">
        <f t="shared" si="14"/>
        <v>2.7221544200279548</v>
      </c>
      <c r="G128" s="443">
        <f t="shared" si="15"/>
        <v>83.474138075951643</v>
      </c>
      <c r="H128" s="443">
        <f t="shared" si="16"/>
        <v>73.779985553369301</v>
      </c>
      <c r="I128" s="443">
        <f t="shared" si="17"/>
        <v>59.23875676949578</v>
      </c>
      <c r="J128" s="443">
        <f t="shared" si="18"/>
        <v>35.00337546303993</v>
      </c>
      <c r="K128" s="443">
        <f t="shared" si="19"/>
        <v>0</v>
      </c>
      <c r="L128" s="445">
        <f t="shared" si="20"/>
        <v>33.497039393780831</v>
      </c>
      <c r="M128" s="299">
        <f>L128*D128*VPI!Q128</f>
        <v>1167036.8524793242</v>
      </c>
    </row>
    <row r="129" spans="1:13" x14ac:dyDescent="0.25">
      <c r="A129" s="169">
        <f>Données!A129</f>
        <v>5624</v>
      </c>
      <c r="B129" s="27" t="str">
        <f>Données!B129</f>
        <v>Bussigny</v>
      </c>
      <c r="C129" s="347">
        <f>VPI!R129</f>
        <v>522420.75055999996</v>
      </c>
      <c r="D129" s="27">
        <f>Données!Z129</f>
        <v>10392</v>
      </c>
      <c r="E129" s="114">
        <f t="shared" si="13"/>
        <v>50.271434811393377</v>
      </c>
      <c r="F129" s="188">
        <f t="shared" si="14"/>
        <v>1.0371496568531811</v>
      </c>
      <c r="G129" s="443">
        <f t="shared" si="15"/>
        <v>1.8006721984816636</v>
      </c>
      <c r="H129" s="443">
        <f t="shared" si="16"/>
        <v>0</v>
      </c>
      <c r="I129" s="443">
        <f t="shared" si="17"/>
        <v>0</v>
      </c>
      <c r="J129" s="443">
        <f t="shared" si="18"/>
        <v>0</v>
      </c>
      <c r="K129" s="443">
        <f t="shared" si="19"/>
        <v>0</v>
      </c>
      <c r="L129" s="445">
        <f t="shared" si="20"/>
        <v>0.36013443969633274</v>
      </c>
      <c r="M129" s="299">
        <f>L129*D129*VPI!Q129</f>
        <v>233907.31858276812</v>
      </c>
    </row>
    <row r="130" spans="1:13" x14ac:dyDescent="0.25">
      <c r="A130" s="169">
        <f>Données!A130</f>
        <v>5627</v>
      </c>
      <c r="B130" s="27" t="str">
        <f>Données!B130</f>
        <v>Chavannes-près-Renens</v>
      </c>
      <c r="C130" s="347">
        <f>VPI!R130</f>
        <v>188690.75535483871</v>
      </c>
      <c r="D130" s="27">
        <f>Données!Z130</f>
        <v>8725</v>
      </c>
      <c r="E130" s="114">
        <f t="shared" si="13"/>
        <v>21.626447605139106</v>
      </c>
      <c r="F130" s="188">
        <f t="shared" si="14"/>
        <v>0.44617510514221248</v>
      </c>
      <c r="G130" s="443">
        <f t="shared" si="15"/>
        <v>0</v>
      </c>
      <c r="H130" s="443">
        <f t="shared" si="16"/>
        <v>0</v>
      </c>
      <c r="I130" s="443">
        <f t="shared" si="17"/>
        <v>0</v>
      </c>
      <c r="J130" s="443">
        <f t="shared" si="18"/>
        <v>0</v>
      </c>
      <c r="K130" s="443">
        <f t="shared" si="19"/>
        <v>0</v>
      </c>
      <c r="L130" s="445">
        <f t="shared" si="20"/>
        <v>0</v>
      </c>
      <c r="M130" s="299">
        <f>L130*D130*VPI!Q130</f>
        <v>0</v>
      </c>
    </row>
    <row r="131" spans="1:13" x14ac:dyDescent="0.25">
      <c r="A131" s="169">
        <f>Données!A131</f>
        <v>5628</v>
      </c>
      <c r="B131" s="27" t="str">
        <f>Données!B131</f>
        <v>Chigny</v>
      </c>
      <c r="C131" s="347">
        <f>VPI!R131</f>
        <v>27627.379193548386</v>
      </c>
      <c r="D131" s="27">
        <f>Données!Z131</f>
        <v>419</v>
      </c>
      <c r="E131" s="114">
        <f t="shared" si="13"/>
        <v>65.936465855724066</v>
      </c>
      <c r="F131" s="188">
        <f t="shared" si="14"/>
        <v>1.3603348142527432</v>
      </c>
      <c r="G131" s="443">
        <f t="shared" si="15"/>
        <v>17.465703242812353</v>
      </c>
      <c r="H131" s="443">
        <f t="shared" si="16"/>
        <v>7.7715507202300103</v>
      </c>
      <c r="I131" s="443">
        <f t="shared" si="17"/>
        <v>0</v>
      </c>
      <c r="J131" s="443">
        <f t="shared" si="18"/>
        <v>0</v>
      </c>
      <c r="K131" s="443">
        <f t="shared" si="19"/>
        <v>0</v>
      </c>
      <c r="L131" s="445">
        <f t="shared" si="20"/>
        <v>4.2702957205854712</v>
      </c>
      <c r="M131" s="299">
        <f>L131*D131*VPI!Q131</f>
        <v>110933.74222936938</v>
      </c>
    </row>
    <row r="132" spans="1:13" x14ac:dyDescent="0.25">
      <c r="A132" s="169">
        <f>Données!A132</f>
        <v>5629</v>
      </c>
      <c r="B132" s="27" t="str">
        <f>Données!B132</f>
        <v>Clarmont</v>
      </c>
      <c r="C132" s="347">
        <f>VPI!R132</f>
        <v>9964.7430555555547</v>
      </c>
      <c r="D132" s="27">
        <f>Données!Z132</f>
        <v>213</v>
      </c>
      <c r="E132" s="114">
        <f t="shared" si="13"/>
        <v>46.782831246739697</v>
      </c>
      <c r="F132" s="188">
        <f t="shared" si="14"/>
        <v>0.96517629855234865</v>
      </c>
      <c r="G132" s="443">
        <f t="shared" si="15"/>
        <v>0</v>
      </c>
      <c r="H132" s="443">
        <f t="shared" si="16"/>
        <v>0</v>
      </c>
      <c r="I132" s="443">
        <f t="shared" si="17"/>
        <v>0</v>
      </c>
      <c r="J132" s="443">
        <f t="shared" si="18"/>
        <v>0</v>
      </c>
      <c r="K132" s="443">
        <f t="shared" si="19"/>
        <v>0</v>
      </c>
      <c r="L132" s="445">
        <f t="shared" si="20"/>
        <v>0</v>
      </c>
      <c r="M132" s="299">
        <f>L132*D132*VPI!Q132</f>
        <v>0</v>
      </c>
    </row>
    <row r="133" spans="1:13" x14ac:dyDescent="0.25">
      <c r="A133" s="169">
        <f>Données!A133</f>
        <v>5631</v>
      </c>
      <c r="B133" s="27" t="str">
        <f>Données!B133</f>
        <v>Denens</v>
      </c>
      <c r="C133" s="347">
        <f>VPI!R133</f>
        <v>41694.310588235297</v>
      </c>
      <c r="D133" s="27">
        <f>Données!Z133</f>
        <v>715</v>
      </c>
      <c r="E133" s="114">
        <f t="shared" si="13"/>
        <v>58.313721102426989</v>
      </c>
      <c r="F133" s="188">
        <f t="shared" si="14"/>
        <v>1.2030700149721452</v>
      </c>
      <c r="G133" s="443">
        <f t="shared" si="15"/>
        <v>9.8429584895152757</v>
      </c>
      <c r="H133" s="443">
        <f t="shared" si="16"/>
        <v>0.14880596693293313</v>
      </c>
      <c r="I133" s="443">
        <f t="shared" si="17"/>
        <v>0</v>
      </c>
      <c r="J133" s="443">
        <f t="shared" si="18"/>
        <v>0</v>
      </c>
      <c r="K133" s="443">
        <f t="shared" si="19"/>
        <v>0</v>
      </c>
      <c r="L133" s="445">
        <f t="shared" si="20"/>
        <v>1.9834722945963486</v>
      </c>
      <c r="M133" s="299">
        <f>L133*D133*VPI!Q133</f>
        <v>96436.422963274468</v>
      </c>
    </row>
    <row r="134" spans="1:13" x14ac:dyDescent="0.25">
      <c r="A134" s="169">
        <f>Données!A134</f>
        <v>5632</v>
      </c>
      <c r="B134" s="27" t="str">
        <f>Données!B134</f>
        <v>Denges</v>
      </c>
      <c r="C134" s="347">
        <f>VPI!R134</f>
        <v>81642.531612903229</v>
      </c>
      <c r="D134" s="27">
        <f>Données!Z134</f>
        <v>1778</v>
      </c>
      <c r="E134" s="114">
        <f t="shared" si="13"/>
        <v>45.918184259225661</v>
      </c>
      <c r="F134" s="188">
        <f t="shared" si="14"/>
        <v>0.94733777196635049</v>
      </c>
      <c r="G134" s="443">
        <f t="shared" si="15"/>
        <v>0</v>
      </c>
      <c r="H134" s="443">
        <f t="shared" si="16"/>
        <v>0</v>
      </c>
      <c r="I134" s="443">
        <f t="shared" si="17"/>
        <v>0</v>
      </c>
      <c r="J134" s="443">
        <f t="shared" si="18"/>
        <v>0</v>
      </c>
      <c r="K134" s="443">
        <f t="shared" si="19"/>
        <v>0</v>
      </c>
      <c r="L134" s="445">
        <f t="shared" si="20"/>
        <v>0</v>
      </c>
      <c r="M134" s="299">
        <f>L134*D134*VPI!Q134</f>
        <v>0</v>
      </c>
    </row>
    <row r="135" spans="1:13" x14ac:dyDescent="0.25">
      <c r="A135" s="169">
        <f>Données!A135</f>
        <v>5633</v>
      </c>
      <c r="B135" s="27" t="str">
        <f>Données!B135</f>
        <v>Echandens</v>
      </c>
      <c r="C135" s="347">
        <f>VPI!R135</f>
        <v>149835.3479338843</v>
      </c>
      <c r="D135" s="27">
        <f>Données!Z135</f>
        <v>2891</v>
      </c>
      <c r="E135" s="114">
        <f t="shared" ref="E135:E198" si="21">C135/D135</f>
        <v>51.828207517773883</v>
      </c>
      <c r="F135" s="188">
        <f t="shared" ref="F135:F198" si="22">E135/$E$306</f>
        <v>1.069267424811835</v>
      </c>
      <c r="G135" s="443">
        <f t="shared" ref="G135:G198" si="23">IF(E135-$G$3&lt;0,0,E135-$G$3)</f>
        <v>3.3574449048621702</v>
      </c>
      <c r="H135" s="443">
        <f t="shared" ref="H135:H198" si="24">IF(E135-$H$3&lt;0,0,E135-$H$3)</f>
        <v>0</v>
      </c>
      <c r="I135" s="443">
        <f t="shared" ref="I135:I198" si="25">IF(E135-$I$3&lt;0,0,E135-$I$3)</f>
        <v>0</v>
      </c>
      <c r="J135" s="443">
        <f t="shared" ref="J135:J198" si="26">IF(E135-$J$3&lt;0,0,E135-$J$3)</f>
        <v>0</v>
      </c>
      <c r="K135" s="443">
        <f t="shared" ref="K135:K198" si="27">IF(E135-$K$3&lt;0,0,E135-$K$3)</f>
        <v>0</v>
      </c>
      <c r="L135" s="445">
        <f t="shared" ref="L135:L198" si="28">(G135-H135)*$G$4+(H135-I135)*$H$4+(I135-J135)*$I$4+(J135-K135)*$J$4+(K135*$K$4)</f>
        <v>0.67148898097243404</v>
      </c>
      <c r="M135" s="299">
        <f>L135*D135*VPI!Q135</f>
        <v>117447.11596147406</v>
      </c>
    </row>
    <row r="136" spans="1:13" x14ac:dyDescent="0.25">
      <c r="A136" s="169">
        <f>Données!A136</f>
        <v>5634</v>
      </c>
      <c r="B136" s="27" t="str">
        <f>Données!B136</f>
        <v>Echichens</v>
      </c>
      <c r="C136" s="347">
        <f>VPI!R136</f>
        <v>183137.63424242428</v>
      </c>
      <c r="D136" s="27">
        <f>Données!Z136</f>
        <v>3211</v>
      </c>
      <c r="E136" s="114">
        <f t="shared" si="21"/>
        <v>57.034454762511452</v>
      </c>
      <c r="F136" s="188">
        <f t="shared" si="22"/>
        <v>1.1766774791226109</v>
      </c>
      <c r="G136" s="443">
        <f t="shared" si="23"/>
        <v>8.5636921495997385</v>
      </c>
      <c r="H136" s="443">
        <f t="shared" si="24"/>
        <v>0</v>
      </c>
      <c r="I136" s="443">
        <f t="shared" si="25"/>
        <v>0</v>
      </c>
      <c r="J136" s="443">
        <f t="shared" si="26"/>
        <v>0</v>
      </c>
      <c r="K136" s="443">
        <f t="shared" si="27"/>
        <v>0</v>
      </c>
      <c r="L136" s="445">
        <f t="shared" si="28"/>
        <v>1.7127384299199477</v>
      </c>
      <c r="M136" s="299">
        <f>L136*D136*VPI!Q136</f>
        <v>362973.80449921486</v>
      </c>
    </row>
    <row r="137" spans="1:13" x14ac:dyDescent="0.25">
      <c r="A137" s="169">
        <f>Données!A137</f>
        <v>5635</v>
      </c>
      <c r="B137" s="27" t="str">
        <f>Données!B137</f>
        <v>Ecublens</v>
      </c>
      <c r="C137" s="347">
        <f>VPI!R137</f>
        <v>516165.47293333331</v>
      </c>
      <c r="D137" s="27">
        <f>Données!Z137</f>
        <v>13129</v>
      </c>
      <c r="E137" s="114">
        <f t="shared" si="21"/>
        <v>39.314911488562217</v>
      </c>
      <c r="F137" s="188">
        <f t="shared" si="22"/>
        <v>0.81110569277673084</v>
      </c>
      <c r="G137" s="443">
        <f t="shared" si="23"/>
        <v>0</v>
      </c>
      <c r="H137" s="443">
        <f t="shared" si="24"/>
        <v>0</v>
      </c>
      <c r="I137" s="443">
        <f t="shared" si="25"/>
        <v>0</v>
      </c>
      <c r="J137" s="443">
        <f t="shared" si="26"/>
        <v>0</v>
      </c>
      <c r="K137" s="443">
        <f t="shared" si="27"/>
        <v>0</v>
      </c>
      <c r="L137" s="445">
        <f t="shared" si="28"/>
        <v>0</v>
      </c>
      <c r="M137" s="299">
        <f>L137*D137*VPI!Q137</f>
        <v>0</v>
      </c>
    </row>
    <row r="138" spans="1:13" x14ac:dyDescent="0.25">
      <c r="A138" s="169">
        <f>Données!A138</f>
        <v>5636</v>
      </c>
      <c r="B138" s="27" t="str">
        <f>Données!B138</f>
        <v>Etoy</v>
      </c>
      <c r="C138" s="347">
        <f>VPI!R138</f>
        <v>189458.35050000003</v>
      </c>
      <c r="D138" s="27">
        <f>Données!Z138</f>
        <v>2938</v>
      </c>
      <c r="E138" s="114">
        <f t="shared" si="21"/>
        <v>64.485483492171554</v>
      </c>
      <c r="F138" s="188">
        <f t="shared" si="22"/>
        <v>1.3303996061946386</v>
      </c>
      <c r="G138" s="443">
        <f t="shared" si="23"/>
        <v>16.014720879259841</v>
      </c>
      <c r="H138" s="443">
        <f t="shared" si="24"/>
        <v>6.3205683566774979</v>
      </c>
      <c r="I138" s="443">
        <f t="shared" si="25"/>
        <v>0</v>
      </c>
      <c r="J138" s="443">
        <f t="shared" si="26"/>
        <v>0</v>
      </c>
      <c r="K138" s="443">
        <f t="shared" si="27"/>
        <v>0</v>
      </c>
      <c r="L138" s="445">
        <f t="shared" si="28"/>
        <v>3.8350010115197177</v>
      </c>
      <c r="M138" s="299">
        <f>L138*D138*VPI!Q138</f>
        <v>676033.97831069585</v>
      </c>
    </row>
    <row r="139" spans="1:13" x14ac:dyDescent="0.25">
      <c r="A139" s="169">
        <f>Données!A139</f>
        <v>5637</v>
      </c>
      <c r="B139" s="27" t="str">
        <f>Données!B139</f>
        <v>Lavigny</v>
      </c>
      <c r="C139" s="347">
        <f>VPI!R139</f>
        <v>36293.809863013703</v>
      </c>
      <c r="D139" s="27">
        <f>Données!Z139</f>
        <v>1038</v>
      </c>
      <c r="E139" s="114">
        <f t="shared" si="21"/>
        <v>34.965134742787768</v>
      </c>
      <c r="F139" s="188">
        <f t="shared" si="22"/>
        <v>0.72136547596785083</v>
      </c>
      <c r="G139" s="443">
        <f t="shared" si="23"/>
        <v>0</v>
      </c>
      <c r="H139" s="443">
        <f t="shared" si="24"/>
        <v>0</v>
      </c>
      <c r="I139" s="443">
        <f t="shared" si="25"/>
        <v>0</v>
      </c>
      <c r="J139" s="443">
        <f t="shared" si="26"/>
        <v>0</v>
      </c>
      <c r="K139" s="443">
        <f t="shared" si="27"/>
        <v>0</v>
      </c>
      <c r="L139" s="445">
        <f t="shared" si="28"/>
        <v>0</v>
      </c>
      <c r="M139" s="299">
        <f>L139*D139*VPI!Q139</f>
        <v>0</v>
      </c>
    </row>
    <row r="140" spans="1:13" x14ac:dyDescent="0.25">
      <c r="A140" s="169">
        <f>Données!A140</f>
        <v>5638</v>
      </c>
      <c r="B140" s="27" t="str">
        <f>Données!B140</f>
        <v>Lonay</v>
      </c>
      <c r="C140" s="347">
        <f>VPI!R140</f>
        <v>153893.84090909091</v>
      </c>
      <c r="D140" s="27">
        <f>Données!Z140</f>
        <v>2675</v>
      </c>
      <c r="E140" s="114">
        <f t="shared" si="21"/>
        <v>57.530407816482587</v>
      </c>
      <c r="F140" s="188">
        <f t="shared" si="22"/>
        <v>1.1869094834740139</v>
      </c>
      <c r="G140" s="443">
        <f t="shared" si="23"/>
        <v>9.0596452035708737</v>
      </c>
      <c r="H140" s="443">
        <f t="shared" si="24"/>
        <v>0</v>
      </c>
      <c r="I140" s="443">
        <f t="shared" si="25"/>
        <v>0</v>
      </c>
      <c r="J140" s="443">
        <f t="shared" si="26"/>
        <v>0</v>
      </c>
      <c r="K140" s="443">
        <f t="shared" si="27"/>
        <v>0</v>
      </c>
      <c r="L140" s="445">
        <f t="shared" si="28"/>
        <v>1.8119290407141748</v>
      </c>
      <c r="M140" s="299">
        <f>L140*D140*VPI!Q140</f>
        <v>266580.06011507299</v>
      </c>
    </row>
    <row r="141" spans="1:13" x14ac:dyDescent="0.25">
      <c r="A141" s="169">
        <f>Données!A141</f>
        <v>5639</v>
      </c>
      <c r="B141" s="27" t="str">
        <f>Données!B141</f>
        <v>Lully</v>
      </c>
      <c r="C141" s="347">
        <f>VPI!R141</f>
        <v>52242.173114754092</v>
      </c>
      <c r="D141" s="27">
        <f>Données!Z141</f>
        <v>825</v>
      </c>
      <c r="E141" s="114">
        <f t="shared" si="21"/>
        <v>63.323846199701933</v>
      </c>
      <c r="F141" s="188">
        <f t="shared" si="22"/>
        <v>1.3064338744865061</v>
      </c>
      <c r="G141" s="443">
        <f t="shared" si="23"/>
        <v>14.85308358679022</v>
      </c>
      <c r="H141" s="443">
        <f t="shared" si="24"/>
        <v>5.1589310642078772</v>
      </c>
      <c r="I141" s="443">
        <f t="shared" si="25"/>
        <v>0</v>
      </c>
      <c r="J141" s="443">
        <f t="shared" si="26"/>
        <v>0</v>
      </c>
      <c r="K141" s="443">
        <f t="shared" si="27"/>
        <v>0</v>
      </c>
      <c r="L141" s="445">
        <f t="shared" si="28"/>
        <v>3.4865098237788317</v>
      </c>
      <c r="M141" s="299">
        <f>L141*D141*VPI!Q141</f>
        <v>175458.60688166969</v>
      </c>
    </row>
    <row r="142" spans="1:13" x14ac:dyDescent="0.25">
      <c r="A142" s="169">
        <f>Données!A142</f>
        <v>5640</v>
      </c>
      <c r="B142" s="27" t="str">
        <f>Données!B142</f>
        <v>Lussy-sur-Morges</v>
      </c>
      <c r="C142" s="347">
        <f>VPI!R142</f>
        <v>57771.49271317829</v>
      </c>
      <c r="D142" s="27">
        <f>Données!Z142</f>
        <v>730</v>
      </c>
      <c r="E142" s="114">
        <f t="shared" si="21"/>
        <v>79.139031113942863</v>
      </c>
      <c r="F142" s="188">
        <f t="shared" si="22"/>
        <v>1.6327168554360993</v>
      </c>
      <c r="G142" s="443">
        <f t="shared" si="23"/>
        <v>30.66826850103115</v>
      </c>
      <c r="H142" s="443">
        <f t="shared" si="24"/>
        <v>20.974115978448808</v>
      </c>
      <c r="I142" s="443">
        <f t="shared" si="25"/>
        <v>6.4328871945752866</v>
      </c>
      <c r="J142" s="443">
        <f t="shared" si="26"/>
        <v>0</v>
      </c>
      <c r="K142" s="443">
        <f t="shared" si="27"/>
        <v>0</v>
      </c>
      <c r="L142" s="445">
        <f t="shared" si="28"/>
        <v>8.8743540175086402</v>
      </c>
      <c r="M142" s="299">
        <f>L142*D142*VPI!Q142</f>
        <v>417848.95891439432</v>
      </c>
    </row>
    <row r="143" spans="1:13" x14ac:dyDescent="0.25">
      <c r="A143" s="169">
        <f>Données!A143</f>
        <v>5642</v>
      </c>
      <c r="B143" s="27" t="str">
        <f>Données!B143</f>
        <v>Morges</v>
      </c>
      <c r="C143" s="347">
        <f>VPI!R143</f>
        <v>980547.23447761196</v>
      </c>
      <c r="D143" s="27">
        <f>Données!Z143</f>
        <v>17530</v>
      </c>
      <c r="E143" s="114">
        <f t="shared" si="21"/>
        <v>55.935381316463889</v>
      </c>
      <c r="F143" s="188">
        <f t="shared" si="22"/>
        <v>1.1540025017383106</v>
      </c>
      <c r="G143" s="443">
        <f t="shared" si="23"/>
        <v>7.4646187035521763</v>
      </c>
      <c r="H143" s="443">
        <f t="shared" si="24"/>
        <v>0</v>
      </c>
      <c r="I143" s="443">
        <f t="shared" si="25"/>
        <v>0</v>
      </c>
      <c r="J143" s="443">
        <f t="shared" si="26"/>
        <v>0</v>
      </c>
      <c r="K143" s="443">
        <f t="shared" si="27"/>
        <v>0</v>
      </c>
      <c r="L143" s="445">
        <f t="shared" si="28"/>
        <v>1.4929237407104354</v>
      </c>
      <c r="M143" s="299">
        <f>L143*D143*VPI!Q143</f>
        <v>1753453.8627018135</v>
      </c>
    </row>
    <row r="144" spans="1:13" x14ac:dyDescent="0.25">
      <c r="A144" s="169">
        <f>Données!A144</f>
        <v>5643</v>
      </c>
      <c r="B144" s="27" t="str">
        <f>Données!B144</f>
        <v>Préverenges</v>
      </c>
      <c r="C144" s="347">
        <f>VPI!R144</f>
        <v>252724.38943999997</v>
      </c>
      <c r="D144" s="27">
        <f>Données!Z144</f>
        <v>5209</v>
      </c>
      <c r="E144" s="114">
        <f t="shared" si="21"/>
        <v>48.516872612785555</v>
      </c>
      <c r="F144" s="188">
        <f t="shared" si="22"/>
        <v>1.0009512951187105</v>
      </c>
      <c r="G144" s="443">
        <f t="shared" si="23"/>
        <v>4.61099998738419E-2</v>
      </c>
      <c r="H144" s="443">
        <f t="shared" si="24"/>
        <v>0</v>
      </c>
      <c r="I144" s="443">
        <f t="shared" si="25"/>
        <v>0</v>
      </c>
      <c r="J144" s="443">
        <f t="shared" si="26"/>
        <v>0</v>
      </c>
      <c r="K144" s="443">
        <f t="shared" si="27"/>
        <v>0</v>
      </c>
      <c r="L144" s="445">
        <f t="shared" si="28"/>
        <v>9.2219999747683804E-3</v>
      </c>
      <c r="M144" s="299">
        <f>L144*D144*VPI!Q144</f>
        <v>3002.3373667855308</v>
      </c>
    </row>
    <row r="145" spans="1:13" x14ac:dyDescent="0.25">
      <c r="A145" s="169">
        <f>Données!A145</f>
        <v>5645</v>
      </c>
      <c r="B145" s="27" t="str">
        <f>Données!B145</f>
        <v>Romanel-sur-Morges</v>
      </c>
      <c r="C145" s="347">
        <f>VPI!R145</f>
        <v>23768.997321428575</v>
      </c>
      <c r="D145" s="27">
        <f>Données!Z145</f>
        <v>458</v>
      </c>
      <c r="E145" s="114">
        <f t="shared" si="21"/>
        <v>51.897374064254528</v>
      </c>
      <c r="F145" s="188">
        <f t="shared" si="22"/>
        <v>1.0706943993992377</v>
      </c>
      <c r="G145" s="443">
        <f t="shared" si="23"/>
        <v>3.426611451342815</v>
      </c>
      <c r="H145" s="443">
        <f t="shared" si="24"/>
        <v>0</v>
      </c>
      <c r="I145" s="443">
        <f t="shared" si="25"/>
        <v>0</v>
      </c>
      <c r="J145" s="443">
        <f t="shared" si="26"/>
        <v>0</v>
      </c>
      <c r="K145" s="443">
        <f t="shared" si="27"/>
        <v>0</v>
      </c>
      <c r="L145" s="445">
        <f t="shared" si="28"/>
        <v>0.68532229026856306</v>
      </c>
      <c r="M145" s="299">
        <f>L145*D145*VPI!Q145</f>
        <v>17577.146100808102</v>
      </c>
    </row>
    <row r="146" spans="1:13" x14ac:dyDescent="0.25">
      <c r="A146" s="169">
        <f>Données!A146</f>
        <v>5646</v>
      </c>
      <c r="B146" s="27" t="str">
        <f>Données!B146</f>
        <v>Saint-Prex</v>
      </c>
      <c r="C146" s="347">
        <f>VPI!R146</f>
        <v>515578.26330508466</v>
      </c>
      <c r="D146" s="27">
        <f>Données!Z146</f>
        <v>5876</v>
      </c>
      <c r="E146" s="114">
        <f t="shared" si="21"/>
        <v>87.743067274520882</v>
      </c>
      <c r="F146" s="188">
        <f t="shared" si="22"/>
        <v>1.8102266715966164</v>
      </c>
      <c r="G146" s="443">
        <f t="shared" si="23"/>
        <v>39.272304661609169</v>
      </c>
      <c r="H146" s="443">
        <f t="shared" si="24"/>
        <v>29.578152139026827</v>
      </c>
      <c r="I146" s="443">
        <f t="shared" si="25"/>
        <v>15.036923355153306</v>
      </c>
      <c r="J146" s="443">
        <f t="shared" si="26"/>
        <v>0</v>
      </c>
      <c r="K146" s="443">
        <f t="shared" si="27"/>
        <v>0</v>
      </c>
      <c r="L146" s="445">
        <f t="shared" si="28"/>
        <v>12.315968481739848</v>
      </c>
      <c r="M146" s="299">
        <f>L146*D146*VPI!Q146</f>
        <v>4269749.2171234973</v>
      </c>
    </row>
    <row r="147" spans="1:13" x14ac:dyDescent="0.25">
      <c r="A147" s="169">
        <f>Données!A147</f>
        <v>5648</v>
      </c>
      <c r="B147" s="27" t="str">
        <f>Données!B147</f>
        <v>Saint-Sulpice</v>
      </c>
      <c r="C147" s="347">
        <f>VPI!R147</f>
        <v>417040.44568181824</v>
      </c>
      <c r="D147" s="27">
        <f>Données!Z147</f>
        <v>5036</v>
      </c>
      <c r="E147" s="114">
        <f t="shared" si="21"/>
        <v>82.811843860567564</v>
      </c>
      <c r="F147" s="188">
        <f t="shared" si="22"/>
        <v>1.7084906322168742</v>
      </c>
      <c r="G147" s="443">
        <f t="shared" si="23"/>
        <v>34.34108124765585</v>
      </c>
      <c r="H147" s="443">
        <f t="shared" si="24"/>
        <v>24.646928725073508</v>
      </c>
      <c r="I147" s="443">
        <f t="shared" si="25"/>
        <v>10.105699941199987</v>
      </c>
      <c r="J147" s="443">
        <f t="shared" si="26"/>
        <v>0</v>
      </c>
      <c r="K147" s="443">
        <f t="shared" si="27"/>
        <v>0</v>
      </c>
      <c r="L147" s="445">
        <f t="shared" si="28"/>
        <v>10.34347911615852</v>
      </c>
      <c r="M147" s="299">
        <f>L147*D147*VPI!Q147</f>
        <v>2864936.845593587</v>
      </c>
    </row>
    <row r="148" spans="1:13" x14ac:dyDescent="0.25">
      <c r="A148" s="169">
        <f>Données!A148</f>
        <v>5649</v>
      </c>
      <c r="B148" s="27" t="str">
        <f>Données!B148</f>
        <v>Tolochenaz</v>
      </c>
      <c r="C148" s="347">
        <f>VPI!R148</f>
        <v>173464.05234375002</v>
      </c>
      <c r="D148" s="27">
        <f>Données!Z148</f>
        <v>1890</v>
      </c>
      <c r="E148" s="114">
        <f t="shared" si="21"/>
        <v>91.779921875000014</v>
      </c>
      <c r="F148" s="188">
        <f t="shared" si="22"/>
        <v>1.8935109935850596</v>
      </c>
      <c r="G148" s="443">
        <f t="shared" si="23"/>
        <v>43.309159262088301</v>
      </c>
      <c r="H148" s="443">
        <f t="shared" si="24"/>
        <v>33.615006739505958</v>
      </c>
      <c r="I148" s="443">
        <f t="shared" si="25"/>
        <v>19.073777955632437</v>
      </c>
      <c r="J148" s="443">
        <f t="shared" si="26"/>
        <v>0</v>
      </c>
      <c r="K148" s="443">
        <f t="shared" si="27"/>
        <v>0</v>
      </c>
      <c r="L148" s="445">
        <f t="shared" si="28"/>
        <v>13.9307103219315</v>
      </c>
      <c r="M148" s="299">
        <f>L148*D148*VPI!Q148</f>
        <v>1685058.7205408341</v>
      </c>
    </row>
    <row r="149" spans="1:13" x14ac:dyDescent="0.25">
      <c r="A149" s="169">
        <f>Données!A149</f>
        <v>5650</v>
      </c>
      <c r="B149" s="27" t="str">
        <f>Données!B149</f>
        <v>Vaux-sur-Morges</v>
      </c>
      <c r="C149" s="347">
        <f>VPI!R149</f>
        <v>90407.863928571445</v>
      </c>
      <c r="D149" s="27">
        <f>Données!Z149</f>
        <v>185</v>
      </c>
      <c r="E149" s="114">
        <f t="shared" si="21"/>
        <v>488.69115637065647</v>
      </c>
      <c r="F149" s="188">
        <f t="shared" si="22"/>
        <v>10.082184187473011</v>
      </c>
      <c r="G149" s="443">
        <f t="shared" si="23"/>
        <v>440.22039375774477</v>
      </c>
      <c r="H149" s="443">
        <f t="shared" si="24"/>
        <v>430.52624123516239</v>
      </c>
      <c r="I149" s="443">
        <f t="shared" si="25"/>
        <v>415.98501245128887</v>
      </c>
      <c r="J149" s="443">
        <f t="shared" si="26"/>
        <v>391.74963114483307</v>
      </c>
      <c r="K149" s="443">
        <f t="shared" si="27"/>
        <v>343.27886853192132</v>
      </c>
      <c r="L149" s="445">
        <f t="shared" si="28"/>
        <v>246.19805408786951</v>
      </c>
      <c r="M149" s="299">
        <f>L149*D149*VPI!Q149</f>
        <v>2550611.840350328</v>
      </c>
    </row>
    <row r="150" spans="1:13" x14ac:dyDescent="0.25">
      <c r="A150" s="169">
        <f>Données!A150</f>
        <v>5651</v>
      </c>
      <c r="B150" s="27" t="str">
        <f>Données!B150</f>
        <v>Villars-Sainte-Croix</v>
      </c>
      <c r="C150" s="347">
        <f>VPI!R150</f>
        <v>56008.147272727285</v>
      </c>
      <c r="D150" s="27">
        <f>Données!Z150</f>
        <v>978</v>
      </c>
      <c r="E150" s="114">
        <f t="shared" si="21"/>
        <v>57.268044246142416</v>
      </c>
      <c r="F150" s="188">
        <f t="shared" si="22"/>
        <v>1.1814966622969383</v>
      </c>
      <c r="G150" s="443">
        <f t="shared" si="23"/>
        <v>8.7972816332307033</v>
      </c>
      <c r="H150" s="443">
        <f t="shared" si="24"/>
        <v>0</v>
      </c>
      <c r="I150" s="443">
        <f t="shared" si="25"/>
        <v>0</v>
      </c>
      <c r="J150" s="443">
        <f t="shared" si="26"/>
        <v>0</v>
      </c>
      <c r="K150" s="443">
        <f t="shared" si="27"/>
        <v>0</v>
      </c>
      <c r="L150" s="445">
        <f t="shared" si="28"/>
        <v>1.7594563266461407</v>
      </c>
      <c r="M150" s="299">
        <f>L150*D150*VPI!Q150</f>
        <v>104105.2713913255</v>
      </c>
    </row>
    <row r="151" spans="1:13" x14ac:dyDescent="0.25">
      <c r="A151" s="169">
        <f>Données!A151</f>
        <v>5652</v>
      </c>
      <c r="B151" s="27" t="str">
        <f>Données!B151</f>
        <v>Villars-sous-Yens</v>
      </c>
      <c r="C151" s="347">
        <f>VPI!R151</f>
        <v>25957.212521929825</v>
      </c>
      <c r="D151" s="27">
        <f>Données!Z151</f>
        <v>615</v>
      </c>
      <c r="E151" s="114">
        <f t="shared" si="21"/>
        <v>42.206849629154185</v>
      </c>
      <c r="F151" s="188">
        <f t="shared" si="22"/>
        <v>0.87076925044936393</v>
      </c>
      <c r="G151" s="443">
        <f t="shared" si="23"/>
        <v>0</v>
      </c>
      <c r="H151" s="443">
        <f t="shared" si="24"/>
        <v>0</v>
      </c>
      <c r="I151" s="443">
        <f t="shared" si="25"/>
        <v>0</v>
      </c>
      <c r="J151" s="443">
        <f t="shared" si="26"/>
        <v>0</v>
      </c>
      <c r="K151" s="443">
        <f t="shared" si="27"/>
        <v>0</v>
      </c>
      <c r="L151" s="445">
        <f t="shared" si="28"/>
        <v>0</v>
      </c>
      <c r="M151" s="299">
        <f>L151*D151*VPI!Q151</f>
        <v>0</v>
      </c>
    </row>
    <row r="152" spans="1:13" x14ac:dyDescent="0.25">
      <c r="A152" s="169">
        <f>Données!A152</f>
        <v>5653</v>
      </c>
      <c r="B152" s="27" t="str">
        <f>Données!B152</f>
        <v>Vufflens-le-Château</v>
      </c>
      <c r="C152" s="347">
        <f>VPI!R152</f>
        <v>71346.970598290602</v>
      </c>
      <c r="D152" s="27">
        <f>Données!Z152</f>
        <v>884</v>
      </c>
      <c r="E152" s="114">
        <f t="shared" si="21"/>
        <v>80.709242758247285</v>
      </c>
      <c r="F152" s="188">
        <f t="shared" si="22"/>
        <v>1.665111882038923</v>
      </c>
      <c r="G152" s="443">
        <f t="shared" si="23"/>
        <v>32.238480145335572</v>
      </c>
      <c r="H152" s="443">
        <f t="shared" si="24"/>
        <v>22.544327622753229</v>
      </c>
      <c r="I152" s="443">
        <f t="shared" si="25"/>
        <v>8.0030988388797084</v>
      </c>
      <c r="J152" s="443">
        <f t="shared" si="26"/>
        <v>0</v>
      </c>
      <c r="K152" s="443">
        <f t="shared" si="27"/>
        <v>0</v>
      </c>
      <c r="L152" s="445">
        <f t="shared" si="28"/>
        <v>9.5024386752304082</v>
      </c>
      <c r="M152" s="299">
        <f>L152*D152*VPI!Q152</f>
        <v>491409.11365086533</v>
      </c>
    </row>
    <row r="153" spans="1:13" x14ac:dyDescent="0.25">
      <c r="A153" s="169">
        <f>Données!A153</f>
        <v>5654</v>
      </c>
      <c r="B153" s="27" t="str">
        <f>Données!B153</f>
        <v>Vullierens</v>
      </c>
      <c r="C153" s="347">
        <f>VPI!R153</f>
        <v>20741.31131578947</v>
      </c>
      <c r="D153" s="27">
        <f>Données!Z153</f>
        <v>562</v>
      </c>
      <c r="E153" s="114">
        <f t="shared" si="21"/>
        <v>36.906247892863824</v>
      </c>
      <c r="F153" s="188">
        <f t="shared" si="22"/>
        <v>0.7614125692140995</v>
      </c>
      <c r="G153" s="443">
        <f t="shared" si="23"/>
        <v>0</v>
      </c>
      <c r="H153" s="443">
        <f t="shared" si="24"/>
        <v>0</v>
      </c>
      <c r="I153" s="443">
        <f t="shared" si="25"/>
        <v>0</v>
      </c>
      <c r="J153" s="443">
        <f t="shared" si="26"/>
        <v>0</v>
      </c>
      <c r="K153" s="443">
        <f t="shared" si="27"/>
        <v>0</v>
      </c>
      <c r="L153" s="445">
        <f t="shared" si="28"/>
        <v>0</v>
      </c>
      <c r="M153" s="299">
        <f>L153*D153*VPI!Q153</f>
        <v>0</v>
      </c>
    </row>
    <row r="154" spans="1:13" x14ac:dyDescent="0.25">
      <c r="A154" s="169">
        <f>Données!A154</f>
        <v>5655</v>
      </c>
      <c r="B154" s="27" t="str">
        <f>Données!B154</f>
        <v>Yens</v>
      </c>
      <c r="C154" s="347">
        <f>VPI!R154</f>
        <v>81488.710349650341</v>
      </c>
      <c r="D154" s="27">
        <f>Données!Z154</f>
        <v>1513</v>
      </c>
      <c r="E154" s="114">
        <f t="shared" si="21"/>
        <v>53.859028651454288</v>
      </c>
      <c r="F154" s="188">
        <f t="shared" si="22"/>
        <v>1.1111652829061791</v>
      </c>
      <c r="G154" s="443">
        <f t="shared" si="23"/>
        <v>5.3882660385425751</v>
      </c>
      <c r="H154" s="443">
        <f t="shared" si="24"/>
        <v>0</v>
      </c>
      <c r="I154" s="443">
        <f t="shared" si="25"/>
        <v>0</v>
      </c>
      <c r="J154" s="443">
        <f t="shared" si="26"/>
        <v>0</v>
      </c>
      <c r="K154" s="443">
        <f t="shared" si="27"/>
        <v>0</v>
      </c>
      <c r="L154" s="445">
        <f t="shared" si="28"/>
        <v>1.077653207708515</v>
      </c>
      <c r="M154" s="299">
        <f>L154*D154*VPI!Q154</f>
        <v>116579.9851833033</v>
      </c>
    </row>
    <row r="155" spans="1:13" x14ac:dyDescent="0.25">
      <c r="A155" s="169">
        <f>Données!A155</f>
        <v>5656</v>
      </c>
      <c r="B155" s="27" t="str">
        <f>Données!B155</f>
        <v>Hautemorges</v>
      </c>
      <c r="C155" s="347">
        <f>VPI!R155</f>
        <v>168934.99020689653</v>
      </c>
      <c r="D155" s="27">
        <f>Données!Z155</f>
        <v>4257</v>
      </c>
      <c r="E155" s="114">
        <f t="shared" si="21"/>
        <v>39.684047499858238</v>
      </c>
      <c r="F155" s="188">
        <f t="shared" si="22"/>
        <v>0.81872133551468285</v>
      </c>
      <c r="G155" s="443">
        <f t="shared" si="23"/>
        <v>0</v>
      </c>
      <c r="H155" s="443">
        <f t="shared" si="24"/>
        <v>0</v>
      </c>
      <c r="I155" s="443">
        <f t="shared" si="25"/>
        <v>0</v>
      </c>
      <c r="J155" s="443">
        <f t="shared" si="26"/>
        <v>0</v>
      </c>
      <c r="K155" s="443">
        <f t="shared" si="27"/>
        <v>0</v>
      </c>
      <c r="L155" s="445">
        <f t="shared" si="28"/>
        <v>0</v>
      </c>
      <c r="M155" s="299">
        <f>L155*D155*VPI!Q155</f>
        <v>0</v>
      </c>
    </row>
    <row r="156" spans="1:13" x14ac:dyDescent="0.25">
      <c r="A156" s="169">
        <f>Données!A156</f>
        <v>5661</v>
      </c>
      <c r="B156" s="27" t="str">
        <f>Données!B156</f>
        <v>Boulens</v>
      </c>
      <c r="C156" s="347">
        <f>VPI!R156</f>
        <v>11008.776923076925</v>
      </c>
      <c r="D156" s="27">
        <f>Données!Z156</f>
        <v>383</v>
      </c>
      <c r="E156" s="114">
        <f t="shared" si="21"/>
        <v>28.74354288009641</v>
      </c>
      <c r="F156" s="188">
        <f t="shared" si="22"/>
        <v>0.59300785320096583</v>
      </c>
      <c r="G156" s="443">
        <f t="shared" si="23"/>
        <v>0</v>
      </c>
      <c r="H156" s="443">
        <f t="shared" si="24"/>
        <v>0</v>
      </c>
      <c r="I156" s="443">
        <f t="shared" si="25"/>
        <v>0</v>
      </c>
      <c r="J156" s="443">
        <f t="shared" si="26"/>
        <v>0</v>
      </c>
      <c r="K156" s="443">
        <f t="shared" si="27"/>
        <v>0</v>
      </c>
      <c r="L156" s="445">
        <f t="shared" si="28"/>
        <v>0</v>
      </c>
      <c r="M156" s="299">
        <f>L156*D156*VPI!Q156</f>
        <v>0</v>
      </c>
    </row>
    <row r="157" spans="1:13" x14ac:dyDescent="0.25">
      <c r="A157" s="169">
        <f>Données!A157</f>
        <v>5663</v>
      </c>
      <c r="B157" s="27" t="str">
        <f>Données!B157</f>
        <v>Bussy-sur-Moudon</v>
      </c>
      <c r="C157" s="347">
        <f>VPI!R157</f>
        <v>6460.7661146496821</v>
      </c>
      <c r="D157" s="27">
        <f>Données!Z157</f>
        <v>246</v>
      </c>
      <c r="E157" s="114">
        <f t="shared" si="21"/>
        <v>26.263276888819846</v>
      </c>
      <c r="F157" s="188">
        <f t="shared" si="22"/>
        <v>0.5418375010634513</v>
      </c>
      <c r="G157" s="443">
        <f t="shared" si="23"/>
        <v>0</v>
      </c>
      <c r="H157" s="443">
        <f t="shared" si="24"/>
        <v>0</v>
      </c>
      <c r="I157" s="443">
        <f t="shared" si="25"/>
        <v>0</v>
      </c>
      <c r="J157" s="443">
        <f t="shared" si="26"/>
        <v>0</v>
      </c>
      <c r="K157" s="443">
        <f t="shared" si="27"/>
        <v>0</v>
      </c>
      <c r="L157" s="445">
        <f t="shared" si="28"/>
        <v>0</v>
      </c>
      <c r="M157" s="299">
        <f>L157*D157*VPI!Q157</f>
        <v>0</v>
      </c>
    </row>
    <row r="158" spans="1:13" x14ac:dyDescent="0.25">
      <c r="A158" s="169">
        <f>Données!A158</f>
        <v>5665</v>
      </c>
      <c r="B158" s="27" t="str">
        <f>Données!B158</f>
        <v>Chavannes-sur-Moudon</v>
      </c>
      <c r="C158" s="347">
        <f>VPI!R158</f>
        <v>5786.5608571428584</v>
      </c>
      <c r="D158" s="27">
        <f>Données!Z158</f>
        <v>218</v>
      </c>
      <c r="E158" s="114">
        <f t="shared" si="21"/>
        <v>26.543857142857149</v>
      </c>
      <c r="F158" s="188">
        <f t="shared" si="22"/>
        <v>0.54762615052783092</v>
      </c>
      <c r="G158" s="443">
        <f t="shared" si="23"/>
        <v>0</v>
      </c>
      <c r="H158" s="443">
        <f t="shared" si="24"/>
        <v>0</v>
      </c>
      <c r="I158" s="443">
        <f t="shared" si="25"/>
        <v>0</v>
      </c>
      <c r="J158" s="443">
        <f t="shared" si="26"/>
        <v>0</v>
      </c>
      <c r="K158" s="443">
        <f t="shared" si="27"/>
        <v>0</v>
      </c>
      <c r="L158" s="445">
        <f t="shared" si="28"/>
        <v>0</v>
      </c>
      <c r="M158" s="299">
        <f>L158*D158*VPI!Q158</f>
        <v>0</v>
      </c>
    </row>
    <row r="159" spans="1:13" x14ac:dyDescent="0.25">
      <c r="A159" s="169">
        <f>Données!A159</f>
        <v>5669</v>
      </c>
      <c r="B159" s="27" t="str">
        <f>Données!B159</f>
        <v>Curtilles</v>
      </c>
      <c r="C159" s="347">
        <f>VPI!R159</f>
        <v>8428.0279452054765</v>
      </c>
      <c r="D159" s="27">
        <f>Données!Z159</f>
        <v>294</v>
      </c>
      <c r="E159" s="114">
        <f t="shared" si="21"/>
        <v>28.666761718385974</v>
      </c>
      <c r="F159" s="188">
        <f t="shared" si="22"/>
        <v>0.5914237815344312</v>
      </c>
      <c r="G159" s="443">
        <f t="shared" si="23"/>
        <v>0</v>
      </c>
      <c r="H159" s="443">
        <f t="shared" si="24"/>
        <v>0</v>
      </c>
      <c r="I159" s="443">
        <f t="shared" si="25"/>
        <v>0</v>
      </c>
      <c r="J159" s="443">
        <f t="shared" si="26"/>
        <v>0</v>
      </c>
      <c r="K159" s="443">
        <f t="shared" si="27"/>
        <v>0</v>
      </c>
      <c r="L159" s="445">
        <f t="shared" si="28"/>
        <v>0</v>
      </c>
      <c r="M159" s="299">
        <f>L159*D159*VPI!Q159</f>
        <v>0</v>
      </c>
    </row>
    <row r="160" spans="1:13" x14ac:dyDescent="0.25">
      <c r="A160" s="169">
        <f>Données!A160</f>
        <v>5671</v>
      </c>
      <c r="B160" s="27" t="str">
        <f>Données!B160</f>
        <v>Dompierre</v>
      </c>
      <c r="C160" s="347">
        <f>VPI!R160</f>
        <v>6751.3758974358971</v>
      </c>
      <c r="D160" s="27">
        <f>Données!Z160</f>
        <v>248</v>
      </c>
      <c r="E160" s="114">
        <f t="shared" si="21"/>
        <v>27.223289909015715</v>
      </c>
      <c r="F160" s="188">
        <f t="shared" si="22"/>
        <v>0.56164352367263837</v>
      </c>
      <c r="G160" s="443">
        <f t="shared" si="23"/>
        <v>0</v>
      </c>
      <c r="H160" s="443">
        <f t="shared" si="24"/>
        <v>0</v>
      </c>
      <c r="I160" s="443">
        <f t="shared" si="25"/>
        <v>0</v>
      </c>
      <c r="J160" s="443">
        <f t="shared" si="26"/>
        <v>0</v>
      </c>
      <c r="K160" s="443">
        <f t="shared" si="27"/>
        <v>0</v>
      </c>
      <c r="L160" s="445">
        <f t="shared" si="28"/>
        <v>0</v>
      </c>
      <c r="M160" s="299">
        <f>L160*D160*VPI!Q160</f>
        <v>0</v>
      </c>
    </row>
    <row r="161" spans="1:13" x14ac:dyDescent="0.25">
      <c r="A161" s="169">
        <f>Données!A161</f>
        <v>5673</v>
      </c>
      <c r="B161" s="27" t="str">
        <f>Données!B161</f>
        <v>Hermenches</v>
      </c>
      <c r="C161" s="347">
        <f>VPI!R161</f>
        <v>9675.0074829931946</v>
      </c>
      <c r="D161" s="27">
        <f>Données!Z161</f>
        <v>374</v>
      </c>
      <c r="E161" s="114">
        <f t="shared" si="21"/>
        <v>25.869003965222447</v>
      </c>
      <c r="F161" s="188">
        <f t="shared" si="22"/>
        <v>0.53370325884518732</v>
      </c>
      <c r="G161" s="443">
        <f t="shared" si="23"/>
        <v>0</v>
      </c>
      <c r="H161" s="443">
        <f t="shared" si="24"/>
        <v>0</v>
      </c>
      <c r="I161" s="443">
        <f t="shared" si="25"/>
        <v>0</v>
      </c>
      <c r="J161" s="443">
        <f t="shared" si="26"/>
        <v>0</v>
      </c>
      <c r="K161" s="443">
        <f t="shared" si="27"/>
        <v>0</v>
      </c>
      <c r="L161" s="445">
        <f t="shared" si="28"/>
        <v>0</v>
      </c>
      <c r="M161" s="299">
        <f>L161*D161*VPI!Q161</f>
        <v>0</v>
      </c>
    </row>
    <row r="162" spans="1:13" x14ac:dyDescent="0.25">
      <c r="A162" s="169">
        <f>Données!A162</f>
        <v>5674</v>
      </c>
      <c r="B162" s="27" t="str">
        <f>Données!B162</f>
        <v>Lovatens</v>
      </c>
      <c r="C162" s="347">
        <f>VPI!R162</f>
        <v>3538.9463999999998</v>
      </c>
      <c r="D162" s="27">
        <f>Données!Z162</f>
        <v>143</v>
      </c>
      <c r="E162" s="114">
        <f t="shared" si="21"/>
        <v>24.747876923076923</v>
      </c>
      <c r="F162" s="188">
        <f t="shared" si="22"/>
        <v>0.51057329385786365</v>
      </c>
      <c r="G162" s="443">
        <f t="shared" si="23"/>
        <v>0</v>
      </c>
      <c r="H162" s="443">
        <f t="shared" si="24"/>
        <v>0</v>
      </c>
      <c r="I162" s="443">
        <f t="shared" si="25"/>
        <v>0</v>
      </c>
      <c r="J162" s="443">
        <f t="shared" si="26"/>
        <v>0</v>
      </c>
      <c r="K162" s="443">
        <f t="shared" si="27"/>
        <v>0</v>
      </c>
      <c r="L162" s="445">
        <f t="shared" si="28"/>
        <v>0</v>
      </c>
      <c r="M162" s="299">
        <f>L162*D162*VPI!Q162</f>
        <v>0</v>
      </c>
    </row>
    <row r="163" spans="1:13" x14ac:dyDescent="0.25">
      <c r="A163" s="169">
        <f>Données!A163</f>
        <v>5675</v>
      </c>
      <c r="B163" s="27" t="str">
        <f>Données!B163</f>
        <v>Lucens</v>
      </c>
      <c r="C163" s="347">
        <f>VPI!R163</f>
        <v>92803.818404185746</v>
      </c>
      <c r="D163" s="27">
        <f>Données!Z163</f>
        <v>4420</v>
      </c>
      <c r="E163" s="114">
        <f t="shared" si="21"/>
        <v>20.996339005471889</v>
      </c>
      <c r="F163" s="188">
        <f t="shared" si="22"/>
        <v>0.43317533856747803</v>
      </c>
      <c r="G163" s="443">
        <f t="shared" si="23"/>
        <v>0</v>
      </c>
      <c r="H163" s="443">
        <f t="shared" si="24"/>
        <v>0</v>
      </c>
      <c r="I163" s="443">
        <f t="shared" si="25"/>
        <v>0</v>
      </c>
      <c r="J163" s="443">
        <f t="shared" si="26"/>
        <v>0</v>
      </c>
      <c r="K163" s="443">
        <f t="shared" si="27"/>
        <v>0</v>
      </c>
      <c r="L163" s="445">
        <f t="shared" si="28"/>
        <v>0</v>
      </c>
      <c r="M163" s="299">
        <f>L163*D163*VPI!Q163</f>
        <v>0</v>
      </c>
    </row>
    <row r="164" spans="1:13" x14ac:dyDescent="0.25">
      <c r="A164" s="169">
        <f>Données!A164</f>
        <v>5678</v>
      </c>
      <c r="B164" s="27" t="str">
        <f>Données!B164</f>
        <v>Moudon</v>
      </c>
      <c r="C164" s="347">
        <f>VPI!R164</f>
        <v>130675.7416551724</v>
      </c>
      <c r="D164" s="27">
        <f>Données!Z164</f>
        <v>6132</v>
      </c>
      <c r="E164" s="114">
        <f t="shared" si="21"/>
        <v>21.310460152506916</v>
      </c>
      <c r="F164" s="188">
        <f t="shared" si="22"/>
        <v>0.43965596998530004</v>
      </c>
      <c r="G164" s="443">
        <f t="shared" si="23"/>
        <v>0</v>
      </c>
      <c r="H164" s="443">
        <f t="shared" si="24"/>
        <v>0</v>
      </c>
      <c r="I164" s="443">
        <f t="shared" si="25"/>
        <v>0</v>
      </c>
      <c r="J164" s="443">
        <f t="shared" si="26"/>
        <v>0</v>
      </c>
      <c r="K164" s="443">
        <f t="shared" si="27"/>
        <v>0</v>
      </c>
      <c r="L164" s="445">
        <f t="shared" si="28"/>
        <v>0</v>
      </c>
      <c r="M164" s="299">
        <f>L164*D164*VPI!Q164</f>
        <v>0</v>
      </c>
    </row>
    <row r="165" spans="1:13" x14ac:dyDescent="0.25">
      <c r="A165" s="169">
        <f>Données!A165</f>
        <v>5680</v>
      </c>
      <c r="B165" s="27" t="str">
        <f>Données!B165</f>
        <v>Ogens</v>
      </c>
      <c r="C165" s="347">
        <f>VPI!R165</f>
        <v>10096.830811965814</v>
      </c>
      <c r="D165" s="27">
        <f>Données!Z165</f>
        <v>324</v>
      </c>
      <c r="E165" s="114">
        <f t="shared" si="21"/>
        <v>31.163058061622884</v>
      </c>
      <c r="F165" s="188">
        <f t="shared" si="22"/>
        <v>0.64292485576287639</v>
      </c>
      <c r="G165" s="443">
        <f t="shared" si="23"/>
        <v>0</v>
      </c>
      <c r="H165" s="443">
        <f t="shared" si="24"/>
        <v>0</v>
      </c>
      <c r="I165" s="443">
        <f t="shared" si="25"/>
        <v>0</v>
      </c>
      <c r="J165" s="443">
        <f t="shared" si="26"/>
        <v>0</v>
      </c>
      <c r="K165" s="443">
        <f t="shared" si="27"/>
        <v>0</v>
      </c>
      <c r="L165" s="445">
        <f t="shared" si="28"/>
        <v>0</v>
      </c>
      <c r="M165" s="299">
        <f>L165*D165*VPI!Q165</f>
        <v>0</v>
      </c>
    </row>
    <row r="166" spans="1:13" x14ac:dyDescent="0.25">
      <c r="A166" s="169">
        <f>Données!A166</f>
        <v>5683</v>
      </c>
      <c r="B166" s="27" t="str">
        <f>Données!B166</f>
        <v>Prévonloup</v>
      </c>
      <c r="C166" s="347">
        <f>VPI!R166</f>
        <v>5181.5891034482765</v>
      </c>
      <c r="D166" s="27">
        <f>Données!Z166</f>
        <v>220</v>
      </c>
      <c r="E166" s="114">
        <f t="shared" si="21"/>
        <v>23.552677742946713</v>
      </c>
      <c r="F166" s="188">
        <f t="shared" si="22"/>
        <v>0.48591514705553068</v>
      </c>
      <c r="G166" s="443">
        <f t="shared" si="23"/>
        <v>0</v>
      </c>
      <c r="H166" s="443">
        <f t="shared" si="24"/>
        <v>0</v>
      </c>
      <c r="I166" s="443">
        <f t="shared" si="25"/>
        <v>0</v>
      </c>
      <c r="J166" s="443">
        <f t="shared" si="26"/>
        <v>0</v>
      </c>
      <c r="K166" s="443">
        <f t="shared" si="27"/>
        <v>0</v>
      </c>
      <c r="L166" s="445">
        <f t="shared" si="28"/>
        <v>0</v>
      </c>
      <c r="M166" s="299">
        <f>L166*D166*VPI!Q166</f>
        <v>0</v>
      </c>
    </row>
    <row r="167" spans="1:13" x14ac:dyDescent="0.25">
      <c r="A167" s="169">
        <f>Données!A167</f>
        <v>5684</v>
      </c>
      <c r="B167" s="27" t="str">
        <f>Données!B167</f>
        <v>Rossenges</v>
      </c>
      <c r="C167" s="347">
        <f>VPI!R167</f>
        <v>7033.3142000000007</v>
      </c>
      <c r="D167" s="27">
        <f>Données!Z167</f>
        <v>93</v>
      </c>
      <c r="E167" s="114">
        <f t="shared" si="21"/>
        <v>75.627034408602157</v>
      </c>
      <c r="F167" s="188">
        <f t="shared" si="22"/>
        <v>1.5602608733962133</v>
      </c>
      <c r="G167" s="443">
        <f t="shared" si="23"/>
        <v>27.156271795690444</v>
      </c>
      <c r="H167" s="443">
        <f t="shared" si="24"/>
        <v>17.462119273108101</v>
      </c>
      <c r="I167" s="443">
        <f t="shared" si="25"/>
        <v>2.9208904892345799</v>
      </c>
      <c r="J167" s="443">
        <f t="shared" si="26"/>
        <v>0</v>
      </c>
      <c r="K167" s="443">
        <f t="shared" si="27"/>
        <v>0</v>
      </c>
      <c r="L167" s="445">
        <f t="shared" si="28"/>
        <v>7.4695553353723572</v>
      </c>
      <c r="M167" s="299">
        <f>L167*D167*VPI!Q167</f>
        <v>52100.148464222199</v>
      </c>
    </row>
    <row r="168" spans="1:13" x14ac:dyDescent="0.25">
      <c r="A168" s="169">
        <f>Données!A168</f>
        <v>5688</v>
      </c>
      <c r="B168" s="27" t="str">
        <f>Données!B168</f>
        <v>Syens</v>
      </c>
      <c r="C168" s="347">
        <f>VPI!R168</f>
        <v>5277.0104615384616</v>
      </c>
      <c r="D168" s="27">
        <f>Données!Z168</f>
        <v>164</v>
      </c>
      <c r="E168" s="114">
        <f t="shared" si="21"/>
        <v>32.176893058161355</v>
      </c>
      <c r="F168" s="188">
        <f t="shared" si="22"/>
        <v>0.6638412792290177</v>
      </c>
      <c r="G168" s="443">
        <f t="shared" si="23"/>
        <v>0</v>
      </c>
      <c r="H168" s="443">
        <f t="shared" si="24"/>
        <v>0</v>
      </c>
      <c r="I168" s="443">
        <f t="shared" si="25"/>
        <v>0</v>
      </c>
      <c r="J168" s="443">
        <f t="shared" si="26"/>
        <v>0</v>
      </c>
      <c r="K168" s="443">
        <f t="shared" si="27"/>
        <v>0</v>
      </c>
      <c r="L168" s="445">
        <f t="shared" si="28"/>
        <v>0</v>
      </c>
      <c r="M168" s="299">
        <f>L168*D168*VPI!Q168</f>
        <v>0</v>
      </c>
    </row>
    <row r="169" spans="1:13" x14ac:dyDescent="0.25">
      <c r="A169" s="169">
        <f>Données!A169</f>
        <v>5690</v>
      </c>
      <c r="B169" s="27" t="str">
        <f>Données!B169</f>
        <v>Villars-le-Comte</v>
      </c>
      <c r="C169" s="347">
        <f>VPI!R169</f>
        <v>4331.3836666666666</v>
      </c>
      <c r="D169" s="27">
        <f>Données!Z169</f>
        <v>138</v>
      </c>
      <c r="E169" s="114">
        <f t="shared" si="21"/>
        <v>31.386838164251209</v>
      </c>
      <c r="F169" s="188">
        <f t="shared" si="22"/>
        <v>0.64754166165915317</v>
      </c>
      <c r="G169" s="443">
        <f t="shared" si="23"/>
        <v>0</v>
      </c>
      <c r="H169" s="443">
        <f t="shared" si="24"/>
        <v>0</v>
      </c>
      <c r="I169" s="443">
        <f t="shared" si="25"/>
        <v>0</v>
      </c>
      <c r="J169" s="443">
        <f t="shared" si="26"/>
        <v>0</v>
      </c>
      <c r="K169" s="443">
        <f t="shared" si="27"/>
        <v>0</v>
      </c>
      <c r="L169" s="445">
        <f t="shared" si="28"/>
        <v>0</v>
      </c>
      <c r="M169" s="299">
        <f>L169*D169*VPI!Q169</f>
        <v>0</v>
      </c>
    </row>
    <row r="170" spans="1:13" x14ac:dyDescent="0.25">
      <c r="A170" s="169">
        <f>Données!A170</f>
        <v>5692</v>
      </c>
      <c r="B170" s="27" t="str">
        <f>Données!B170</f>
        <v>Vucherens</v>
      </c>
      <c r="C170" s="347">
        <f>VPI!R170</f>
        <v>18948.300519480523</v>
      </c>
      <c r="D170" s="27">
        <f>Données!Z170</f>
        <v>637</v>
      </c>
      <c r="E170" s="114">
        <f t="shared" si="21"/>
        <v>29.746154661664871</v>
      </c>
      <c r="F170" s="188">
        <f t="shared" si="22"/>
        <v>0.61369273058932738</v>
      </c>
      <c r="G170" s="443">
        <f t="shared" si="23"/>
        <v>0</v>
      </c>
      <c r="H170" s="443">
        <f t="shared" si="24"/>
        <v>0</v>
      </c>
      <c r="I170" s="443">
        <f t="shared" si="25"/>
        <v>0</v>
      </c>
      <c r="J170" s="443">
        <f t="shared" si="26"/>
        <v>0</v>
      </c>
      <c r="K170" s="443">
        <f t="shared" si="27"/>
        <v>0</v>
      </c>
      <c r="L170" s="445">
        <f t="shared" si="28"/>
        <v>0</v>
      </c>
      <c r="M170" s="299">
        <f>L170*D170*VPI!Q170</f>
        <v>0</v>
      </c>
    </row>
    <row r="171" spans="1:13" x14ac:dyDescent="0.25">
      <c r="A171" s="169">
        <f>Données!A171</f>
        <v>5693</v>
      </c>
      <c r="B171" s="27" t="str">
        <f>Données!B171</f>
        <v>Montanaire</v>
      </c>
      <c r="C171" s="347">
        <f>VPI!R171</f>
        <v>80078.044999999984</v>
      </c>
      <c r="D171" s="27">
        <f>Données!Z171</f>
        <v>2820</v>
      </c>
      <c r="E171" s="114">
        <f t="shared" si="21"/>
        <v>28.396469858156024</v>
      </c>
      <c r="F171" s="188">
        <f t="shared" si="22"/>
        <v>0.58584739185827728</v>
      </c>
      <c r="G171" s="443">
        <f t="shared" si="23"/>
        <v>0</v>
      </c>
      <c r="H171" s="443">
        <f t="shared" si="24"/>
        <v>0</v>
      </c>
      <c r="I171" s="443">
        <f t="shared" si="25"/>
        <v>0</v>
      </c>
      <c r="J171" s="443">
        <f t="shared" si="26"/>
        <v>0</v>
      </c>
      <c r="K171" s="443">
        <f t="shared" si="27"/>
        <v>0</v>
      </c>
      <c r="L171" s="445">
        <f t="shared" si="28"/>
        <v>0</v>
      </c>
      <c r="M171" s="299">
        <f>L171*D171*VPI!Q171</f>
        <v>0</v>
      </c>
    </row>
    <row r="172" spans="1:13" x14ac:dyDescent="0.25">
      <c r="A172" s="169">
        <f>Données!A172</f>
        <v>5701</v>
      </c>
      <c r="B172" s="27" t="str">
        <f>Données!B172</f>
        <v>Arnex-sur-Nyon</v>
      </c>
      <c r="C172" s="347">
        <f>VPI!R172</f>
        <v>12996.826285714285</v>
      </c>
      <c r="D172" s="27">
        <f>Données!Z172</f>
        <v>240</v>
      </c>
      <c r="E172" s="114">
        <f t="shared" si="21"/>
        <v>54.153442857142856</v>
      </c>
      <c r="F172" s="188">
        <f t="shared" si="22"/>
        <v>1.1172393405404639</v>
      </c>
      <c r="G172" s="443">
        <f t="shared" si="23"/>
        <v>5.6826802442311433</v>
      </c>
      <c r="H172" s="443">
        <f t="shared" si="24"/>
        <v>0</v>
      </c>
      <c r="I172" s="443">
        <f t="shared" si="25"/>
        <v>0</v>
      </c>
      <c r="J172" s="443">
        <f t="shared" si="26"/>
        <v>0</v>
      </c>
      <c r="K172" s="443">
        <f t="shared" si="27"/>
        <v>0</v>
      </c>
      <c r="L172" s="445">
        <f t="shared" si="28"/>
        <v>1.1365360488462286</v>
      </c>
      <c r="M172" s="299">
        <f>L172*D172*VPI!Q172</f>
        <v>19093.80562061664</v>
      </c>
    </row>
    <row r="173" spans="1:13" x14ac:dyDescent="0.25">
      <c r="A173" s="169">
        <f>Données!A173</f>
        <v>5702</v>
      </c>
      <c r="B173" s="27" t="str">
        <f>Données!B173</f>
        <v>Arzier-Le Muids</v>
      </c>
      <c r="C173" s="347">
        <f>VPI!R173</f>
        <v>187984.45531250001</v>
      </c>
      <c r="D173" s="27">
        <f>Données!Z173</f>
        <v>2954</v>
      </c>
      <c r="E173" s="114">
        <f t="shared" si="21"/>
        <v>63.637256368483413</v>
      </c>
      <c r="F173" s="188">
        <f t="shared" si="22"/>
        <v>1.3128998377164305</v>
      </c>
      <c r="G173" s="443">
        <f t="shared" si="23"/>
        <v>15.1664937555717</v>
      </c>
      <c r="H173" s="443">
        <f t="shared" si="24"/>
        <v>5.4723412329893577</v>
      </c>
      <c r="I173" s="443">
        <f t="shared" si="25"/>
        <v>0</v>
      </c>
      <c r="J173" s="443">
        <f t="shared" si="26"/>
        <v>0</v>
      </c>
      <c r="K173" s="443">
        <f t="shared" si="27"/>
        <v>0</v>
      </c>
      <c r="L173" s="445">
        <f t="shared" si="28"/>
        <v>3.5805328744132758</v>
      </c>
      <c r="M173" s="299">
        <f>L173*D173*VPI!Q173</f>
        <v>676921.22310507623</v>
      </c>
    </row>
    <row r="174" spans="1:13" x14ac:dyDescent="0.25">
      <c r="A174" s="169">
        <f>Données!A174</f>
        <v>5703</v>
      </c>
      <c r="B174" s="27" t="str">
        <f>Données!B174</f>
        <v>Bassins</v>
      </c>
      <c r="C174" s="347">
        <f>VPI!R174</f>
        <v>65441.246975369453</v>
      </c>
      <c r="D174" s="27">
        <f>Données!Z174</f>
        <v>1478</v>
      </c>
      <c r="E174" s="114">
        <f t="shared" si="21"/>
        <v>44.27689240552737</v>
      </c>
      <c r="F174" s="188">
        <f t="shared" si="22"/>
        <v>0.91347629000854269</v>
      </c>
      <c r="G174" s="443">
        <f t="shared" si="23"/>
        <v>0</v>
      </c>
      <c r="H174" s="443">
        <f t="shared" si="24"/>
        <v>0</v>
      </c>
      <c r="I174" s="443">
        <f t="shared" si="25"/>
        <v>0</v>
      </c>
      <c r="J174" s="443">
        <f t="shared" si="26"/>
        <v>0</v>
      </c>
      <c r="K174" s="443">
        <f t="shared" si="27"/>
        <v>0</v>
      </c>
      <c r="L174" s="445">
        <f t="shared" si="28"/>
        <v>0</v>
      </c>
      <c r="M174" s="299">
        <f>L174*D174*VPI!Q174</f>
        <v>0</v>
      </c>
    </row>
    <row r="175" spans="1:13" x14ac:dyDescent="0.25">
      <c r="A175" s="169">
        <f>Données!A175</f>
        <v>5704</v>
      </c>
      <c r="B175" s="27" t="str">
        <f>Données!B175</f>
        <v>Begnins</v>
      </c>
      <c r="C175" s="347">
        <f>VPI!R175</f>
        <v>129730.03685333332</v>
      </c>
      <c r="D175" s="27">
        <f>Données!Z175</f>
        <v>1938</v>
      </c>
      <c r="E175" s="114">
        <f t="shared" si="21"/>
        <v>66.94016349501203</v>
      </c>
      <c r="F175" s="188">
        <f t="shared" si="22"/>
        <v>1.3810420939649175</v>
      </c>
      <c r="G175" s="443">
        <f t="shared" si="23"/>
        <v>18.469400882100317</v>
      </c>
      <c r="H175" s="443">
        <f t="shared" si="24"/>
        <v>8.775248359517974</v>
      </c>
      <c r="I175" s="443">
        <f t="shared" si="25"/>
        <v>0</v>
      </c>
      <c r="J175" s="443">
        <f t="shared" si="26"/>
        <v>0</v>
      </c>
      <c r="K175" s="443">
        <f t="shared" si="27"/>
        <v>0</v>
      </c>
      <c r="L175" s="445">
        <f t="shared" si="28"/>
        <v>4.5714050123718604</v>
      </c>
      <c r="M175" s="299">
        <f>L175*D175*VPI!Q175</f>
        <v>553711.4321235416</v>
      </c>
    </row>
    <row r="176" spans="1:13" x14ac:dyDescent="0.25">
      <c r="A176" s="169">
        <f>Données!A176</f>
        <v>5705</v>
      </c>
      <c r="B176" s="27" t="str">
        <f>Données!B176</f>
        <v>Bogis-Bossey</v>
      </c>
      <c r="C176" s="347">
        <f>VPI!R176</f>
        <v>51044.070201342278</v>
      </c>
      <c r="D176" s="27">
        <f>Données!Z176</f>
        <v>923</v>
      </c>
      <c r="E176" s="114">
        <f t="shared" si="21"/>
        <v>55.302351247391414</v>
      </c>
      <c r="F176" s="188">
        <f t="shared" si="22"/>
        <v>1.1409424623465672</v>
      </c>
      <c r="G176" s="443">
        <f t="shared" si="23"/>
        <v>6.8315886344797008</v>
      </c>
      <c r="H176" s="443">
        <f t="shared" si="24"/>
        <v>0</v>
      </c>
      <c r="I176" s="443">
        <f t="shared" si="25"/>
        <v>0</v>
      </c>
      <c r="J176" s="443">
        <f t="shared" si="26"/>
        <v>0</v>
      </c>
      <c r="K176" s="443">
        <f t="shared" si="27"/>
        <v>0</v>
      </c>
      <c r="L176" s="445">
        <f t="shared" si="28"/>
        <v>1.3663177268959403</v>
      </c>
      <c r="M176" s="299">
        <f>L176*D176*VPI!Q176</f>
        <v>93952.789013408998</v>
      </c>
    </row>
    <row r="177" spans="1:13" x14ac:dyDescent="0.25">
      <c r="A177" s="169">
        <f>Données!A177</f>
        <v>5706</v>
      </c>
      <c r="B177" s="27" t="str">
        <f>Données!B177</f>
        <v>Borex</v>
      </c>
      <c r="C177" s="347">
        <f>VPI!R177</f>
        <v>156857.9796491228</v>
      </c>
      <c r="D177" s="27">
        <f>Données!Z177</f>
        <v>1131</v>
      </c>
      <c r="E177" s="114">
        <f t="shared" si="21"/>
        <v>138.68963717871159</v>
      </c>
      <c r="F177" s="188">
        <f t="shared" si="22"/>
        <v>2.8613050363223964</v>
      </c>
      <c r="G177" s="443">
        <f t="shared" si="23"/>
        <v>90.218874565799879</v>
      </c>
      <c r="H177" s="443">
        <f t="shared" si="24"/>
        <v>80.524722043217537</v>
      </c>
      <c r="I177" s="443">
        <f t="shared" si="25"/>
        <v>65.983493259344016</v>
      </c>
      <c r="J177" s="443">
        <f t="shared" si="26"/>
        <v>41.748111952888166</v>
      </c>
      <c r="K177" s="443">
        <f t="shared" si="27"/>
        <v>0</v>
      </c>
      <c r="L177" s="445">
        <f t="shared" si="28"/>
        <v>36.869407638704949</v>
      </c>
      <c r="M177" s="299">
        <f>L177*D177*VPI!Q177</f>
        <v>2376860.102244392</v>
      </c>
    </row>
    <row r="178" spans="1:13" x14ac:dyDescent="0.25">
      <c r="A178" s="169">
        <f>Données!A178</f>
        <v>5707</v>
      </c>
      <c r="B178" s="27" t="str">
        <f>Données!B178</f>
        <v>Chavannes-de-Bogis</v>
      </c>
      <c r="C178" s="347">
        <f>VPI!R178</f>
        <v>86804.197126436775</v>
      </c>
      <c r="D178" s="27">
        <f>Données!Z178</f>
        <v>1314</v>
      </c>
      <c r="E178" s="114">
        <f t="shared" si="21"/>
        <v>66.061032820728144</v>
      </c>
      <c r="F178" s="188">
        <f t="shared" si="22"/>
        <v>1.3629047545278503</v>
      </c>
      <c r="G178" s="443">
        <f t="shared" si="23"/>
        <v>17.590270207816431</v>
      </c>
      <c r="H178" s="443">
        <f t="shared" si="24"/>
        <v>7.8961176852340884</v>
      </c>
      <c r="I178" s="443">
        <f t="shared" si="25"/>
        <v>0</v>
      </c>
      <c r="J178" s="443">
        <f t="shared" si="26"/>
        <v>0</v>
      </c>
      <c r="K178" s="443">
        <f t="shared" si="27"/>
        <v>0</v>
      </c>
      <c r="L178" s="445">
        <f t="shared" si="28"/>
        <v>4.3076658100866947</v>
      </c>
      <c r="M178" s="299">
        <f>L178*D178*VPI!Q178</f>
        <v>328295.82671832718</v>
      </c>
    </row>
    <row r="179" spans="1:13" x14ac:dyDescent="0.25">
      <c r="A179" s="169">
        <f>Données!A179</f>
        <v>5708</v>
      </c>
      <c r="B179" s="27" t="str">
        <f>Données!B179</f>
        <v>Chavannes-des-Bois</v>
      </c>
      <c r="C179" s="347">
        <f>VPI!R179</f>
        <v>68806.761617647047</v>
      </c>
      <c r="D179" s="27">
        <f>Données!Z179</f>
        <v>1019</v>
      </c>
      <c r="E179" s="114">
        <f t="shared" si="21"/>
        <v>67.523809242048131</v>
      </c>
      <c r="F179" s="188">
        <f t="shared" si="22"/>
        <v>1.3930832857179152</v>
      </c>
      <c r="G179" s="443">
        <f t="shared" si="23"/>
        <v>19.053046629136418</v>
      </c>
      <c r="H179" s="443">
        <f t="shared" si="24"/>
        <v>9.3588941065540752</v>
      </c>
      <c r="I179" s="443">
        <f t="shared" si="25"/>
        <v>0</v>
      </c>
      <c r="J179" s="443">
        <f t="shared" si="26"/>
        <v>0</v>
      </c>
      <c r="K179" s="443">
        <f t="shared" si="27"/>
        <v>0</v>
      </c>
      <c r="L179" s="445">
        <f t="shared" si="28"/>
        <v>4.7464987364826907</v>
      </c>
      <c r="M179" s="299">
        <f>L179*D179*VPI!Q179</f>
        <v>328894.39044835861</v>
      </c>
    </row>
    <row r="180" spans="1:13" x14ac:dyDescent="0.25">
      <c r="A180" s="169">
        <f>Données!A180</f>
        <v>5709</v>
      </c>
      <c r="B180" s="27" t="str">
        <f>Données!B180</f>
        <v>Chéserex</v>
      </c>
      <c r="C180" s="347">
        <f>VPI!R180</f>
        <v>90983.63491228073</v>
      </c>
      <c r="D180" s="27">
        <f>Données!Z180</f>
        <v>1251</v>
      </c>
      <c r="E180" s="114">
        <f t="shared" si="21"/>
        <v>72.728724949864699</v>
      </c>
      <c r="F180" s="188">
        <f t="shared" si="22"/>
        <v>1.5004658690988104</v>
      </c>
      <c r="G180" s="443">
        <f t="shared" si="23"/>
        <v>24.257962336952986</v>
      </c>
      <c r="H180" s="443">
        <f t="shared" si="24"/>
        <v>14.563809814370643</v>
      </c>
      <c r="I180" s="443">
        <f t="shared" si="25"/>
        <v>2.2581030497121901E-2</v>
      </c>
      <c r="J180" s="443">
        <f t="shared" si="26"/>
        <v>0</v>
      </c>
      <c r="K180" s="443">
        <f t="shared" si="27"/>
        <v>0</v>
      </c>
      <c r="L180" s="445">
        <f t="shared" si="28"/>
        <v>6.3102315518773739</v>
      </c>
      <c r="M180" s="299">
        <f>L180*D180*VPI!Q180</f>
        <v>449963.68126971991</v>
      </c>
    </row>
    <row r="181" spans="1:13" x14ac:dyDescent="0.25">
      <c r="A181" s="169">
        <f>Données!A181</f>
        <v>5710</v>
      </c>
      <c r="B181" s="27" t="str">
        <f>Données!B181</f>
        <v>Coinsins</v>
      </c>
      <c r="C181" s="347">
        <f>VPI!R181</f>
        <v>33549.646470588232</v>
      </c>
      <c r="D181" s="27">
        <f>Données!Z181</f>
        <v>499</v>
      </c>
      <c r="E181" s="114">
        <f t="shared" si="21"/>
        <v>67.233760462100662</v>
      </c>
      <c r="F181" s="188">
        <f t="shared" si="22"/>
        <v>1.3870992911547637</v>
      </c>
      <c r="G181" s="443">
        <f t="shared" si="23"/>
        <v>18.762997849188949</v>
      </c>
      <c r="H181" s="443">
        <f t="shared" si="24"/>
        <v>9.0688453266066062</v>
      </c>
      <c r="I181" s="443">
        <f t="shared" si="25"/>
        <v>0</v>
      </c>
      <c r="J181" s="443">
        <f t="shared" si="26"/>
        <v>0</v>
      </c>
      <c r="K181" s="443">
        <f t="shared" si="27"/>
        <v>0</v>
      </c>
      <c r="L181" s="445">
        <f t="shared" si="28"/>
        <v>4.6594841024984506</v>
      </c>
      <c r="M181" s="299">
        <f>L181*D181*VPI!Q181</f>
        <v>118579.21092448306</v>
      </c>
    </row>
    <row r="182" spans="1:13" x14ac:dyDescent="0.25">
      <c r="A182" s="169">
        <f>Données!A182</f>
        <v>5711</v>
      </c>
      <c r="B182" s="27" t="str">
        <f>Données!B182</f>
        <v>Commugny</v>
      </c>
      <c r="C182" s="347">
        <f>VPI!R182</f>
        <v>305461.09360323887</v>
      </c>
      <c r="D182" s="27">
        <f>Données!Z182</f>
        <v>2983</v>
      </c>
      <c r="E182" s="114">
        <f t="shared" si="21"/>
        <v>102.40063479826982</v>
      </c>
      <c r="F182" s="188">
        <f t="shared" si="22"/>
        <v>2.1126268554106096</v>
      </c>
      <c r="G182" s="443">
        <f t="shared" si="23"/>
        <v>53.929872185358107</v>
      </c>
      <c r="H182" s="443">
        <f t="shared" si="24"/>
        <v>44.235719662775765</v>
      </c>
      <c r="I182" s="443">
        <f t="shared" si="25"/>
        <v>29.694490878902243</v>
      </c>
      <c r="J182" s="443">
        <f t="shared" si="26"/>
        <v>5.4591095724463941</v>
      </c>
      <c r="K182" s="443">
        <f t="shared" si="27"/>
        <v>0</v>
      </c>
      <c r="L182" s="445">
        <f t="shared" si="28"/>
        <v>18.724906448484063</v>
      </c>
      <c r="M182" s="299">
        <f>L182*D182*VPI!Q182</f>
        <v>3183814.568342194</v>
      </c>
    </row>
    <row r="183" spans="1:13" x14ac:dyDescent="0.25">
      <c r="A183" s="169">
        <f>Données!A183</f>
        <v>5712</v>
      </c>
      <c r="B183" s="27" t="str">
        <f>Données!B183</f>
        <v>Coppet</v>
      </c>
      <c r="C183" s="347">
        <f>VPI!R183</f>
        <v>422782.58779874217</v>
      </c>
      <c r="D183" s="27">
        <f>Données!Z183</f>
        <v>3184</v>
      </c>
      <c r="E183" s="114">
        <f t="shared" si="21"/>
        <v>132.78347606744416</v>
      </c>
      <c r="F183" s="188">
        <f t="shared" si="22"/>
        <v>2.7394550634132813</v>
      </c>
      <c r="G183" s="443">
        <f t="shared" si="23"/>
        <v>84.312713454532442</v>
      </c>
      <c r="H183" s="443">
        <f t="shared" si="24"/>
        <v>74.6185609319501</v>
      </c>
      <c r="I183" s="443">
        <f t="shared" si="25"/>
        <v>60.077332148076579</v>
      </c>
      <c r="J183" s="443">
        <f t="shared" si="26"/>
        <v>35.841950841620729</v>
      </c>
      <c r="K183" s="443">
        <f t="shared" si="27"/>
        <v>0</v>
      </c>
      <c r="L183" s="445">
        <f t="shared" si="28"/>
        <v>33.916327083071231</v>
      </c>
      <c r="M183" s="299">
        <f>L183*D183*VPI!Q183</f>
        <v>5723448.0279224366</v>
      </c>
    </row>
    <row r="184" spans="1:13" x14ac:dyDescent="0.25">
      <c r="A184" s="169">
        <f>Données!A184</f>
        <v>5713</v>
      </c>
      <c r="B184" s="27" t="str">
        <f>Données!B184</f>
        <v>Crans</v>
      </c>
      <c r="C184" s="347">
        <f>VPI!R184</f>
        <v>284269.17355932208</v>
      </c>
      <c r="D184" s="27">
        <f>Données!Z184</f>
        <v>2357</v>
      </c>
      <c r="E184" s="114">
        <f t="shared" si="21"/>
        <v>120.60635280412477</v>
      </c>
      <c r="F184" s="188">
        <f t="shared" si="22"/>
        <v>2.4882289096065815</v>
      </c>
      <c r="G184" s="443">
        <f t="shared" si="23"/>
        <v>72.135590191213055</v>
      </c>
      <c r="H184" s="443">
        <f t="shared" si="24"/>
        <v>62.441437668630712</v>
      </c>
      <c r="I184" s="443">
        <f t="shared" si="25"/>
        <v>47.900208884757191</v>
      </c>
      <c r="J184" s="443">
        <f t="shared" si="26"/>
        <v>23.664827578301342</v>
      </c>
      <c r="K184" s="443">
        <f t="shared" si="27"/>
        <v>0</v>
      </c>
      <c r="L184" s="445">
        <f t="shared" si="28"/>
        <v>27.827765451411537</v>
      </c>
      <c r="M184" s="299">
        <f>L184*D184*VPI!Q184</f>
        <v>3869812.5469696424</v>
      </c>
    </row>
    <row r="185" spans="1:13" x14ac:dyDescent="0.25">
      <c r="A185" s="169">
        <f>Données!A185</f>
        <v>5714</v>
      </c>
      <c r="B185" s="27" t="str">
        <f>Données!B185</f>
        <v>Crassier</v>
      </c>
      <c r="C185" s="347">
        <f>VPI!R185</f>
        <v>62524.655789473691</v>
      </c>
      <c r="D185" s="27">
        <f>Données!Z185</f>
        <v>1233</v>
      </c>
      <c r="E185" s="114">
        <f t="shared" si="21"/>
        <v>50.70937209203057</v>
      </c>
      <c r="F185" s="188">
        <f t="shared" si="22"/>
        <v>1.0461847381481582</v>
      </c>
      <c r="G185" s="443">
        <f t="shared" si="23"/>
        <v>2.2386094791188569</v>
      </c>
      <c r="H185" s="443">
        <f t="shared" si="24"/>
        <v>0</v>
      </c>
      <c r="I185" s="443">
        <f t="shared" si="25"/>
        <v>0</v>
      </c>
      <c r="J185" s="443">
        <f t="shared" si="26"/>
        <v>0</v>
      </c>
      <c r="K185" s="443">
        <f t="shared" si="27"/>
        <v>0</v>
      </c>
      <c r="L185" s="445">
        <f t="shared" si="28"/>
        <v>0.44772189582377142</v>
      </c>
      <c r="M185" s="299">
        <f>L185*D185*VPI!Q185</f>
        <v>36710.732987122225</v>
      </c>
    </row>
    <row r="186" spans="1:13" x14ac:dyDescent="0.25">
      <c r="A186" s="169">
        <f>Données!A186</f>
        <v>5715</v>
      </c>
      <c r="B186" s="27" t="str">
        <f>Données!B186</f>
        <v>Duillier</v>
      </c>
      <c r="C186" s="347">
        <f>VPI!R186</f>
        <v>60550.113787878792</v>
      </c>
      <c r="D186" s="27">
        <f>Données!Z186</f>
        <v>1116</v>
      </c>
      <c r="E186" s="114">
        <f t="shared" si="21"/>
        <v>54.256374361898558</v>
      </c>
      <c r="F186" s="188">
        <f t="shared" si="22"/>
        <v>1.1193629197706427</v>
      </c>
      <c r="G186" s="443">
        <f t="shared" si="23"/>
        <v>5.7856117489868453</v>
      </c>
      <c r="H186" s="443">
        <f t="shared" si="24"/>
        <v>0</v>
      </c>
      <c r="I186" s="443">
        <f t="shared" si="25"/>
        <v>0</v>
      </c>
      <c r="J186" s="443">
        <f t="shared" si="26"/>
        <v>0</v>
      </c>
      <c r="K186" s="443">
        <f t="shared" si="27"/>
        <v>0</v>
      </c>
      <c r="L186" s="445">
        <f t="shared" si="28"/>
        <v>1.1571223497973691</v>
      </c>
      <c r="M186" s="299">
        <f>L186*D186*VPI!Q186</f>
        <v>85229.00379667501</v>
      </c>
    </row>
    <row r="187" spans="1:13" x14ac:dyDescent="0.25">
      <c r="A187" s="169">
        <f>Données!A187</f>
        <v>5716</v>
      </c>
      <c r="B187" s="27" t="str">
        <f>Données!B187</f>
        <v>Eysins</v>
      </c>
      <c r="C187" s="347">
        <f>VPI!R187</f>
        <v>232557.04084033609</v>
      </c>
      <c r="D187" s="27">
        <f>Données!Z187</f>
        <v>1768</v>
      </c>
      <c r="E187" s="114">
        <f t="shared" si="21"/>
        <v>131.53678780561995</v>
      </c>
      <c r="F187" s="188">
        <f t="shared" si="22"/>
        <v>2.7137346456888833</v>
      </c>
      <c r="G187" s="443">
        <f t="shared" si="23"/>
        <v>83.066025192708238</v>
      </c>
      <c r="H187" s="443">
        <f t="shared" si="24"/>
        <v>73.371872670125896</v>
      </c>
      <c r="I187" s="443">
        <f t="shared" si="25"/>
        <v>58.830643886252375</v>
      </c>
      <c r="J187" s="443">
        <f t="shared" si="26"/>
        <v>34.595262579796525</v>
      </c>
      <c r="K187" s="443">
        <f t="shared" si="27"/>
        <v>0</v>
      </c>
      <c r="L187" s="445">
        <f t="shared" si="28"/>
        <v>33.292982952159129</v>
      </c>
      <c r="M187" s="299">
        <f>L187*D187*VPI!Q187</f>
        <v>3502288.6346353316</v>
      </c>
    </row>
    <row r="188" spans="1:13" x14ac:dyDescent="0.25">
      <c r="A188" s="169">
        <f>Données!A188</f>
        <v>5717</v>
      </c>
      <c r="B188" s="27" t="str">
        <f>Données!B188</f>
        <v>Founex</v>
      </c>
      <c r="C188" s="347">
        <f>VPI!R188</f>
        <v>361582.97087719297</v>
      </c>
      <c r="D188" s="27">
        <f>Données!Z188</f>
        <v>3763</v>
      </c>
      <c r="E188" s="114">
        <f t="shared" si="21"/>
        <v>96.089016975071218</v>
      </c>
      <c r="F188" s="188">
        <f t="shared" si="22"/>
        <v>1.9824119076161364</v>
      </c>
      <c r="G188" s="443">
        <f t="shared" si="23"/>
        <v>47.618254362159504</v>
      </c>
      <c r="H188" s="443">
        <f t="shared" si="24"/>
        <v>37.924101839577162</v>
      </c>
      <c r="I188" s="443">
        <f t="shared" si="25"/>
        <v>23.382873055703641</v>
      </c>
      <c r="J188" s="443">
        <f t="shared" si="26"/>
        <v>0</v>
      </c>
      <c r="K188" s="443">
        <f t="shared" si="27"/>
        <v>0</v>
      </c>
      <c r="L188" s="445">
        <f t="shared" si="28"/>
        <v>15.654348361959983</v>
      </c>
      <c r="M188" s="299">
        <f>L188*D188*VPI!Q188</f>
        <v>3357716.8345051585</v>
      </c>
    </row>
    <row r="189" spans="1:13" x14ac:dyDescent="0.25">
      <c r="A189" s="169">
        <f>Données!A189</f>
        <v>5718</v>
      </c>
      <c r="B189" s="27" t="str">
        <f>Données!B189</f>
        <v>Genolier</v>
      </c>
      <c r="C189" s="347">
        <f>VPI!R189</f>
        <v>212699.2265454545</v>
      </c>
      <c r="D189" s="27">
        <f>Données!Z189</f>
        <v>2026</v>
      </c>
      <c r="E189" s="114">
        <f t="shared" si="21"/>
        <v>104.9848107331957</v>
      </c>
      <c r="F189" s="188">
        <f t="shared" si="22"/>
        <v>2.1659409729449912</v>
      </c>
      <c r="G189" s="443">
        <f t="shared" si="23"/>
        <v>56.514048120283988</v>
      </c>
      <c r="H189" s="443">
        <f t="shared" si="24"/>
        <v>46.819895597701645</v>
      </c>
      <c r="I189" s="443">
        <f t="shared" si="25"/>
        <v>32.278666813828124</v>
      </c>
      <c r="J189" s="443">
        <f t="shared" si="26"/>
        <v>8.0432855073722749</v>
      </c>
      <c r="K189" s="443">
        <f t="shared" si="27"/>
        <v>0</v>
      </c>
      <c r="L189" s="445">
        <f t="shared" si="28"/>
        <v>20.016994415947003</v>
      </c>
      <c r="M189" s="299">
        <f>L189*D189*VPI!Q189</f>
        <v>2230493.6877689743</v>
      </c>
    </row>
    <row r="190" spans="1:13" x14ac:dyDescent="0.25">
      <c r="A190" s="169">
        <f>Données!A190</f>
        <v>5719</v>
      </c>
      <c r="B190" s="27" t="str">
        <f>Données!B190</f>
        <v>Gingins</v>
      </c>
      <c r="C190" s="347">
        <f>VPI!R190</f>
        <v>119943.29911111109</v>
      </c>
      <c r="D190" s="27">
        <f>Données!Z190</f>
        <v>1270</v>
      </c>
      <c r="E190" s="114">
        <f t="shared" si="21"/>
        <v>94.443542607174081</v>
      </c>
      <c r="F190" s="188">
        <f t="shared" si="22"/>
        <v>1.9484641362340784</v>
      </c>
      <c r="G190" s="443">
        <f t="shared" si="23"/>
        <v>45.972779994262368</v>
      </c>
      <c r="H190" s="443">
        <f t="shared" si="24"/>
        <v>36.278627471680025</v>
      </c>
      <c r="I190" s="443">
        <f t="shared" si="25"/>
        <v>21.737398687806504</v>
      </c>
      <c r="J190" s="443">
        <f t="shared" si="26"/>
        <v>0</v>
      </c>
      <c r="K190" s="443">
        <f t="shared" si="27"/>
        <v>0</v>
      </c>
      <c r="L190" s="445">
        <f t="shared" si="28"/>
        <v>14.996158614801127</v>
      </c>
      <c r="M190" s="299">
        <f>L190*D190*VPI!Q190</f>
        <v>1142707.2864478459</v>
      </c>
    </row>
    <row r="191" spans="1:13" x14ac:dyDescent="0.25">
      <c r="A191" s="169">
        <f>Données!A191</f>
        <v>5720</v>
      </c>
      <c r="B191" s="27" t="str">
        <f>Données!B191</f>
        <v>Givrins</v>
      </c>
      <c r="C191" s="347">
        <f>VPI!R191</f>
        <v>84868.432139303477</v>
      </c>
      <c r="D191" s="27">
        <f>Données!Z191</f>
        <v>1024</v>
      </c>
      <c r="E191" s="114">
        <f t="shared" si="21"/>
        <v>82.879328261038552</v>
      </c>
      <c r="F191" s="188">
        <f t="shared" si="22"/>
        <v>1.7098829024604831</v>
      </c>
      <c r="G191" s="443">
        <f t="shared" si="23"/>
        <v>34.408565648126839</v>
      </c>
      <c r="H191" s="443">
        <f t="shared" si="24"/>
        <v>24.714413125544496</v>
      </c>
      <c r="I191" s="443">
        <f t="shared" si="25"/>
        <v>10.173184341670975</v>
      </c>
      <c r="J191" s="443">
        <f t="shared" si="26"/>
        <v>0</v>
      </c>
      <c r="K191" s="443">
        <f t="shared" si="27"/>
        <v>0</v>
      </c>
      <c r="L191" s="445">
        <f t="shared" si="28"/>
        <v>10.370472876346916</v>
      </c>
      <c r="M191" s="299">
        <f>L191*D191*VPI!Q191</f>
        <v>711497.4031004092</v>
      </c>
    </row>
    <row r="192" spans="1:13" x14ac:dyDescent="0.25">
      <c r="A192" s="169">
        <f>Données!A192</f>
        <v>5721</v>
      </c>
      <c r="B192" s="27" t="str">
        <f>Données!B192</f>
        <v>Gland</v>
      </c>
      <c r="C192" s="347">
        <f>VPI!R192</f>
        <v>688985.30491803284</v>
      </c>
      <c r="D192" s="27">
        <f>Données!Z192</f>
        <v>13686</v>
      </c>
      <c r="E192" s="114">
        <f t="shared" si="21"/>
        <v>50.342342899169431</v>
      </c>
      <c r="F192" s="188">
        <f t="shared" si="22"/>
        <v>1.0386125611681456</v>
      </c>
      <c r="G192" s="443">
        <f t="shared" si="23"/>
        <v>1.8715802862577178</v>
      </c>
      <c r="H192" s="443">
        <f t="shared" si="24"/>
        <v>0</v>
      </c>
      <c r="I192" s="443">
        <f t="shared" si="25"/>
        <v>0</v>
      </c>
      <c r="J192" s="443">
        <f t="shared" si="26"/>
        <v>0</v>
      </c>
      <c r="K192" s="443">
        <f t="shared" si="27"/>
        <v>0</v>
      </c>
      <c r="L192" s="445">
        <f t="shared" si="28"/>
        <v>0.3743160572515436</v>
      </c>
      <c r="M192" s="299">
        <f>L192*D192*VPI!Q192</f>
        <v>312496.26313222217</v>
      </c>
    </row>
    <row r="193" spans="1:13" x14ac:dyDescent="0.25">
      <c r="A193" s="169">
        <f>Données!A193</f>
        <v>5722</v>
      </c>
      <c r="B193" s="27" t="str">
        <f>Données!B193</f>
        <v>Grens</v>
      </c>
      <c r="C193" s="347">
        <f>VPI!R193</f>
        <v>20912.723225806454</v>
      </c>
      <c r="D193" s="27">
        <f>Données!Z193</f>
        <v>400</v>
      </c>
      <c r="E193" s="114">
        <f t="shared" si="21"/>
        <v>52.281808064516134</v>
      </c>
      <c r="F193" s="188">
        <f t="shared" si="22"/>
        <v>1.0786256548517608</v>
      </c>
      <c r="G193" s="443">
        <f t="shared" si="23"/>
        <v>3.8110454516044214</v>
      </c>
      <c r="H193" s="443">
        <f t="shared" si="24"/>
        <v>0</v>
      </c>
      <c r="I193" s="443">
        <f t="shared" si="25"/>
        <v>0</v>
      </c>
      <c r="J193" s="443">
        <f t="shared" si="26"/>
        <v>0</v>
      </c>
      <c r="K193" s="443">
        <f t="shared" si="27"/>
        <v>0</v>
      </c>
      <c r="L193" s="445">
        <f t="shared" si="28"/>
        <v>0.76220909032088435</v>
      </c>
      <c r="M193" s="299">
        <f>L193*D193*VPI!Q193</f>
        <v>18902.78543995793</v>
      </c>
    </row>
    <row r="194" spans="1:13" x14ac:dyDescent="0.25">
      <c r="A194" s="169">
        <f>Données!A194</f>
        <v>5723</v>
      </c>
      <c r="B194" s="27" t="str">
        <f>Données!B194</f>
        <v>Mies</v>
      </c>
      <c r="C194" s="347">
        <f>VPI!R194</f>
        <v>253771.19326923077</v>
      </c>
      <c r="D194" s="27">
        <f>Données!Z194</f>
        <v>2226</v>
      </c>
      <c r="E194" s="114">
        <f t="shared" si="21"/>
        <v>114.00323147764186</v>
      </c>
      <c r="F194" s="188">
        <f t="shared" si="22"/>
        <v>2.3519999548609025</v>
      </c>
      <c r="G194" s="443">
        <f t="shared" si="23"/>
        <v>65.532468864730149</v>
      </c>
      <c r="H194" s="443">
        <f t="shared" si="24"/>
        <v>55.838316342147806</v>
      </c>
      <c r="I194" s="443">
        <f t="shared" si="25"/>
        <v>41.297087558274285</v>
      </c>
      <c r="J194" s="443">
        <f t="shared" si="26"/>
        <v>17.061706251818435</v>
      </c>
      <c r="K194" s="443">
        <f t="shared" si="27"/>
        <v>0</v>
      </c>
      <c r="L194" s="445">
        <f t="shared" si="28"/>
        <v>24.526204788170084</v>
      </c>
      <c r="M194" s="299">
        <f>L194*D194*VPI!Q194</f>
        <v>2838957.2566402634</v>
      </c>
    </row>
    <row r="195" spans="1:13" x14ac:dyDescent="0.25">
      <c r="A195" s="169">
        <f>Données!A195</f>
        <v>5724</v>
      </c>
      <c r="B195" s="27" t="str">
        <f>Données!B195</f>
        <v>Nyon</v>
      </c>
      <c r="C195" s="347">
        <f>VPI!R195</f>
        <v>1520148.6004918031</v>
      </c>
      <c r="D195" s="27">
        <f>Données!Z195</f>
        <v>22461</v>
      </c>
      <c r="E195" s="114">
        <f t="shared" si="21"/>
        <v>67.679471105106771</v>
      </c>
      <c r="F195" s="188">
        <f t="shared" si="22"/>
        <v>1.3962947446401062</v>
      </c>
      <c r="G195" s="443">
        <f t="shared" si="23"/>
        <v>19.208708492195058</v>
      </c>
      <c r="H195" s="443">
        <f t="shared" si="24"/>
        <v>9.5145559696127151</v>
      </c>
      <c r="I195" s="443">
        <f t="shared" si="25"/>
        <v>0</v>
      </c>
      <c r="J195" s="443">
        <f t="shared" si="26"/>
        <v>0</v>
      </c>
      <c r="K195" s="443">
        <f t="shared" si="27"/>
        <v>0</v>
      </c>
      <c r="L195" s="445">
        <f t="shared" si="28"/>
        <v>4.7931972954002831</v>
      </c>
      <c r="M195" s="299">
        <f>L195*D195*VPI!Q195</f>
        <v>6567260.2715711314</v>
      </c>
    </row>
    <row r="196" spans="1:13" x14ac:dyDescent="0.25">
      <c r="A196" s="169">
        <f>Données!A196</f>
        <v>5725</v>
      </c>
      <c r="B196" s="27" t="str">
        <f>Données!B196</f>
        <v>Prangins</v>
      </c>
      <c r="C196" s="347">
        <f>VPI!R196</f>
        <v>388958.996077922</v>
      </c>
      <c r="D196" s="27">
        <f>Données!Z196</f>
        <v>4277</v>
      </c>
      <c r="E196" s="114">
        <f t="shared" si="21"/>
        <v>90.942014514361006</v>
      </c>
      <c r="F196" s="188">
        <f t="shared" si="22"/>
        <v>1.8762241320737079</v>
      </c>
      <c r="G196" s="443">
        <f t="shared" si="23"/>
        <v>42.471251901449293</v>
      </c>
      <c r="H196" s="443">
        <f t="shared" si="24"/>
        <v>32.77709937886695</v>
      </c>
      <c r="I196" s="443">
        <f t="shared" si="25"/>
        <v>18.235870594993429</v>
      </c>
      <c r="J196" s="443">
        <f t="shared" si="26"/>
        <v>0</v>
      </c>
      <c r="K196" s="443">
        <f t="shared" si="27"/>
        <v>0</v>
      </c>
      <c r="L196" s="445">
        <f t="shared" si="28"/>
        <v>13.595547377675897</v>
      </c>
      <c r="M196" s="299">
        <f>L196*D196*VPI!Q196</f>
        <v>3198148.5873875897</v>
      </c>
    </row>
    <row r="197" spans="1:13" x14ac:dyDescent="0.25">
      <c r="A197" s="169">
        <f>Données!A197</f>
        <v>5726</v>
      </c>
      <c r="B197" s="27" t="str">
        <f>Données!B197</f>
        <v>La Rippe</v>
      </c>
      <c r="C197" s="347">
        <f>VPI!R197</f>
        <v>69785.913125000021</v>
      </c>
      <c r="D197" s="27">
        <f>Données!Z197</f>
        <v>1197</v>
      </c>
      <c r="E197" s="114">
        <f t="shared" si="21"/>
        <v>58.300679302422743</v>
      </c>
      <c r="F197" s="188">
        <f t="shared" si="22"/>
        <v>1.20280094967791</v>
      </c>
      <c r="G197" s="443">
        <f t="shared" si="23"/>
        <v>9.8299166895110304</v>
      </c>
      <c r="H197" s="443">
        <f t="shared" si="24"/>
        <v>0.13576416692868776</v>
      </c>
      <c r="I197" s="443">
        <f t="shared" si="25"/>
        <v>0</v>
      </c>
      <c r="J197" s="443">
        <f t="shared" si="26"/>
        <v>0</v>
      </c>
      <c r="K197" s="443">
        <f t="shared" si="27"/>
        <v>0</v>
      </c>
      <c r="L197" s="445">
        <f t="shared" si="28"/>
        <v>1.9795597545950749</v>
      </c>
      <c r="M197" s="299">
        <f>L197*D197*VPI!Q197</f>
        <v>151650.11368001951</v>
      </c>
    </row>
    <row r="198" spans="1:13" x14ac:dyDescent="0.25">
      <c r="A198" s="169">
        <f>Données!A198</f>
        <v>5727</v>
      </c>
      <c r="B198" s="27" t="str">
        <f>Données!B198</f>
        <v>Saint-Cergue</v>
      </c>
      <c r="C198" s="347">
        <f>VPI!R198</f>
        <v>107048.1634848485</v>
      </c>
      <c r="D198" s="27">
        <f>Données!Z198</f>
        <v>2786</v>
      </c>
      <c r="E198" s="114">
        <f t="shared" si="21"/>
        <v>38.423604983793432</v>
      </c>
      <c r="F198" s="188">
        <f t="shared" si="22"/>
        <v>0.79271715385716035</v>
      </c>
      <c r="G198" s="443">
        <f t="shared" si="23"/>
        <v>0</v>
      </c>
      <c r="H198" s="443">
        <f t="shared" si="24"/>
        <v>0</v>
      </c>
      <c r="I198" s="443">
        <f t="shared" si="25"/>
        <v>0</v>
      </c>
      <c r="J198" s="443">
        <f t="shared" si="26"/>
        <v>0</v>
      </c>
      <c r="K198" s="443">
        <f t="shared" si="27"/>
        <v>0</v>
      </c>
      <c r="L198" s="445">
        <f t="shared" si="28"/>
        <v>0</v>
      </c>
      <c r="M198" s="299">
        <f>L198*D198*VPI!Q198</f>
        <v>0</v>
      </c>
    </row>
    <row r="199" spans="1:13" x14ac:dyDescent="0.25">
      <c r="A199" s="169">
        <f>Données!A199</f>
        <v>5728</v>
      </c>
      <c r="B199" s="27" t="str">
        <f>Données!B199</f>
        <v>Signy-Avenex</v>
      </c>
      <c r="C199" s="347">
        <f>VPI!R199</f>
        <v>66000.760172413793</v>
      </c>
      <c r="D199" s="27">
        <f>Données!Z199</f>
        <v>583</v>
      </c>
      <c r="E199" s="114">
        <f t="shared" ref="E199:E262" si="29">C199/D199</f>
        <v>113.20885106760514</v>
      </c>
      <c r="F199" s="188">
        <f t="shared" ref="F199:F262" si="30">E199/$E$306</f>
        <v>2.3356110975949118</v>
      </c>
      <c r="G199" s="443">
        <f t="shared" ref="G199:G262" si="31">IF(E199-$G$3&lt;0,0,E199-$G$3)</f>
        <v>64.738088454693425</v>
      </c>
      <c r="H199" s="443">
        <f t="shared" ref="H199:H262" si="32">IF(E199-$H$3&lt;0,0,E199-$H$3)</f>
        <v>55.043935932111083</v>
      </c>
      <c r="I199" s="443">
        <f t="shared" ref="I199:I262" si="33">IF(E199-$I$3&lt;0,0,E199-$I$3)</f>
        <v>40.502707148237562</v>
      </c>
      <c r="J199" s="443">
        <f t="shared" ref="J199:J262" si="34">IF(E199-$J$3&lt;0,0,E199-$J$3)</f>
        <v>16.267325841781712</v>
      </c>
      <c r="K199" s="443">
        <f t="shared" ref="K199:K262" si="35">IF(E199-$K$3&lt;0,0,E199-$K$3)</f>
        <v>0</v>
      </c>
      <c r="L199" s="445">
        <f t="shared" ref="L199:L262" si="36">(G199-H199)*$G$4+(H199-I199)*$H$4+(I199-J199)*$I$4+(J199-K199)*$J$4+(K199*$K$4)</f>
        <v>24.129014583151722</v>
      </c>
      <c r="M199" s="299">
        <f>L199*D199*VPI!Q199</f>
        <v>815898.49911469233</v>
      </c>
    </row>
    <row r="200" spans="1:13" x14ac:dyDescent="0.25">
      <c r="A200" s="169">
        <f>Données!A200</f>
        <v>5729</v>
      </c>
      <c r="B200" s="27" t="str">
        <f>Données!B200</f>
        <v>Tannay</v>
      </c>
      <c r="C200" s="347">
        <f>VPI!R200</f>
        <v>189085.86771349865</v>
      </c>
      <c r="D200" s="27">
        <f>Données!Z200</f>
        <v>1720</v>
      </c>
      <c r="E200" s="114">
        <f t="shared" si="29"/>
        <v>109.93364401947596</v>
      </c>
      <c r="F200" s="188">
        <f t="shared" si="30"/>
        <v>2.2680403214904583</v>
      </c>
      <c r="G200" s="443">
        <f t="shared" si="31"/>
        <v>61.46288140656425</v>
      </c>
      <c r="H200" s="443">
        <f t="shared" si="32"/>
        <v>51.768728883981908</v>
      </c>
      <c r="I200" s="443">
        <f t="shared" si="33"/>
        <v>37.227500100108387</v>
      </c>
      <c r="J200" s="443">
        <f t="shared" si="34"/>
        <v>12.992118793652537</v>
      </c>
      <c r="K200" s="443">
        <f t="shared" si="35"/>
        <v>0</v>
      </c>
      <c r="L200" s="445">
        <f t="shared" si="36"/>
        <v>22.491411059087135</v>
      </c>
      <c r="M200" s="299">
        <f>L200*D200*VPI!Q200</f>
        <v>2340456.234808607</v>
      </c>
    </row>
    <row r="201" spans="1:13" x14ac:dyDescent="0.25">
      <c r="A201" s="169">
        <f>Données!A201</f>
        <v>5730</v>
      </c>
      <c r="B201" s="27" t="str">
        <f>Données!B201</f>
        <v>Trélex</v>
      </c>
      <c r="C201" s="347">
        <f>VPI!R201</f>
        <v>121414.34176176177</v>
      </c>
      <c r="D201" s="27">
        <f>Données!Z201</f>
        <v>1427</v>
      </c>
      <c r="E201" s="114">
        <f t="shared" si="29"/>
        <v>85.083631227583581</v>
      </c>
      <c r="F201" s="188">
        <f t="shared" si="30"/>
        <v>1.7553598631625176</v>
      </c>
      <c r="G201" s="443">
        <f t="shared" si="31"/>
        <v>36.612868614671868</v>
      </c>
      <c r="H201" s="443">
        <f t="shared" si="32"/>
        <v>26.918716092089525</v>
      </c>
      <c r="I201" s="443">
        <f t="shared" si="33"/>
        <v>12.377487308216004</v>
      </c>
      <c r="J201" s="443">
        <f t="shared" si="34"/>
        <v>0</v>
      </c>
      <c r="K201" s="443">
        <f t="shared" si="35"/>
        <v>0</v>
      </c>
      <c r="L201" s="445">
        <f t="shared" si="36"/>
        <v>11.252194062964927</v>
      </c>
      <c r="M201" s="299">
        <f>L201*D201*VPI!Q201</f>
        <v>891156.89149572782</v>
      </c>
    </row>
    <row r="202" spans="1:13" x14ac:dyDescent="0.25">
      <c r="A202" s="169">
        <f>Données!A202</f>
        <v>5731</v>
      </c>
      <c r="B202" s="27" t="str">
        <f>Données!B202</f>
        <v>Le Vaud</v>
      </c>
      <c r="C202" s="347">
        <f>VPI!R202</f>
        <v>69610.558648648643</v>
      </c>
      <c r="D202" s="27">
        <f>Données!Z202</f>
        <v>1411</v>
      </c>
      <c r="E202" s="114">
        <f t="shared" si="29"/>
        <v>49.334201735399461</v>
      </c>
      <c r="F202" s="188">
        <f t="shared" si="30"/>
        <v>1.0178136071302031</v>
      </c>
      <c r="G202" s="443">
        <f t="shared" si="31"/>
        <v>0.86343912248774757</v>
      </c>
      <c r="H202" s="443">
        <f t="shared" si="32"/>
        <v>0</v>
      </c>
      <c r="I202" s="443">
        <f t="shared" si="33"/>
        <v>0</v>
      </c>
      <c r="J202" s="443">
        <f t="shared" si="34"/>
        <v>0</v>
      </c>
      <c r="K202" s="443">
        <f t="shared" si="35"/>
        <v>0</v>
      </c>
      <c r="L202" s="445">
        <f t="shared" si="36"/>
        <v>0.17268782449754952</v>
      </c>
      <c r="M202" s="299">
        <f>L202*D202*VPI!Q202</f>
        <v>18031.026507087136</v>
      </c>
    </row>
    <row r="203" spans="1:13" x14ac:dyDescent="0.25">
      <c r="A203" s="169">
        <f>Données!A203</f>
        <v>5732</v>
      </c>
      <c r="B203" s="27" t="str">
        <f>Données!B203</f>
        <v>Vich</v>
      </c>
      <c r="C203" s="347">
        <f>VPI!R203</f>
        <v>79861.73920634923</v>
      </c>
      <c r="D203" s="27">
        <f>Données!Z203</f>
        <v>1160</v>
      </c>
      <c r="E203" s="114">
        <f t="shared" si="29"/>
        <v>68.846326902025197</v>
      </c>
      <c r="F203" s="188">
        <f t="shared" si="30"/>
        <v>1.4203681392808498</v>
      </c>
      <c r="G203" s="443">
        <f t="shared" si="31"/>
        <v>20.375564289113484</v>
      </c>
      <c r="H203" s="443">
        <f t="shared" si="32"/>
        <v>10.681411766531141</v>
      </c>
      <c r="I203" s="443">
        <f t="shared" si="33"/>
        <v>0</v>
      </c>
      <c r="J203" s="443">
        <f t="shared" si="34"/>
        <v>0</v>
      </c>
      <c r="K203" s="443">
        <f t="shared" si="35"/>
        <v>0</v>
      </c>
      <c r="L203" s="445">
        <f t="shared" si="36"/>
        <v>5.1432540344758113</v>
      </c>
      <c r="M203" s="299">
        <f>L203*D203*VPI!Q203</f>
        <v>375869.00483949226</v>
      </c>
    </row>
    <row r="204" spans="1:13" x14ac:dyDescent="0.25">
      <c r="A204" s="169">
        <f>Données!A204</f>
        <v>5741</v>
      </c>
      <c r="B204" s="27" t="str">
        <f>Données!B204</f>
        <v>L'Abergement</v>
      </c>
      <c r="C204" s="347">
        <f>VPI!R204</f>
        <v>10833.904395833331</v>
      </c>
      <c r="D204" s="27">
        <f>Données!Z204</f>
        <v>260</v>
      </c>
      <c r="E204" s="114">
        <f t="shared" si="29"/>
        <v>41.668863060897429</v>
      </c>
      <c r="F204" s="188">
        <f t="shared" si="30"/>
        <v>0.85967005292789878</v>
      </c>
      <c r="G204" s="443">
        <f t="shared" si="31"/>
        <v>0</v>
      </c>
      <c r="H204" s="443">
        <f t="shared" si="32"/>
        <v>0</v>
      </c>
      <c r="I204" s="443">
        <f t="shared" si="33"/>
        <v>0</v>
      </c>
      <c r="J204" s="443">
        <f t="shared" si="34"/>
        <v>0</v>
      </c>
      <c r="K204" s="443">
        <f t="shared" si="35"/>
        <v>0</v>
      </c>
      <c r="L204" s="445">
        <f t="shared" si="36"/>
        <v>0</v>
      </c>
      <c r="M204" s="299">
        <f>L204*D204*VPI!Q204</f>
        <v>0</v>
      </c>
    </row>
    <row r="205" spans="1:13" x14ac:dyDescent="0.25">
      <c r="A205" s="169">
        <f>Données!A205</f>
        <v>5742</v>
      </c>
      <c r="B205" s="27" t="str">
        <f>Données!B205</f>
        <v>Agiez</v>
      </c>
      <c r="C205" s="347">
        <f>VPI!R205</f>
        <v>9049.0364473684222</v>
      </c>
      <c r="D205" s="27">
        <f>Données!Z205</f>
        <v>381</v>
      </c>
      <c r="E205" s="114">
        <f t="shared" si="29"/>
        <v>23.750751830363313</v>
      </c>
      <c r="F205" s="188">
        <f t="shared" si="30"/>
        <v>0.49000161231291528</v>
      </c>
      <c r="G205" s="443">
        <f t="shared" si="31"/>
        <v>0</v>
      </c>
      <c r="H205" s="443">
        <f t="shared" si="32"/>
        <v>0</v>
      </c>
      <c r="I205" s="443">
        <f t="shared" si="33"/>
        <v>0</v>
      </c>
      <c r="J205" s="443">
        <f t="shared" si="34"/>
        <v>0</v>
      </c>
      <c r="K205" s="443">
        <f t="shared" si="35"/>
        <v>0</v>
      </c>
      <c r="L205" s="445">
        <f t="shared" si="36"/>
        <v>0</v>
      </c>
      <c r="M205" s="299">
        <f>L205*D205*VPI!Q205</f>
        <v>0</v>
      </c>
    </row>
    <row r="206" spans="1:13" x14ac:dyDescent="0.25">
      <c r="A206" s="169">
        <f>Données!A206</f>
        <v>5743</v>
      </c>
      <c r="B206" s="27" t="str">
        <f>Données!B206</f>
        <v>Arnex-sur-Orbe</v>
      </c>
      <c r="C206" s="347">
        <f>VPI!R206</f>
        <v>19423.544507042254</v>
      </c>
      <c r="D206" s="27">
        <f>Données!Z206</f>
        <v>692</v>
      </c>
      <c r="E206" s="114">
        <f t="shared" si="29"/>
        <v>28.06870593503216</v>
      </c>
      <c r="F206" s="188">
        <f t="shared" si="30"/>
        <v>0.57908529641238149</v>
      </c>
      <c r="G206" s="443">
        <f t="shared" si="31"/>
        <v>0</v>
      </c>
      <c r="H206" s="443">
        <f t="shared" si="32"/>
        <v>0</v>
      </c>
      <c r="I206" s="443">
        <f t="shared" si="33"/>
        <v>0</v>
      </c>
      <c r="J206" s="443">
        <f t="shared" si="34"/>
        <v>0</v>
      </c>
      <c r="K206" s="443">
        <f t="shared" si="35"/>
        <v>0</v>
      </c>
      <c r="L206" s="445">
        <f t="shared" si="36"/>
        <v>0</v>
      </c>
      <c r="M206" s="299">
        <f>L206*D206*VPI!Q206</f>
        <v>0</v>
      </c>
    </row>
    <row r="207" spans="1:13" x14ac:dyDescent="0.25">
      <c r="A207" s="169">
        <f>Données!A207</f>
        <v>5744</v>
      </c>
      <c r="B207" s="27" t="str">
        <f>Données!B207</f>
        <v>Ballaigues</v>
      </c>
      <c r="C207" s="347">
        <f>VPI!R207</f>
        <v>54105.101538461538</v>
      </c>
      <c r="D207" s="27">
        <f>Données!Z207</f>
        <v>1152</v>
      </c>
      <c r="E207" s="114">
        <f t="shared" si="29"/>
        <v>46.966233974358971</v>
      </c>
      <c r="F207" s="188">
        <f t="shared" si="30"/>
        <v>0.9689600790776095</v>
      </c>
      <c r="G207" s="443">
        <f t="shared" si="31"/>
        <v>0</v>
      </c>
      <c r="H207" s="443">
        <f t="shared" si="32"/>
        <v>0</v>
      </c>
      <c r="I207" s="443">
        <f t="shared" si="33"/>
        <v>0</v>
      </c>
      <c r="J207" s="443">
        <f t="shared" si="34"/>
        <v>0</v>
      </c>
      <c r="K207" s="443">
        <f t="shared" si="35"/>
        <v>0</v>
      </c>
      <c r="L207" s="445">
        <f t="shared" si="36"/>
        <v>0</v>
      </c>
      <c r="M207" s="299">
        <f>L207*D207*VPI!Q207</f>
        <v>0</v>
      </c>
    </row>
    <row r="208" spans="1:13" x14ac:dyDescent="0.25">
      <c r="A208" s="169">
        <f>Données!A208</f>
        <v>5745</v>
      </c>
      <c r="B208" s="27" t="str">
        <f>Données!B208</f>
        <v>Baulmes</v>
      </c>
      <c r="C208" s="347">
        <f>VPI!R208</f>
        <v>27705.104967320265</v>
      </c>
      <c r="D208" s="27">
        <f>Données!Z208</f>
        <v>1132</v>
      </c>
      <c r="E208" s="114">
        <f t="shared" si="29"/>
        <v>24.474474352756417</v>
      </c>
      <c r="F208" s="188">
        <f t="shared" si="30"/>
        <v>0.50493272714130699</v>
      </c>
      <c r="G208" s="443">
        <f t="shared" si="31"/>
        <v>0</v>
      </c>
      <c r="H208" s="443">
        <f t="shared" si="32"/>
        <v>0</v>
      </c>
      <c r="I208" s="443">
        <f t="shared" si="33"/>
        <v>0</v>
      </c>
      <c r="J208" s="443">
        <f t="shared" si="34"/>
        <v>0</v>
      </c>
      <c r="K208" s="443">
        <f t="shared" si="35"/>
        <v>0</v>
      </c>
      <c r="L208" s="445">
        <f t="shared" si="36"/>
        <v>0</v>
      </c>
      <c r="M208" s="299">
        <f>L208*D208*VPI!Q208</f>
        <v>0</v>
      </c>
    </row>
    <row r="209" spans="1:13" x14ac:dyDescent="0.25">
      <c r="A209" s="169">
        <f>Données!A209</f>
        <v>5746</v>
      </c>
      <c r="B209" s="27" t="str">
        <f>Données!B209</f>
        <v>Bavois</v>
      </c>
      <c r="C209" s="347">
        <f>VPI!R209</f>
        <v>29513.59275462963</v>
      </c>
      <c r="D209" s="27">
        <f>Données!Z209</f>
        <v>1009</v>
      </c>
      <c r="E209" s="114">
        <f t="shared" si="29"/>
        <v>29.25033969735345</v>
      </c>
      <c r="F209" s="188">
        <f t="shared" si="30"/>
        <v>0.6034635751648294</v>
      </c>
      <c r="G209" s="443">
        <f t="shared" si="31"/>
        <v>0</v>
      </c>
      <c r="H209" s="443">
        <f t="shared" si="32"/>
        <v>0</v>
      </c>
      <c r="I209" s="443">
        <f t="shared" si="33"/>
        <v>0</v>
      </c>
      <c r="J209" s="443">
        <f t="shared" si="34"/>
        <v>0</v>
      </c>
      <c r="K209" s="443">
        <f t="shared" si="35"/>
        <v>0</v>
      </c>
      <c r="L209" s="445">
        <f t="shared" si="36"/>
        <v>0</v>
      </c>
      <c r="M209" s="299">
        <f>L209*D209*VPI!Q209</f>
        <v>0</v>
      </c>
    </row>
    <row r="210" spans="1:13" x14ac:dyDescent="0.25">
      <c r="A210" s="169">
        <f>Données!A210</f>
        <v>5747</v>
      </c>
      <c r="B210" s="27" t="str">
        <f>Données!B210</f>
        <v>Bofflens</v>
      </c>
      <c r="C210" s="347">
        <f>VPI!R210</f>
        <v>5778.0378260869547</v>
      </c>
      <c r="D210" s="27">
        <f>Données!Z210</f>
        <v>204</v>
      </c>
      <c r="E210" s="114">
        <f t="shared" si="29"/>
        <v>28.323714833759581</v>
      </c>
      <c r="F210" s="188">
        <f t="shared" si="30"/>
        <v>0.58434638340546075</v>
      </c>
      <c r="G210" s="443">
        <f t="shared" si="31"/>
        <v>0</v>
      </c>
      <c r="H210" s="443">
        <f t="shared" si="32"/>
        <v>0</v>
      </c>
      <c r="I210" s="443">
        <f t="shared" si="33"/>
        <v>0</v>
      </c>
      <c r="J210" s="443">
        <f t="shared" si="34"/>
        <v>0</v>
      </c>
      <c r="K210" s="443">
        <f t="shared" si="35"/>
        <v>0</v>
      </c>
      <c r="L210" s="445">
        <f t="shared" si="36"/>
        <v>0</v>
      </c>
      <c r="M210" s="299">
        <f>L210*D210*VPI!Q210</f>
        <v>0</v>
      </c>
    </row>
    <row r="211" spans="1:13" x14ac:dyDescent="0.25">
      <c r="A211" s="169">
        <f>Données!A211</f>
        <v>5748</v>
      </c>
      <c r="B211" s="27" t="str">
        <f>Données!B211</f>
        <v>Bretonnières</v>
      </c>
      <c r="C211" s="347">
        <f>VPI!R211</f>
        <v>6762.4759338061467</v>
      </c>
      <c r="D211" s="27">
        <f>Données!Z211</f>
        <v>264</v>
      </c>
      <c r="E211" s="114">
        <f t="shared" si="29"/>
        <v>25.615439143205101</v>
      </c>
      <c r="F211" s="188">
        <f t="shared" si="30"/>
        <v>0.52847196458967249</v>
      </c>
      <c r="G211" s="443">
        <f t="shared" si="31"/>
        <v>0</v>
      </c>
      <c r="H211" s="443">
        <f t="shared" si="32"/>
        <v>0</v>
      </c>
      <c r="I211" s="443">
        <f t="shared" si="33"/>
        <v>0</v>
      </c>
      <c r="J211" s="443">
        <f t="shared" si="34"/>
        <v>0</v>
      </c>
      <c r="K211" s="443">
        <f t="shared" si="35"/>
        <v>0</v>
      </c>
      <c r="L211" s="445">
        <f t="shared" si="36"/>
        <v>0</v>
      </c>
      <c r="M211" s="299">
        <f>L211*D211*VPI!Q211</f>
        <v>0</v>
      </c>
    </row>
    <row r="212" spans="1:13" x14ac:dyDescent="0.25">
      <c r="A212" s="169">
        <f>Données!A212</f>
        <v>5749</v>
      </c>
      <c r="B212" s="27" t="str">
        <f>Données!B212</f>
        <v>Chavornay</v>
      </c>
      <c r="C212" s="347">
        <f>VPI!R212</f>
        <v>144692.07858156026</v>
      </c>
      <c r="D212" s="27">
        <f>Données!Z212</f>
        <v>5405</v>
      </c>
      <c r="E212" s="114">
        <f t="shared" si="29"/>
        <v>26.770042290760454</v>
      </c>
      <c r="F212" s="188">
        <f t="shared" si="30"/>
        <v>0.55229257489811834</v>
      </c>
      <c r="G212" s="443">
        <f t="shared" si="31"/>
        <v>0</v>
      </c>
      <c r="H212" s="443">
        <f t="shared" si="32"/>
        <v>0</v>
      </c>
      <c r="I212" s="443">
        <f t="shared" si="33"/>
        <v>0</v>
      </c>
      <c r="J212" s="443">
        <f t="shared" si="34"/>
        <v>0</v>
      </c>
      <c r="K212" s="443">
        <f t="shared" si="35"/>
        <v>0</v>
      </c>
      <c r="L212" s="445">
        <f t="shared" si="36"/>
        <v>0</v>
      </c>
      <c r="M212" s="299">
        <f>L212*D212*VPI!Q212</f>
        <v>0</v>
      </c>
    </row>
    <row r="213" spans="1:13" x14ac:dyDescent="0.25">
      <c r="A213" s="169">
        <f>Données!A213</f>
        <v>5750</v>
      </c>
      <c r="B213" s="27" t="str">
        <f>Données!B213</f>
        <v>Les Clées</v>
      </c>
      <c r="C213" s="347">
        <f>VPI!R213</f>
        <v>5460.4465833333343</v>
      </c>
      <c r="D213" s="27">
        <f>Données!Z213</f>
        <v>186</v>
      </c>
      <c r="E213" s="114">
        <f t="shared" si="29"/>
        <v>29.357239695340507</v>
      </c>
      <c r="F213" s="188">
        <f t="shared" si="30"/>
        <v>0.60566902835401815</v>
      </c>
      <c r="G213" s="443">
        <f t="shared" si="31"/>
        <v>0</v>
      </c>
      <c r="H213" s="443">
        <f t="shared" si="32"/>
        <v>0</v>
      </c>
      <c r="I213" s="443">
        <f t="shared" si="33"/>
        <v>0</v>
      </c>
      <c r="J213" s="443">
        <f t="shared" si="34"/>
        <v>0</v>
      </c>
      <c r="K213" s="443">
        <f t="shared" si="35"/>
        <v>0</v>
      </c>
      <c r="L213" s="445">
        <f t="shared" si="36"/>
        <v>0</v>
      </c>
      <c r="M213" s="299">
        <f>L213*D213*VPI!Q213</f>
        <v>0</v>
      </c>
    </row>
    <row r="214" spans="1:13" x14ac:dyDescent="0.25">
      <c r="A214" s="169">
        <f>Données!A214</f>
        <v>5752</v>
      </c>
      <c r="B214" s="27" t="str">
        <f>Données!B214</f>
        <v>Croy</v>
      </c>
      <c r="C214" s="347">
        <f>VPI!R214</f>
        <v>10204.254034749034</v>
      </c>
      <c r="D214" s="27">
        <f>Données!Z214</f>
        <v>386</v>
      </c>
      <c r="E214" s="114">
        <f t="shared" si="29"/>
        <v>26.435891281733248</v>
      </c>
      <c r="F214" s="188">
        <f t="shared" si="30"/>
        <v>0.54539870752293917</v>
      </c>
      <c r="G214" s="443">
        <f t="shared" si="31"/>
        <v>0</v>
      </c>
      <c r="H214" s="443">
        <f t="shared" si="32"/>
        <v>0</v>
      </c>
      <c r="I214" s="443">
        <f t="shared" si="33"/>
        <v>0</v>
      </c>
      <c r="J214" s="443">
        <f t="shared" si="34"/>
        <v>0</v>
      </c>
      <c r="K214" s="443">
        <f t="shared" si="35"/>
        <v>0</v>
      </c>
      <c r="L214" s="445">
        <f t="shared" si="36"/>
        <v>0</v>
      </c>
      <c r="M214" s="299">
        <f>L214*D214*VPI!Q214</f>
        <v>0</v>
      </c>
    </row>
    <row r="215" spans="1:13" x14ac:dyDescent="0.25">
      <c r="A215" s="169">
        <f>Données!A215</f>
        <v>5754</v>
      </c>
      <c r="B215" s="27" t="str">
        <f>Données!B215</f>
        <v>Juriens</v>
      </c>
      <c r="C215" s="347">
        <f>VPI!R215</f>
        <v>8633.2483544303759</v>
      </c>
      <c r="D215" s="27">
        <f>Données!Z215</f>
        <v>346</v>
      </c>
      <c r="E215" s="114">
        <f t="shared" si="29"/>
        <v>24.951584839394151</v>
      </c>
      <c r="F215" s="188">
        <f t="shared" si="30"/>
        <v>0.51477599060402468</v>
      </c>
      <c r="G215" s="443">
        <f t="shared" si="31"/>
        <v>0</v>
      </c>
      <c r="H215" s="443">
        <f t="shared" si="32"/>
        <v>0</v>
      </c>
      <c r="I215" s="443">
        <f t="shared" si="33"/>
        <v>0</v>
      </c>
      <c r="J215" s="443">
        <f t="shared" si="34"/>
        <v>0</v>
      </c>
      <c r="K215" s="443">
        <f t="shared" si="35"/>
        <v>0</v>
      </c>
      <c r="L215" s="445">
        <f t="shared" si="36"/>
        <v>0</v>
      </c>
      <c r="M215" s="299">
        <f>L215*D215*VPI!Q215</f>
        <v>0</v>
      </c>
    </row>
    <row r="216" spans="1:13" x14ac:dyDescent="0.25">
      <c r="A216" s="169">
        <f>Données!A216</f>
        <v>5755</v>
      </c>
      <c r="B216" s="27" t="str">
        <f>Données!B216</f>
        <v>Lignerolle</v>
      </c>
      <c r="C216" s="347">
        <f>VPI!R216</f>
        <v>10920.942602365787</v>
      </c>
      <c r="D216" s="27">
        <f>Données!Z216</f>
        <v>447</v>
      </c>
      <c r="E216" s="114">
        <f t="shared" si="29"/>
        <v>24.431638931467084</v>
      </c>
      <c r="F216" s="188">
        <f t="shared" si="30"/>
        <v>0.50404898983287194</v>
      </c>
      <c r="G216" s="443">
        <f t="shared" si="31"/>
        <v>0</v>
      </c>
      <c r="H216" s="443">
        <f t="shared" si="32"/>
        <v>0</v>
      </c>
      <c r="I216" s="443">
        <f t="shared" si="33"/>
        <v>0</v>
      </c>
      <c r="J216" s="443">
        <f t="shared" si="34"/>
        <v>0</v>
      </c>
      <c r="K216" s="443">
        <f t="shared" si="35"/>
        <v>0</v>
      </c>
      <c r="L216" s="445">
        <f t="shared" si="36"/>
        <v>0</v>
      </c>
      <c r="M216" s="299">
        <f>L216*D216*VPI!Q216</f>
        <v>0</v>
      </c>
    </row>
    <row r="217" spans="1:13" x14ac:dyDescent="0.25">
      <c r="A217" s="169">
        <f>Données!A217</f>
        <v>5756</v>
      </c>
      <c r="B217" s="27" t="str">
        <f>Données!B217</f>
        <v>Montcherand</v>
      </c>
      <c r="C217" s="347">
        <f>VPI!R217</f>
        <v>17503.400416666664</v>
      </c>
      <c r="D217" s="27">
        <f>Données!Z217</f>
        <v>496</v>
      </c>
      <c r="E217" s="114">
        <f t="shared" si="29"/>
        <v>35.289113743279565</v>
      </c>
      <c r="F217" s="188">
        <f t="shared" si="30"/>
        <v>0.72804948469862119</v>
      </c>
      <c r="G217" s="443">
        <f t="shared" si="31"/>
        <v>0</v>
      </c>
      <c r="H217" s="443">
        <f t="shared" si="32"/>
        <v>0</v>
      </c>
      <c r="I217" s="443">
        <f t="shared" si="33"/>
        <v>0</v>
      </c>
      <c r="J217" s="443">
        <f t="shared" si="34"/>
        <v>0</v>
      </c>
      <c r="K217" s="443">
        <f t="shared" si="35"/>
        <v>0</v>
      </c>
      <c r="L217" s="445">
        <f t="shared" si="36"/>
        <v>0</v>
      </c>
      <c r="M217" s="299">
        <f>L217*D217*VPI!Q217</f>
        <v>0</v>
      </c>
    </row>
    <row r="218" spans="1:13" x14ac:dyDescent="0.25">
      <c r="A218" s="169">
        <f>Données!A218</f>
        <v>5757</v>
      </c>
      <c r="B218" s="27" t="str">
        <f>Données!B218</f>
        <v>Orbe</v>
      </c>
      <c r="C218" s="347">
        <f>VPI!R218</f>
        <v>217762.06927152316</v>
      </c>
      <c r="D218" s="27">
        <f>Données!Z218</f>
        <v>7617</v>
      </c>
      <c r="E218" s="114">
        <f t="shared" si="29"/>
        <v>28.588954873509671</v>
      </c>
      <c r="F218" s="188">
        <f t="shared" si="30"/>
        <v>0.58981854900492325</v>
      </c>
      <c r="G218" s="443">
        <f t="shared" si="31"/>
        <v>0</v>
      </c>
      <c r="H218" s="443">
        <f t="shared" si="32"/>
        <v>0</v>
      </c>
      <c r="I218" s="443">
        <f t="shared" si="33"/>
        <v>0</v>
      </c>
      <c r="J218" s="443">
        <f t="shared" si="34"/>
        <v>0</v>
      </c>
      <c r="K218" s="443">
        <f t="shared" si="35"/>
        <v>0</v>
      </c>
      <c r="L218" s="445">
        <f t="shared" si="36"/>
        <v>0</v>
      </c>
      <c r="M218" s="299">
        <f>L218*D218*VPI!Q218</f>
        <v>0</v>
      </c>
    </row>
    <row r="219" spans="1:13" x14ac:dyDescent="0.25">
      <c r="A219" s="169">
        <f>Données!A219</f>
        <v>5758</v>
      </c>
      <c r="B219" s="27" t="str">
        <f>Données!B219</f>
        <v>La Praz</v>
      </c>
      <c r="C219" s="347">
        <f>VPI!R219</f>
        <v>4500.7334939759048</v>
      </c>
      <c r="D219" s="27">
        <f>Données!Z219</f>
        <v>183</v>
      </c>
      <c r="E219" s="114">
        <f t="shared" si="29"/>
        <v>24.594172098228988</v>
      </c>
      <c r="F219" s="188">
        <f t="shared" si="30"/>
        <v>0.50740221057874502</v>
      </c>
      <c r="G219" s="443">
        <f t="shared" si="31"/>
        <v>0</v>
      </c>
      <c r="H219" s="443">
        <f t="shared" si="32"/>
        <v>0</v>
      </c>
      <c r="I219" s="443">
        <f t="shared" si="33"/>
        <v>0</v>
      </c>
      <c r="J219" s="443">
        <f t="shared" si="34"/>
        <v>0</v>
      </c>
      <c r="K219" s="443">
        <f t="shared" si="35"/>
        <v>0</v>
      </c>
      <c r="L219" s="445">
        <f t="shared" si="36"/>
        <v>0</v>
      </c>
      <c r="M219" s="299">
        <f>L219*D219*VPI!Q219</f>
        <v>0</v>
      </c>
    </row>
    <row r="220" spans="1:13" x14ac:dyDescent="0.25">
      <c r="A220" s="169">
        <f>Données!A220</f>
        <v>5759</v>
      </c>
      <c r="B220" s="27" t="str">
        <f>Données!B220</f>
        <v>Premier</v>
      </c>
      <c r="C220" s="347">
        <f>VPI!R220</f>
        <v>5667.0675471698114</v>
      </c>
      <c r="D220" s="27">
        <f>Données!Z220</f>
        <v>236</v>
      </c>
      <c r="E220" s="114">
        <f t="shared" si="29"/>
        <v>24.012998081228016</v>
      </c>
      <c r="F220" s="188">
        <f t="shared" si="30"/>
        <v>0.49541201307262694</v>
      </c>
      <c r="G220" s="443">
        <f t="shared" si="31"/>
        <v>0</v>
      </c>
      <c r="H220" s="443">
        <f t="shared" si="32"/>
        <v>0</v>
      </c>
      <c r="I220" s="443">
        <f t="shared" si="33"/>
        <v>0</v>
      </c>
      <c r="J220" s="443">
        <f t="shared" si="34"/>
        <v>0</v>
      </c>
      <c r="K220" s="443">
        <f t="shared" si="35"/>
        <v>0</v>
      </c>
      <c r="L220" s="445">
        <f t="shared" si="36"/>
        <v>0</v>
      </c>
      <c r="M220" s="299">
        <f>L220*D220*VPI!Q220</f>
        <v>0</v>
      </c>
    </row>
    <row r="221" spans="1:13" x14ac:dyDescent="0.25">
      <c r="A221" s="169">
        <f>Données!A221</f>
        <v>5760</v>
      </c>
      <c r="B221" s="27" t="str">
        <f>Données!B221</f>
        <v>Rances</v>
      </c>
      <c r="C221" s="347">
        <f>VPI!R221</f>
        <v>16308.735686274507</v>
      </c>
      <c r="D221" s="27">
        <f>Données!Z221</f>
        <v>521</v>
      </c>
      <c r="E221" s="114">
        <f t="shared" si="29"/>
        <v>31.302755635843585</v>
      </c>
      <c r="F221" s="188">
        <f t="shared" si="30"/>
        <v>0.64580695554200152</v>
      </c>
      <c r="G221" s="443">
        <f t="shared" si="31"/>
        <v>0</v>
      </c>
      <c r="H221" s="443">
        <f t="shared" si="32"/>
        <v>0</v>
      </c>
      <c r="I221" s="443">
        <f t="shared" si="33"/>
        <v>0</v>
      </c>
      <c r="J221" s="443">
        <f t="shared" si="34"/>
        <v>0</v>
      </c>
      <c r="K221" s="443">
        <f t="shared" si="35"/>
        <v>0</v>
      </c>
      <c r="L221" s="445">
        <f t="shared" si="36"/>
        <v>0</v>
      </c>
      <c r="M221" s="299">
        <f>L221*D221*VPI!Q221</f>
        <v>0</v>
      </c>
    </row>
    <row r="222" spans="1:13" x14ac:dyDescent="0.25">
      <c r="A222" s="169">
        <f>Données!A222</f>
        <v>5761</v>
      </c>
      <c r="B222" s="27" t="str">
        <f>Données!B222</f>
        <v>Romainmôtier-Envy</v>
      </c>
      <c r="C222" s="347">
        <f>VPI!R222</f>
        <v>14407.779147025813</v>
      </c>
      <c r="D222" s="27">
        <f>Données!Z222</f>
        <v>559</v>
      </c>
      <c r="E222" s="114">
        <f t="shared" si="29"/>
        <v>25.774202409706284</v>
      </c>
      <c r="F222" s="188">
        <f t="shared" si="30"/>
        <v>0.5317474085468693</v>
      </c>
      <c r="G222" s="443">
        <f t="shared" si="31"/>
        <v>0</v>
      </c>
      <c r="H222" s="443">
        <f t="shared" si="32"/>
        <v>0</v>
      </c>
      <c r="I222" s="443">
        <f t="shared" si="33"/>
        <v>0</v>
      </c>
      <c r="J222" s="443">
        <f t="shared" si="34"/>
        <v>0</v>
      </c>
      <c r="K222" s="443">
        <f t="shared" si="35"/>
        <v>0</v>
      </c>
      <c r="L222" s="445">
        <f t="shared" si="36"/>
        <v>0</v>
      </c>
      <c r="M222" s="299">
        <f>L222*D222*VPI!Q222</f>
        <v>0</v>
      </c>
    </row>
    <row r="223" spans="1:13" x14ac:dyDescent="0.25">
      <c r="A223" s="169">
        <f>Données!A223</f>
        <v>5762</v>
      </c>
      <c r="B223" s="27" t="str">
        <f>Données!B223</f>
        <v>Sergey</v>
      </c>
      <c r="C223" s="347">
        <f>VPI!R223</f>
        <v>3741.4505128205124</v>
      </c>
      <c r="D223" s="27">
        <f>Données!Z223</f>
        <v>140</v>
      </c>
      <c r="E223" s="114">
        <f t="shared" si="29"/>
        <v>26.724646520146518</v>
      </c>
      <c r="F223" s="188">
        <f t="shared" si="30"/>
        <v>0.55135601503879716</v>
      </c>
      <c r="G223" s="443">
        <f t="shared" si="31"/>
        <v>0</v>
      </c>
      <c r="H223" s="443">
        <f t="shared" si="32"/>
        <v>0</v>
      </c>
      <c r="I223" s="443">
        <f t="shared" si="33"/>
        <v>0</v>
      </c>
      <c r="J223" s="443">
        <f t="shared" si="34"/>
        <v>0</v>
      </c>
      <c r="K223" s="443">
        <f t="shared" si="35"/>
        <v>0</v>
      </c>
      <c r="L223" s="445">
        <f t="shared" si="36"/>
        <v>0</v>
      </c>
      <c r="M223" s="299">
        <f>L223*D223*VPI!Q223</f>
        <v>0</v>
      </c>
    </row>
    <row r="224" spans="1:13" x14ac:dyDescent="0.25">
      <c r="A224" s="169">
        <f>Données!A224</f>
        <v>5763</v>
      </c>
      <c r="B224" s="27" t="str">
        <f>Données!B224</f>
        <v>Valeyres-sous-Rances</v>
      </c>
      <c r="C224" s="347">
        <f>VPI!R224</f>
        <v>22297.189859154929</v>
      </c>
      <c r="D224" s="27">
        <f>Données!Z224</f>
        <v>606</v>
      </c>
      <c r="E224" s="114">
        <f t="shared" si="29"/>
        <v>36.794042671872823</v>
      </c>
      <c r="F224" s="188">
        <f t="shared" si="30"/>
        <v>0.75909766400233147</v>
      </c>
      <c r="G224" s="443">
        <f t="shared" si="31"/>
        <v>0</v>
      </c>
      <c r="H224" s="443">
        <f t="shared" si="32"/>
        <v>0</v>
      </c>
      <c r="I224" s="443">
        <f t="shared" si="33"/>
        <v>0</v>
      </c>
      <c r="J224" s="443">
        <f t="shared" si="34"/>
        <v>0</v>
      </c>
      <c r="K224" s="443">
        <f t="shared" si="35"/>
        <v>0</v>
      </c>
      <c r="L224" s="445">
        <f t="shared" si="36"/>
        <v>0</v>
      </c>
      <c r="M224" s="299">
        <f>L224*D224*VPI!Q224</f>
        <v>0</v>
      </c>
    </row>
    <row r="225" spans="1:13" x14ac:dyDescent="0.25">
      <c r="A225" s="169">
        <f>Données!A225</f>
        <v>5764</v>
      </c>
      <c r="B225" s="27" t="str">
        <f>Données!B225</f>
        <v>Vallorbe</v>
      </c>
      <c r="C225" s="347">
        <f>VPI!R225</f>
        <v>83717.114965034954</v>
      </c>
      <c r="D225" s="27">
        <f>Données!Z225</f>
        <v>3987</v>
      </c>
      <c r="E225" s="114">
        <f t="shared" si="29"/>
        <v>20.997520683480047</v>
      </c>
      <c r="F225" s="188">
        <f t="shared" si="30"/>
        <v>0.43319971775906613</v>
      </c>
      <c r="G225" s="443">
        <f t="shared" si="31"/>
        <v>0</v>
      </c>
      <c r="H225" s="443">
        <f t="shared" si="32"/>
        <v>0</v>
      </c>
      <c r="I225" s="443">
        <f t="shared" si="33"/>
        <v>0</v>
      </c>
      <c r="J225" s="443">
        <f t="shared" si="34"/>
        <v>0</v>
      </c>
      <c r="K225" s="443">
        <f t="shared" si="35"/>
        <v>0</v>
      </c>
      <c r="L225" s="445">
        <f t="shared" si="36"/>
        <v>0</v>
      </c>
      <c r="M225" s="299">
        <f>L225*D225*VPI!Q225</f>
        <v>0</v>
      </c>
    </row>
    <row r="226" spans="1:13" x14ac:dyDescent="0.25">
      <c r="A226" s="169">
        <f>Données!A226</f>
        <v>5765</v>
      </c>
      <c r="B226" s="27" t="str">
        <f>Données!B226</f>
        <v>Vaulion</v>
      </c>
      <c r="C226" s="347">
        <f>VPI!R226</f>
        <v>9628.0504938271606</v>
      </c>
      <c r="D226" s="27">
        <f>Données!Z226</f>
        <v>483</v>
      </c>
      <c r="E226" s="114">
        <f t="shared" si="29"/>
        <v>19.933851954093502</v>
      </c>
      <c r="F226" s="188">
        <f t="shared" si="30"/>
        <v>0.41125517486253649</v>
      </c>
      <c r="G226" s="443">
        <f t="shared" si="31"/>
        <v>0</v>
      </c>
      <c r="H226" s="443">
        <f t="shared" si="32"/>
        <v>0</v>
      </c>
      <c r="I226" s="443">
        <f t="shared" si="33"/>
        <v>0</v>
      </c>
      <c r="J226" s="443">
        <f t="shared" si="34"/>
        <v>0</v>
      </c>
      <c r="K226" s="443">
        <f t="shared" si="35"/>
        <v>0</v>
      </c>
      <c r="L226" s="445">
        <f t="shared" si="36"/>
        <v>0</v>
      </c>
      <c r="M226" s="299">
        <f>L226*D226*VPI!Q226</f>
        <v>0</v>
      </c>
    </row>
    <row r="227" spans="1:13" x14ac:dyDescent="0.25">
      <c r="A227" s="169">
        <f>Données!A227</f>
        <v>5766</v>
      </c>
      <c r="B227" s="27" t="str">
        <f>Données!B227</f>
        <v>Vuiteboeuf</v>
      </c>
      <c r="C227" s="347">
        <f>VPI!R227</f>
        <v>15422.760361904762</v>
      </c>
      <c r="D227" s="27">
        <f>Données!Z227</f>
        <v>592</v>
      </c>
      <c r="E227" s="114">
        <f t="shared" si="29"/>
        <v>26.051960070785071</v>
      </c>
      <c r="F227" s="188">
        <f t="shared" si="30"/>
        <v>0.53747782511359354</v>
      </c>
      <c r="G227" s="443">
        <f t="shared" si="31"/>
        <v>0</v>
      </c>
      <c r="H227" s="443">
        <f t="shared" si="32"/>
        <v>0</v>
      </c>
      <c r="I227" s="443">
        <f t="shared" si="33"/>
        <v>0</v>
      </c>
      <c r="J227" s="443">
        <f t="shared" si="34"/>
        <v>0</v>
      </c>
      <c r="K227" s="443">
        <f t="shared" si="35"/>
        <v>0</v>
      </c>
      <c r="L227" s="445">
        <f t="shared" si="36"/>
        <v>0</v>
      </c>
      <c r="M227" s="299">
        <f>L227*D227*VPI!Q227</f>
        <v>0</v>
      </c>
    </row>
    <row r="228" spans="1:13" x14ac:dyDescent="0.25">
      <c r="A228" s="169">
        <f>Données!A228</f>
        <v>5785</v>
      </c>
      <c r="B228" s="27" t="str">
        <f>Données!B228</f>
        <v>Corcelles-le-Jorat</v>
      </c>
      <c r="C228" s="347">
        <f>VPI!R228</f>
        <v>15461.968933333332</v>
      </c>
      <c r="D228" s="27">
        <f>Données!Z228</f>
        <v>485</v>
      </c>
      <c r="E228" s="114">
        <f t="shared" si="29"/>
        <v>31.880348316151199</v>
      </c>
      <c r="F228" s="188">
        <f t="shared" si="30"/>
        <v>0.65772326651322099</v>
      </c>
      <c r="G228" s="443">
        <f t="shared" si="31"/>
        <v>0</v>
      </c>
      <c r="H228" s="443">
        <f t="shared" si="32"/>
        <v>0</v>
      </c>
      <c r="I228" s="443">
        <f t="shared" si="33"/>
        <v>0</v>
      </c>
      <c r="J228" s="443">
        <f t="shared" si="34"/>
        <v>0</v>
      </c>
      <c r="K228" s="443">
        <f t="shared" si="35"/>
        <v>0</v>
      </c>
      <c r="L228" s="445">
        <f t="shared" si="36"/>
        <v>0</v>
      </c>
      <c r="M228" s="299">
        <f>L228*D228*VPI!Q228</f>
        <v>0</v>
      </c>
    </row>
    <row r="229" spans="1:13" x14ac:dyDescent="0.25">
      <c r="A229" s="169">
        <f>Données!A229</f>
        <v>5790</v>
      </c>
      <c r="B229" s="27" t="str">
        <f>Données!B229</f>
        <v>Maracon</v>
      </c>
      <c r="C229" s="347">
        <f>VPI!R229</f>
        <v>16326.697583892621</v>
      </c>
      <c r="D229" s="27">
        <f>Données!Z229</f>
        <v>544</v>
      </c>
      <c r="E229" s="114">
        <f t="shared" si="29"/>
        <v>30.012311735096731</v>
      </c>
      <c r="F229" s="188">
        <f t="shared" si="30"/>
        <v>0.61918381550493717</v>
      </c>
      <c r="G229" s="443">
        <f t="shared" si="31"/>
        <v>0</v>
      </c>
      <c r="H229" s="443">
        <f t="shared" si="32"/>
        <v>0</v>
      </c>
      <c r="I229" s="443">
        <f t="shared" si="33"/>
        <v>0</v>
      </c>
      <c r="J229" s="443">
        <f t="shared" si="34"/>
        <v>0</v>
      </c>
      <c r="K229" s="443">
        <f t="shared" si="35"/>
        <v>0</v>
      </c>
      <c r="L229" s="445">
        <f t="shared" si="36"/>
        <v>0</v>
      </c>
      <c r="M229" s="299">
        <f>L229*D229*VPI!Q229</f>
        <v>0</v>
      </c>
    </row>
    <row r="230" spans="1:13" x14ac:dyDescent="0.25">
      <c r="A230" s="169">
        <f>Données!A230</f>
        <v>5792</v>
      </c>
      <c r="B230" s="27" t="str">
        <f>Données!B230</f>
        <v>Montpreveyres</v>
      </c>
      <c r="C230" s="347">
        <f>VPI!R230</f>
        <v>19363.161854304632</v>
      </c>
      <c r="D230" s="27">
        <f>Données!Z230</f>
        <v>661</v>
      </c>
      <c r="E230" s="114">
        <f t="shared" si="29"/>
        <v>29.293739567783103</v>
      </c>
      <c r="F230" s="188">
        <f t="shared" si="30"/>
        <v>0.60435895761994451</v>
      </c>
      <c r="G230" s="443">
        <f t="shared" si="31"/>
        <v>0</v>
      </c>
      <c r="H230" s="443">
        <f t="shared" si="32"/>
        <v>0</v>
      </c>
      <c r="I230" s="443">
        <f t="shared" si="33"/>
        <v>0</v>
      </c>
      <c r="J230" s="443">
        <f t="shared" si="34"/>
        <v>0</v>
      </c>
      <c r="K230" s="443">
        <f t="shared" si="35"/>
        <v>0</v>
      </c>
      <c r="L230" s="445">
        <f t="shared" si="36"/>
        <v>0</v>
      </c>
      <c r="M230" s="299">
        <f>L230*D230*VPI!Q230</f>
        <v>0</v>
      </c>
    </row>
    <row r="231" spans="1:13" x14ac:dyDescent="0.25">
      <c r="A231" s="169">
        <f>Données!A231</f>
        <v>5798</v>
      </c>
      <c r="B231" s="27" t="str">
        <f>Données!B231</f>
        <v>Ropraz</v>
      </c>
      <c r="C231" s="347">
        <f>VPI!R231</f>
        <v>16208.351096774193</v>
      </c>
      <c r="D231" s="27">
        <f>Données!Z231</f>
        <v>529</v>
      </c>
      <c r="E231" s="114">
        <f t="shared" si="29"/>
        <v>30.639605097871822</v>
      </c>
      <c r="F231" s="188">
        <f t="shared" si="30"/>
        <v>0.63212550094497588</v>
      </c>
      <c r="G231" s="443">
        <f t="shared" si="31"/>
        <v>0</v>
      </c>
      <c r="H231" s="443">
        <f t="shared" si="32"/>
        <v>0</v>
      </c>
      <c r="I231" s="443">
        <f t="shared" si="33"/>
        <v>0</v>
      </c>
      <c r="J231" s="443">
        <f t="shared" si="34"/>
        <v>0</v>
      </c>
      <c r="K231" s="443">
        <f t="shared" si="35"/>
        <v>0</v>
      </c>
      <c r="L231" s="445">
        <f t="shared" si="36"/>
        <v>0</v>
      </c>
      <c r="M231" s="299">
        <f>L231*D231*VPI!Q231</f>
        <v>0</v>
      </c>
    </row>
    <row r="232" spans="1:13" x14ac:dyDescent="0.25">
      <c r="A232" s="169">
        <f>Données!A232</f>
        <v>5799</v>
      </c>
      <c r="B232" s="27" t="str">
        <f>Données!B232</f>
        <v>Servion</v>
      </c>
      <c r="C232" s="347">
        <f>VPI!R232</f>
        <v>73170.718115942043</v>
      </c>
      <c r="D232" s="27">
        <f>Données!Z232</f>
        <v>2136</v>
      </c>
      <c r="E232" s="114">
        <f t="shared" si="29"/>
        <v>34.255954174130167</v>
      </c>
      <c r="F232" s="188">
        <f t="shared" si="30"/>
        <v>0.70673437609593159</v>
      </c>
      <c r="G232" s="443">
        <f t="shared" si="31"/>
        <v>0</v>
      </c>
      <c r="H232" s="443">
        <f t="shared" si="32"/>
        <v>0</v>
      </c>
      <c r="I232" s="443">
        <f t="shared" si="33"/>
        <v>0</v>
      </c>
      <c r="J232" s="443">
        <f t="shared" si="34"/>
        <v>0</v>
      </c>
      <c r="K232" s="443">
        <f t="shared" si="35"/>
        <v>0</v>
      </c>
      <c r="L232" s="445">
        <f t="shared" si="36"/>
        <v>0</v>
      </c>
      <c r="M232" s="299">
        <f>L232*D232*VPI!Q232</f>
        <v>0</v>
      </c>
    </row>
    <row r="233" spans="1:13" x14ac:dyDescent="0.25">
      <c r="A233" s="169">
        <f>Données!A233</f>
        <v>5803</v>
      </c>
      <c r="B233" s="27" t="str">
        <f>Données!B233</f>
        <v>Vulliens</v>
      </c>
      <c r="C233" s="347">
        <f>VPI!R233</f>
        <v>16577.57405405405</v>
      </c>
      <c r="D233" s="27">
        <f>Données!Z233</f>
        <v>632</v>
      </c>
      <c r="E233" s="114">
        <f t="shared" si="29"/>
        <v>26.230338693123496</v>
      </c>
      <c r="F233" s="188">
        <f t="shared" si="30"/>
        <v>0.5411579533542602</v>
      </c>
      <c r="G233" s="443">
        <f t="shared" si="31"/>
        <v>0</v>
      </c>
      <c r="H233" s="443">
        <f t="shared" si="32"/>
        <v>0</v>
      </c>
      <c r="I233" s="443">
        <f t="shared" si="33"/>
        <v>0</v>
      </c>
      <c r="J233" s="443">
        <f t="shared" si="34"/>
        <v>0</v>
      </c>
      <c r="K233" s="443">
        <f t="shared" si="35"/>
        <v>0</v>
      </c>
      <c r="L233" s="445">
        <f t="shared" si="36"/>
        <v>0</v>
      </c>
      <c r="M233" s="299">
        <f>L233*D233*VPI!Q233</f>
        <v>0</v>
      </c>
    </row>
    <row r="234" spans="1:13" x14ac:dyDescent="0.25">
      <c r="A234" s="169">
        <f>Données!A234</f>
        <v>5804</v>
      </c>
      <c r="B234" s="27" t="str">
        <f>Données!B234</f>
        <v>Jorat-Menthue</v>
      </c>
      <c r="C234" s="347">
        <f>VPI!R234</f>
        <v>45125.345957446807</v>
      </c>
      <c r="D234" s="27">
        <f>Données!Z234</f>
        <v>1565</v>
      </c>
      <c r="E234" s="114">
        <f t="shared" si="29"/>
        <v>28.834086873767927</v>
      </c>
      <c r="F234" s="188">
        <f t="shared" si="30"/>
        <v>0.59487586576752272</v>
      </c>
      <c r="G234" s="443">
        <f t="shared" si="31"/>
        <v>0</v>
      </c>
      <c r="H234" s="443">
        <f t="shared" si="32"/>
        <v>0</v>
      </c>
      <c r="I234" s="443">
        <f t="shared" si="33"/>
        <v>0</v>
      </c>
      <c r="J234" s="443">
        <f t="shared" si="34"/>
        <v>0</v>
      </c>
      <c r="K234" s="443">
        <f t="shared" si="35"/>
        <v>0</v>
      </c>
      <c r="L234" s="445">
        <f t="shared" si="36"/>
        <v>0</v>
      </c>
      <c r="M234" s="299">
        <f>L234*D234*VPI!Q234</f>
        <v>0</v>
      </c>
    </row>
    <row r="235" spans="1:13" x14ac:dyDescent="0.25">
      <c r="A235" s="169">
        <f>Données!A235</f>
        <v>5805</v>
      </c>
      <c r="B235" s="27" t="str">
        <f>Données!B235</f>
        <v>Oron</v>
      </c>
      <c r="C235" s="347">
        <f>VPI!R235</f>
        <v>174509.83123847167</v>
      </c>
      <c r="D235" s="27">
        <f>Données!Z235</f>
        <v>6119</v>
      </c>
      <c r="E235" s="114">
        <f t="shared" si="29"/>
        <v>28.519338329542681</v>
      </c>
      <c r="F235" s="188">
        <f t="shared" si="30"/>
        <v>0.58838229052219737</v>
      </c>
      <c r="G235" s="443">
        <f t="shared" si="31"/>
        <v>0</v>
      </c>
      <c r="H235" s="443">
        <f t="shared" si="32"/>
        <v>0</v>
      </c>
      <c r="I235" s="443">
        <f t="shared" si="33"/>
        <v>0</v>
      </c>
      <c r="J235" s="443">
        <f t="shared" si="34"/>
        <v>0</v>
      </c>
      <c r="K235" s="443">
        <f t="shared" si="35"/>
        <v>0</v>
      </c>
      <c r="L235" s="445">
        <f t="shared" si="36"/>
        <v>0</v>
      </c>
      <c r="M235" s="299">
        <f>L235*D235*VPI!Q235</f>
        <v>0</v>
      </c>
    </row>
    <row r="236" spans="1:13" x14ac:dyDescent="0.25">
      <c r="A236" s="169">
        <f>Données!A236</f>
        <v>5806</v>
      </c>
      <c r="B236" s="27" t="str">
        <f>Données!B236</f>
        <v>Jorat-Mézières</v>
      </c>
      <c r="C236" s="347">
        <f>VPI!R236</f>
        <v>102977.86342465752</v>
      </c>
      <c r="D236" s="27">
        <f>Données!Z236</f>
        <v>3110</v>
      </c>
      <c r="E236" s="114">
        <f t="shared" si="29"/>
        <v>33.111853191208205</v>
      </c>
      <c r="F236" s="188">
        <f t="shared" si="30"/>
        <v>0.6831304358802851</v>
      </c>
      <c r="G236" s="443">
        <f t="shared" si="31"/>
        <v>0</v>
      </c>
      <c r="H236" s="443">
        <f t="shared" si="32"/>
        <v>0</v>
      </c>
      <c r="I236" s="443">
        <f t="shared" si="33"/>
        <v>0</v>
      </c>
      <c r="J236" s="443">
        <f t="shared" si="34"/>
        <v>0</v>
      </c>
      <c r="K236" s="443">
        <f t="shared" si="35"/>
        <v>0</v>
      </c>
      <c r="L236" s="445">
        <f t="shared" si="36"/>
        <v>0</v>
      </c>
      <c r="M236" s="299">
        <f>L236*D236*VPI!Q236</f>
        <v>0</v>
      </c>
    </row>
    <row r="237" spans="1:13" x14ac:dyDescent="0.25">
      <c r="A237" s="169">
        <f>Données!A237</f>
        <v>5812</v>
      </c>
      <c r="B237" s="27" t="str">
        <f>Données!B237</f>
        <v>Champtauroz</v>
      </c>
      <c r="C237" s="347">
        <f>VPI!R237</f>
        <v>3659.293116883116</v>
      </c>
      <c r="D237" s="27">
        <f>Données!Z237</f>
        <v>169</v>
      </c>
      <c r="E237" s="114">
        <f t="shared" si="29"/>
        <v>21.652621993391218</v>
      </c>
      <c r="F237" s="188">
        <f t="shared" si="30"/>
        <v>0.44671510878236853</v>
      </c>
      <c r="G237" s="443">
        <f t="shared" si="31"/>
        <v>0</v>
      </c>
      <c r="H237" s="443">
        <f t="shared" si="32"/>
        <v>0</v>
      </c>
      <c r="I237" s="443">
        <f t="shared" si="33"/>
        <v>0</v>
      </c>
      <c r="J237" s="443">
        <f t="shared" si="34"/>
        <v>0</v>
      </c>
      <c r="K237" s="443">
        <f t="shared" si="35"/>
        <v>0</v>
      </c>
      <c r="L237" s="445">
        <f t="shared" si="36"/>
        <v>0</v>
      </c>
      <c r="M237" s="299">
        <f>L237*D237*VPI!Q237</f>
        <v>0</v>
      </c>
    </row>
    <row r="238" spans="1:13" x14ac:dyDescent="0.25">
      <c r="A238" s="169">
        <f>Données!A238</f>
        <v>5813</v>
      </c>
      <c r="B238" s="27" t="str">
        <f>Données!B238</f>
        <v>Chevroux</v>
      </c>
      <c r="C238" s="347">
        <f>VPI!R238</f>
        <v>17498.80282238443</v>
      </c>
      <c r="D238" s="27">
        <f>Données!Z238</f>
        <v>522</v>
      </c>
      <c r="E238" s="114">
        <f t="shared" si="29"/>
        <v>33.522610770851401</v>
      </c>
      <c r="F238" s="188">
        <f t="shared" si="30"/>
        <v>0.6916047729342224</v>
      </c>
      <c r="G238" s="443">
        <f t="shared" si="31"/>
        <v>0</v>
      </c>
      <c r="H238" s="443">
        <f t="shared" si="32"/>
        <v>0</v>
      </c>
      <c r="I238" s="443">
        <f t="shared" si="33"/>
        <v>0</v>
      </c>
      <c r="J238" s="443">
        <f t="shared" si="34"/>
        <v>0</v>
      </c>
      <c r="K238" s="443">
        <f t="shared" si="35"/>
        <v>0</v>
      </c>
      <c r="L238" s="445">
        <f t="shared" si="36"/>
        <v>0</v>
      </c>
      <c r="M238" s="299">
        <f>L238*D238*VPI!Q238</f>
        <v>0</v>
      </c>
    </row>
    <row r="239" spans="1:13" x14ac:dyDescent="0.25">
      <c r="A239" s="169">
        <f>Données!A239</f>
        <v>5816</v>
      </c>
      <c r="B239" s="27" t="str">
        <f>Données!B239</f>
        <v>Corcelles-près-Payerne</v>
      </c>
      <c r="C239" s="347">
        <f>VPI!R239</f>
        <v>65701.749572471308</v>
      </c>
      <c r="D239" s="27">
        <f>Données!Z239</f>
        <v>2856</v>
      </c>
      <c r="E239" s="114">
        <f t="shared" si="29"/>
        <v>23.004814276075386</v>
      </c>
      <c r="F239" s="188">
        <f t="shared" si="30"/>
        <v>0.47461217930058586</v>
      </c>
      <c r="G239" s="443">
        <f t="shared" si="31"/>
        <v>0</v>
      </c>
      <c r="H239" s="443">
        <f t="shared" si="32"/>
        <v>0</v>
      </c>
      <c r="I239" s="443">
        <f t="shared" si="33"/>
        <v>0</v>
      </c>
      <c r="J239" s="443">
        <f t="shared" si="34"/>
        <v>0</v>
      </c>
      <c r="K239" s="443">
        <f t="shared" si="35"/>
        <v>0</v>
      </c>
      <c r="L239" s="445">
        <f t="shared" si="36"/>
        <v>0</v>
      </c>
      <c r="M239" s="299">
        <f>L239*D239*VPI!Q239</f>
        <v>0</v>
      </c>
    </row>
    <row r="240" spans="1:13" x14ac:dyDescent="0.25">
      <c r="A240" s="169">
        <f>Données!A240</f>
        <v>5817</v>
      </c>
      <c r="B240" s="27" t="str">
        <f>Données!B240</f>
        <v>Grandcour</v>
      </c>
      <c r="C240" s="347">
        <f>VPI!R240</f>
        <v>25916.897414965984</v>
      </c>
      <c r="D240" s="27">
        <f>Données!Z240</f>
        <v>1001</v>
      </c>
      <c r="E240" s="114">
        <f t="shared" si="29"/>
        <v>25.891006408557427</v>
      </c>
      <c r="F240" s="188">
        <f t="shared" si="30"/>
        <v>0.53415719111587778</v>
      </c>
      <c r="G240" s="443">
        <f t="shared" si="31"/>
        <v>0</v>
      </c>
      <c r="H240" s="443">
        <f t="shared" si="32"/>
        <v>0</v>
      </c>
      <c r="I240" s="443">
        <f t="shared" si="33"/>
        <v>0</v>
      </c>
      <c r="J240" s="443">
        <f t="shared" si="34"/>
        <v>0</v>
      </c>
      <c r="K240" s="443">
        <f t="shared" si="35"/>
        <v>0</v>
      </c>
      <c r="L240" s="445">
        <f t="shared" si="36"/>
        <v>0</v>
      </c>
      <c r="M240" s="299">
        <f>L240*D240*VPI!Q240</f>
        <v>0</v>
      </c>
    </row>
    <row r="241" spans="1:13" x14ac:dyDescent="0.25">
      <c r="A241" s="169">
        <f>Données!A241</f>
        <v>5819</v>
      </c>
      <c r="B241" s="27" t="str">
        <f>Données!B241</f>
        <v>Henniez</v>
      </c>
      <c r="C241" s="347">
        <f>VPI!R241</f>
        <v>10275.75579710145</v>
      </c>
      <c r="D241" s="27">
        <f>Données!Z241</f>
        <v>414</v>
      </c>
      <c r="E241" s="114">
        <f t="shared" si="29"/>
        <v>24.82066617657355</v>
      </c>
      <c r="F241" s="188">
        <f t="shared" si="30"/>
        <v>0.51207500849103171</v>
      </c>
      <c r="G241" s="443">
        <f t="shared" si="31"/>
        <v>0</v>
      </c>
      <c r="H241" s="443">
        <f t="shared" si="32"/>
        <v>0</v>
      </c>
      <c r="I241" s="443">
        <f t="shared" si="33"/>
        <v>0</v>
      </c>
      <c r="J241" s="443">
        <f t="shared" si="34"/>
        <v>0</v>
      </c>
      <c r="K241" s="443">
        <f t="shared" si="35"/>
        <v>0</v>
      </c>
      <c r="L241" s="445">
        <f t="shared" si="36"/>
        <v>0</v>
      </c>
      <c r="M241" s="299">
        <f>L241*D241*VPI!Q241</f>
        <v>0</v>
      </c>
    </row>
    <row r="242" spans="1:13" x14ac:dyDescent="0.25">
      <c r="A242" s="169">
        <f>Données!A242</f>
        <v>5821</v>
      </c>
      <c r="B242" s="27" t="str">
        <f>Données!B242</f>
        <v>Missy</v>
      </c>
      <c r="C242" s="347">
        <f>VPI!R242</f>
        <v>8375.965000000002</v>
      </c>
      <c r="D242" s="27">
        <f>Données!Z242</f>
        <v>387</v>
      </c>
      <c r="E242" s="114">
        <f t="shared" si="29"/>
        <v>21.643320413436697</v>
      </c>
      <c r="F242" s="188">
        <f t="shared" si="30"/>
        <v>0.44652320794456241</v>
      </c>
      <c r="G242" s="443">
        <f t="shared" si="31"/>
        <v>0</v>
      </c>
      <c r="H242" s="443">
        <f t="shared" si="32"/>
        <v>0</v>
      </c>
      <c r="I242" s="443">
        <f t="shared" si="33"/>
        <v>0</v>
      </c>
      <c r="J242" s="443">
        <f t="shared" si="34"/>
        <v>0</v>
      </c>
      <c r="K242" s="443">
        <f t="shared" si="35"/>
        <v>0</v>
      </c>
      <c r="L242" s="445">
        <f t="shared" si="36"/>
        <v>0</v>
      </c>
      <c r="M242" s="299">
        <f>L242*D242*VPI!Q242</f>
        <v>0</v>
      </c>
    </row>
    <row r="243" spans="1:13" x14ac:dyDescent="0.25">
      <c r="A243" s="169">
        <f>Données!A243</f>
        <v>5822</v>
      </c>
      <c r="B243" s="27" t="str">
        <f>Données!B243</f>
        <v>Payerne</v>
      </c>
      <c r="C243" s="347">
        <f>VPI!R243</f>
        <v>226844.26479452057</v>
      </c>
      <c r="D243" s="27">
        <f>Données!Z243</f>
        <v>10372</v>
      </c>
      <c r="E243" s="114">
        <f t="shared" si="29"/>
        <v>21.870831545942977</v>
      </c>
      <c r="F243" s="188">
        <f t="shared" si="30"/>
        <v>0.45121698869489196</v>
      </c>
      <c r="G243" s="443">
        <f t="shared" si="31"/>
        <v>0</v>
      </c>
      <c r="H243" s="443">
        <f t="shared" si="32"/>
        <v>0</v>
      </c>
      <c r="I243" s="443">
        <f t="shared" si="33"/>
        <v>0</v>
      </c>
      <c r="J243" s="443">
        <f t="shared" si="34"/>
        <v>0</v>
      </c>
      <c r="K243" s="443">
        <f t="shared" si="35"/>
        <v>0</v>
      </c>
      <c r="L243" s="445">
        <f t="shared" si="36"/>
        <v>0</v>
      </c>
      <c r="M243" s="299">
        <f>L243*D243*VPI!Q243</f>
        <v>0</v>
      </c>
    </row>
    <row r="244" spans="1:13" x14ac:dyDescent="0.25">
      <c r="A244" s="169">
        <f>Données!A244</f>
        <v>5827</v>
      </c>
      <c r="B244" s="27" t="str">
        <f>Données!B244</f>
        <v>Trey</v>
      </c>
      <c r="C244" s="347">
        <f>VPI!R244</f>
        <v>7715.2558974358981</v>
      </c>
      <c r="D244" s="27">
        <f>Données!Z244</f>
        <v>302</v>
      </c>
      <c r="E244" s="114">
        <f t="shared" si="29"/>
        <v>25.547204958397014</v>
      </c>
      <c r="F244" s="188">
        <f t="shared" si="30"/>
        <v>0.52706422555009913</v>
      </c>
      <c r="G244" s="443">
        <f t="shared" si="31"/>
        <v>0</v>
      </c>
      <c r="H244" s="443">
        <f t="shared" si="32"/>
        <v>0</v>
      </c>
      <c r="I244" s="443">
        <f t="shared" si="33"/>
        <v>0</v>
      </c>
      <c r="J244" s="443">
        <f t="shared" si="34"/>
        <v>0</v>
      </c>
      <c r="K244" s="443">
        <f t="shared" si="35"/>
        <v>0</v>
      </c>
      <c r="L244" s="445">
        <f t="shared" si="36"/>
        <v>0</v>
      </c>
      <c r="M244" s="299">
        <f>L244*D244*VPI!Q244</f>
        <v>0</v>
      </c>
    </row>
    <row r="245" spans="1:13" x14ac:dyDescent="0.25">
      <c r="A245" s="169">
        <f>Données!A245</f>
        <v>5828</v>
      </c>
      <c r="B245" s="27" t="str">
        <f>Données!B245</f>
        <v>Treytorrens (Payerne)</v>
      </c>
      <c r="C245" s="347">
        <f>VPI!R245</f>
        <v>2864.8065848670758</v>
      </c>
      <c r="D245" s="27">
        <f>Données!Z245</f>
        <v>105</v>
      </c>
      <c r="E245" s="114">
        <f t="shared" si="29"/>
        <v>27.283872236829293</v>
      </c>
      <c r="F245" s="188">
        <f t="shared" si="30"/>
        <v>0.56289339729846488</v>
      </c>
      <c r="G245" s="443">
        <f t="shared" si="31"/>
        <v>0</v>
      </c>
      <c r="H245" s="443">
        <f t="shared" si="32"/>
        <v>0</v>
      </c>
      <c r="I245" s="443">
        <f t="shared" si="33"/>
        <v>0</v>
      </c>
      <c r="J245" s="443">
        <f t="shared" si="34"/>
        <v>0</v>
      </c>
      <c r="K245" s="443">
        <f t="shared" si="35"/>
        <v>0</v>
      </c>
      <c r="L245" s="445">
        <f t="shared" si="36"/>
        <v>0</v>
      </c>
      <c r="M245" s="299">
        <f>L245*D245*VPI!Q245</f>
        <v>0</v>
      </c>
    </row>
    <row r="246" spans="1:13" x14ac:dyDescent="0.25">
      <c r="A246" s="169">
        <f>Données!A246</f>
        <v>5830</v>
      </c>
      <c r="B246" s="27" t="str">
        <f>Données!B246</f>
        <v>Villarzel</v>
      </c>
      <c r="C246" s="347">
        <f>VPI!R246</f>
        <v>12474.180666666667</v>
      </c>
      <c r="D246" s="27">
        <f>Données!Z246</f>
        <v>486</v>
      </c>
      <c r="E246" s="114">
        <f t="shared" si="29"/>
        <v>25.667038408779149</v>
      </c>
      <c r="F246" s="188">
        <f t="shared" si="30"/>
        <v>0.52953650871467672</v>
      </c>
      <c r="G246" s="443">
        <f t="shared" si="31"/>
        <v>0</v>
      </c>
      <c r="H246" s="443">
        <f t="shared" si="32"/>
        <v>0</v>
      </c>
      <c r="I246" s="443">
        <f t="shared" si="33"/>
        <v>0</v>
      </c>
      <c r="J246" s="443">
        <f t="shared" si="34"/>
        <v>0</v>
      </c>
      <c r="K246" s="443">
        <f t="shared" si="35"/>
        <v>0</v>
      </c>
      <c r="L246" s="445">
        <f t="shared" si="36"/>
        <v>0</v>
      </c>
      <c r="M246" s="299">
        <f>L246*D246*VPI!Q246</f>
        <v>0</v>
      </c>
    </row>
    <row r="247" spans="1:13" x14ac:dyDescent="0.25">
      <c r="A247" s="169">
        <f>Données!A247</f>
        <v>5831</v>
      </c>
      <c r="B247" s="27" t="str">
        <f>Données!B247</f>
        <v>Valbroye</v>
      </c>
      <c r="C247" s="347">
        <f>VPI!R247</f>
        <v>87470.557399527184</v>
      </c>
      <c r="D247" s="27">
        <f>Données!Z247</f>
        <v>3361</v>
      </c>
      <c r="E247" s="114">
        <f t="shared" si="29"/>
        <v>26.025158405095858</v>
      </c>
      <c r="F247" s="188">
        <f t="shared" si="30"/>
        <v>0.53692488011655992</v>
      </c>
      <c r="G247" s="443">
        <f t="shared" si="31"/>
        <v>0</v>
      </c>
      <c r="H247" s="443">
        <f t="shared" si="32"/>
        <v>0</v>
      </c>
      <c r="I247" s="443">
        <f t="shared" si="33"/>
        <v>0</v>
      </c>
      <c r="J247" s="443">
        <f t="shared" si="34"/>
        <v>0</v>
      </c>
      <c r="K247" s="443">
        <f t="shared" si="35"/>
        <v>0</v>
      </c>
      <c r="L247" s="445">
        <f t="shared" si="36"/>
        <v>0</v>
      </c>
      <c r="M247" s="299">
        <f>L247*D247*VPI!Q247</f>
        <v>0</v>
      </c>
    </row>
    <row r="248" spans="1:13" x14ac:dyDescent="0.25">
      <c r="A248" s="169">
        <f>Données!A248</f>
        <v>5841</v>
      </c>
      <c r="B248" s="27" t="str">
        <f>Données!B248</f>
        <v>Château-d'Oex</v>
      </c>
      <c r="C248" s="347">
        <f>VPI!R248</f>
        <v>123828.98781186093</v>
      </c>
      <c r="D248" s="27">
        <f>Données!Z248</f>
        <v>3568</v>
      </c>
      <c r="E248" s="114">
        <f t="shared" si="29"/>
        <v>34.705433803772685</v>
      </c>
      <c r="F248" s="188">
        <f t="shared" si="30"/>
        <v>0.71600758752097293</v>
      </c>
      <c r="G248" s="443">
        <f t="shared" si="31"/>
        <v>0</v>
      </c>
      <c r="H248" s="443">
        <f t="shared" si="32"/>
        <v>0</v>
      </c>
      <c r="I248" s="443">
        <f t="shared" si="33"/>
        <v>0</v>
      </c>
      <c r="J248" s="443">
        <f t="shared" si="34"/>
        <v>0</v>
      </c>
      <c r="K248" s="443">
        <f t="shared" si="35"/>
        <v>0</v>
      </c>
      <c r="L248" s="445">
        <f t="shared" si="36"/>
        <v>0</v>
      </c>
      <c r="M248" s="299">
        <f>L248*D248*VPI!Q248</f>
        <v>0</v>
      </c>
    </row>
    <row r="249" spans="1:13" x14ac:dyDescent="0.25">
      <c r="A249" s="169">
        <f>Données!A249</f>
        <v>5842</v>
      </c>
      <c r="B249" s="27" t="str">
        <f>Données!B249</f>
        <v>Rossinière</v>
      </c>
      <c r="C249" s="347">
        <f>VPI!R249</f>
        <v>16474.219053497945</v>
      </c>
      <c r="D249" s="27">
        <f>Données!Z249</f>
        <v>534</v>
      </c>
      <c r="E249" s="114">
        <f t="shared" si="29"/>
        <v>30.850597478460571</v>
      </c>
      <c r="F249" s="188">
        <f t="shared" si="30"/>
        <v>0.63647848342791591</v>
      </c>
      <c r="G249" s="443">
        <f t="shared" si="31"/>
        <v>0</v>
      </c>
      <c r="H249" s="443">
        <f t="shared" si="32"/>
        <v>0</v>
      </c>
      <c r="I249" s="443">
        <f t="shared" si="33"/>
        <v>0</v>
      </c>
      <c r="J249" s="443">
        <f t="shared" si="34"/>
        <v>0</v>
      </c>
      <c r="K249" s="443">
        <f t="shared" si="35"/>
        <v>0</v>
      </c>
      <c r="L249" s="445">
        <f t="shared" si="36"/>
        <v>0</v>
      </c>
      <c r="M249" s="299">
        <f>L249*D249*VPI!Q249</f>
        <v>0</v>
      </c>
    </row>
    <row r="250" spans="1:13" x14ac:dyDescent="0.25">
      <c r="A250" s="169">
        <f>Données!A250</f>
        <v>5843</v>
      </c>
      <c r="B250" s="27" t="str">
        <f>Données!B250</f>
        <v>Rougemont</v>
      </c>
      <c r="C250" s="347">
        <f>VPI!R250</f>
        <v>89736.824345991568</v>
      </c>
      <c r="D250" s="27">
        <f>Données!Z250</f>
        <v>826</v>
      </c>
      <c r="E250" s="114">
        <f t="shared" si="29"/>
        <v>108.64022317916655</v>
      </c>
      <c r="F250" s="188">
        <f t="shared" si="30"/>
        <v>2.2413557642319168</v>
      </c>
      <c r="G250" s="443">
        <f t="shared" si="31"/>
        <v>60.169460566254841</v>
      </c>
      <c r="H250" s="443">
        <f t="shared" si="32"/>
        <v>50.475308043672499</v>
      </c>
      <c r="I250" s="443">
        <f t="shared" si="33"/>
        <v>35.934079259798978</v>
      </c>
      <c r="J250" s="443">
        <f t="shared" si="34"/>
        <v>11.698697953343128</v>
      </c>
      <c r="K250" s="443">
        <f t="shared" si="35"/>
        <v>0</v>
      </c>
      <c r="L250" s="445">
        <f t="shared" si="36"/>
        <v>21.84470063893243</v>
      </c>
      <c r="M250" s="299">
        <f>L250*D250*VPI!Q250</f>
        <v>1425454.0954928969</v>
      </c>
    </row>
    <row r="251" spans="1:13" x14ac:dyDescent="0.25">
      <c r="A251" s="169">
        <f>Données!A251</f>
        <v>5851</v>
      </c>
      <c r="B251" s="27" t="str">
        <f>Données!B251</f>
        <v>Allaman</v>
      </c>
      <c r="C251" s="347">
        <f>VPI!R251</f>
        <v>24651.765025641023</v>
      </c>
      <c r="D251" s="27">
        <f>Données!Z251</f>
        <v>420</v>
      </c>
      <c r="E251" s="114">
        <f t="shared" si="29"/>
        <v>58.694678632478627</v>
      </c>
      <c r="F251" s="188">
        <f t="shared" si="30"/>
        <v>1.2109295473895318</v>
      </c>
      <c r="G251" s="443">
        <f t="shared" si="31"/>
        <v>10.223916019566914</v>
      </c>
      <c r="H251" s="443">
        <f t="shared" si="32"/>
        <v>0.5297634969845717</v>
      </c>
      <c r="I251" s="443">
        <f t="shared" si="33"/>
        <v>0</v>
      </c>
      <c r="J251" s="443">
        <f t="shared" si="34"/>
        <v>0</v>
      </c>
      <c r="K251" s="443">
        <f t="shared" si="35"/>
        <v>0</v>
      </c>
      <c r="L251" s="445">
        <f t="shared" si="36"/>
        <v>2.0977595536118403</v>
      </c>
      <c r="M251" s="299">
        <f>L251*D251*VPI!Q251</f>
        <v>57268.835813603233</v>
      </c>
    </row>
    <row r="252" spans="1:13" x14ac:dyDescent="0.25">
      <c r="A252" s="169">
        <f>Données!A252</f>
        <v>5852</v>
      </c>
      <c r="B252" s="27" t="str">
        <f>Données!B252</f>
        <v>Bursinel</v>
      </c>
      <c r="C252" s="347">
        <f>VPI!R252</f>
        <v>35649.594677419358</v>
      </c>
      <c r="D252" s="27">
        <f>Données!Z252</f>
        <v>503</v>
      </c>
      <c r="E252" s="114">
        <f t="shared" si="29"/>
        <v>70.87394568075419</v>
      </c>
      <c r="F252" s="188">
        <f t="shared" si="30"/>
        <v>1.4621999296102406</v>
      </c>
      <c r="G252" s="443">
        <f t="shared" si="31"/>
        <v>22.403183067842477</v>
      </c>
      <c r="H252" s="443">
        <f t="shared" si="32"/>
        <v>12.709030545260134</v>
      </c>
      <c r="I252" s="443">
        <f t="shared" si="33"/>
        <v>0</v>
      </c>
      <c r="J252" s="443">
        <f t="shared" si="34"/>
        <v>0</v>
      </c>
      <c r="K252" s="443">
        <f t="shared" si="35"/>
        <v>0</v>
      </c>
      <c r="L252" s="445">
        <f t="shared" si="36"/>
        <v>5.7515396680945088</v>
      </c>
      <c r="M252" s="299">
        <f>L252*D252*VPI!Q252</f>
        <v>179367.51608919536</v>
      </c>
    </row>
    <row r="253" spans="1:13" x14ac:dyDescent="0.25">
      <c r="A253" s="169">
        <f>Données!A253</f>
        <v>5853</v>
      </c>
      <c r="B253" s="27" t="str">
        <f>Données!B253</f>
        <v>Bursins</v>
      </c>
      <c r="C253" s="347">
        <f>VPI!R253</f>
        <v>47536.23239436619</v>
      </c>
      <c r="D253" s="27">
        <f>Données!Z253</f>
        <v>766</v>
      </c>
      <c r="E253" s="114">
        <f t="shared" si="29"/>
        <v>62.057744640164742</v>
      </c>
      <c r="F253" s="188">
        <f t="shared" si="30"/>
        <v>1.280312941138535</v>
      </c>
      <c r="G253" s="443">
        <f t="shared" si="31"/>
        <v>13.586982027253029</v>
      </c>
      <c r="H253" s="443">
        <f t="shared" si="32"/>
        <v>3.8928295046706864</v>
      </c>
      <c r="I253" s="443">
        <f t="shared" si="33"/>
        <v>0</v>
      </c>
      <c r="J253" s="443">
        <f t="shared" si="34"/>
        <v>0</v>
      </c>
      <c r="K253" s="443">
        <f t="shared" si="35"/>
        <v>0</v>
      </c>
      <c r="L253" s="445">
        <f t="shared" si="36"/>
        <v>3.1066793559176746</v>
      </c>
      <c r="M253" s="299">
        <f>L253*D253*VPI!Q253</f>
        <v>168959.86345093866</v>
      </c>
    </row>
    <row r="254" spans="1:13" x14ac:dyDescent="0.25">
      <c r="A254" s="169">
        <f>Données!A254</f>
        <v>5854</v>
      </c>
      <c r="B254" s="27" t="str">
        <f>Données!B254</f>
        <v>Burtigny</v>
      </c>
      <c r="C254" s="347">
        <f>VPI!R254</f>
        <v>15260.883397027597</v>
      </c>
      <c r="D254" s="27">
        <f>Données!Z254</f>
        <v>414</v>
      </c>
      <c r="E254" s="114">
        <f t="shared" si="29"/>
        <v>36.862037190887918</v>
      </c>
      <c r="F254" s="188">
        <f t="shared" si="30"/>
        <v>0.76050045849843007</v>
      </c>
      <c r="G254" s="443">
        <f t="shared" si="31"/>
        <v>0</v>
      </c>
      <c r="H254" s="443">
        <f t="shared" si="32"/>
        <v>0</v>
      </c>
      <c r="I254" s="443">
        <f t="shared" si="33"/>
        <v>0</v>
      </c>
      <c r="J254" s="443">
        <f t="shared" si="34"/>
        <v>0</v>
      </c>
      <c r="K254" s="443">
        <f t="shared" si="35"/>
        <v>0</v>
      </c>
      <c r="L254" s="445">
        <f t="shared" si="36"/>
        <v>0</v>
      </c>
      <c r="M254" s="299">
        <f>L254*D254*VPI!Q254</f>
        <v>0</v>
      </c>
    </row>
    <row r="255" spans="1:13" x14ac:dyDescent="0.25">
      <c r="A255" s="169">
        <f>Données!A255</f>
        <v>5855</v>
      </c>
      <c r="B255" s="27" t="str">
        <f>Données!B255</f>
        <v>Dully</v>
      </c>
      <c r="C255" s="347">
        <f>VPI!R255</f>
        <v>82571.89</v>
      </c>
      <c r="D255" s="27">
        <f>Données!Z255</f>
        <v>631</v>
      </c>
      <c r="E255" s="114">
        <f t="shared" si="29"/>
        <v>130.85877971473852</v>
      </c>
      <c r="F255" s="188">
        <f t="shared" si="30"/>
        <v>2.6997466650107991</v>
      </c>
      <c r="G255" s="443">
        <f t="shared" si="31"/>
        <v>82.388017101826804</v>
      </c>
      <c r="H255" s="443">
        <f t="shared" si="32"/>
        <v>72.693864579244462</v>
      </c>
      <c r="I255" s="443">
        <f t="shared" si="33"/>
        <v>58.152635795370941</v>
      </c>
      <c r="J255" s="443">
        <f t="shared" si="34"/>
        <v>33.917254488915091</v>
      </c>
      <c r="K255" s="443">
        <f t="shared" si="35"/>
        <v>0</v>
      </c>
      <c r="L255" s="445">
        <f t="shared" si="36"/>
        <v>32.953978906718412</v>
      </c>
      <c r="M255" s="299">
        <f>L255*D255*VPI!Q255</f>
        <v>1102079.9165773839</v>
      </c>
    </row>
    <row r="256" spans="1:13" x14ac:dyDescent="0.25">
      <c r="A256" s="169">
        <f>Données!A256</f>
        <v>5856</v>
      </c>
      <c r="B256" s="27" t="str">
        <f>Données!B256</f>
        <v>Essertines-sur-Rolle</v>
      </c>
      <c r="C256" s="347">
        <f>VPI!R256</f>
        <v>36460.812481203015</v>
      </c>
      <c r="D256" s="27">
        <f>Données!Z256</f>
        <v>749</v>
      </c>
      <c r="E256" s="114">
        <f t="shared" si="29"/>
        <v>48.679322404810435</v>
      </c>
      <c r="F256" s="188">
        <f t="shared" si="30"/>
        <v>1.0043027957609061</v>
      </c>
      <c r="G256" s="443">
        <f t="shared" si="31"/>
        <v>0.20855979189872187</v>
      </c>
      <c r="H256" s="443">
        <f t="shared" si="32"/>
        <v>0</v>
      </c>
      <c r="I256" s="443">
        <f t="shared" si="33"/>
        <v>0</v>
      </c>
      <c r="J256" s="443">
        <f t="shared" si="34"/>
        <v>0</v>
      </c>
      <c r="K256" s="443">
        <f t="shared" si="35"/>
        <v>0</v>
      </c>
      <c r="L256" s="445">
        <f t="shared" si="36"/>
        <v>4.1711958379744375E-2</v>
      </c>
      <c r="M256" s="299">
        <f>L256*D256*VPI!Q256</f>
        <v>2077.6100789574975</v>
      </c>
    </row>
    <row r="257" spans="1:13" x14ac:dyDescent="0.25">
      <c r="A257" s="169">
        <f>Données!A257</f>
        <v>5857</v>
      </c>
      <c r="B257" s="27" t="str">
        <f>Données!B257</f>
        <v>Gilly</v>
      </c>
      <c r="C257" s="347">
        <f>VPI!R257</f>
        <v>86828.689767441872</v>
      </c>
      <c r="D257" s="27">
        <f>Données!Z257</f>
        <v>1446</v>
      </c>
      <c r="E257" s="114">
        <f t="shared" si="29"/>
        <v>60.047503296986079</v>
      </c>
      <c r="F257" s="188">
        <f t="shared" si="30"/>
        <v>1.2388396645731861</v>
      </c>
      <c r="G257" s="443">
        <f t="shared" si="31"/>
        <v>11.576740684074366</v>
      </c>
      <c r="H257" s="443">
        <f t="shared" si="32"/>
        <v>1.8825881614920235</v>
      </c>
      <c r="I257" s="443">
        <f t="shared" si="33"/>
        <v>0</v>
      </c>
      <c r="J257" s="443">
        <f t="shared" si="34"/>
        <v>0</v>
      </c>
      <c r="K257" s="443">
        <f t="shared" si="35"/>
        <v>0</v>
      </c>
      <c r="L257" s="445">
        <f t="shared" si="36"/>
        <v>2.5036069529640756</v>
      </c>
      <c r="M257" s="299">
        <f>L257*D257*VPI!Q257</f>
        <v>233503.90968210044</v>
      </c>
    </row>
    <row r="258" spans="1:13" x14ac:dyDescent="0.25">
      <c r="A258" s="169">
        <f>Données!A258</f>
        <v>5858</v>
      </c>
      <c r="B258" s="27" t="str">
        <f>Données!B258</f>
        <v>Luins</v>
      </c>
      <c r="C258" s="347">
        <f>VPI!R258</f>
        <v>41161.285925925928</v>
      </c>
      <c r="D258" s="27">
        <f>Données!Z258</f>
        <v>618</v>
      </c>
      <c r="E258" s="114">
        <f t="shared" si="29"/>
        <v>66.604022533860729</v>
      </c>
      <c r="F258" s="188">
        <f t="shared" si="30"/>
        <v>1.3741071718999249</v>
      </c>
      <c r="G258" s="443">
        <f t="shared" si="31"/>
        <v>18.133259920949016</v>
      </c>
      <c r="H258" s="443">
        <f t="shared" si="32"/>
        <v>8.4391073983666729</v>
      </c>
      <c r="I258" s="443">
        <f t="shared" si="33"/>
        <v>0</v>
      </c>
      <c r="J258" s="443">
        <f t="shared" si="34"/>
        <v>0</v>
      </c>
      <c r="K258" s="443">
        <f t="shared" si="35"/>
        <v>0</v>
      </c>
      <c r="L258" s="445">
        <f t="shared" si="36"/>
        <v>4.47056272402647</v>
      </c>
      <c r="M258" s="299">
        <f>L258*D258*VPI!Q258</f>
        <v>161624.25416172895</v>
      </c>
    </row>
    <row r="259" spans="1:13" x14ac:dyDescent="0.25">
      <c r="A259" s="169">
        <f>Données!A259</f>
        <v>5859</v>
      </c>
      <c r="B259" s="27" t="str">
        <f>Données!B259</f>
        <v>Mont-sur-Rolle</v>
      </c>
      <c r="C259" s="347">
        <f>VPI!R259</f>
        <v>158436.40771653541</v>
      </c>
      <c r="D259" s="27">
        <f>Données!Z259</f>
        <v>2759</v>
      </c>
      <c r="E259" s="114">
        <f t="shared" si="29"/>
        <v>57.42530181824408</v>
      </c>
      <c r="F259" s="188">
        <f t="shared" si="30"/>
        <v>1.1847410422824056</v>
      </c>
      <c r="G259" s="443">
        <f t="shared" si="31"/>
        <v>8.9545392053323667</v>
      </c>
      <c r="H259" s="443">
        <f t="shared" si="32"/>
        <v>0</v>
      </c>
      <c r="I259" s="443">
        <f t="shared" si="33"/>
        <v>0</v>
      </c>
      <c r="J259" s="443">
        <f t="shared" si="34"/>
        <v>0</v>
      </c>
      <c r="K259" s="443">
        <f t="shared" si="35"/>
        <v>0</v>
      </c>
      <c r="L259" s="445">
        <f t="shared" si="36"/>
        <v>1.7909078410664734</v>
      </c>
      <c r="M259" s="299">
        <f>L259*D259*VPI!Q259</f>
        <v>313760.78557740239</v>
      </c>
    </row>
    <row r="260" spans="1:13" x14ac:dyDescent="0.25">
      <c r="A260" s="169">
        <f>Données!A260</f>
        <v>5860</v>
      </c>
      <c r="B260" s="27" t="str">
        <f>Données!B260</f>
        <v>Perroy</v>
      </c>
      <c r="C260" s="347">
        <f>VPI!R260</f>
        <v>132374.98733727811</v>
      </c>
      <c r="D260" s="27">
        <f>Données!Z260</f>
        <v>1542</v>
      </c>
      <c r="E260" s="114">
        <f t="shared" si="29"/>
        <v>85.846295290063622</v>
      </c>
      <c r="F260" s="188">
        <f t="shared" si="30"/>
        <v>1.771094380660637</v>
      </c>
      <c r="G260" s="443">
        <f t="shared" si="31"/>
        <v>37.375532677151909</v>
      </c>
      <c r="H260" s="443">
        <f t="shared" si="32"/>
        <v>27.681380154569567</v>
      </c>
      <c r="I260" s="443">
        <f t="shared" si="33"/>
        <v>13.140151370696046</v>
      </c>
      <c r="J260" s="443">
        <f t="shared" si="34"/>
        <v>0</v>
      </c>
      <c r="K260" s="443">
        <f t="shared" si="35"/>
        <v>0</v>
      </c>
      <c r="L260" s="445">
        <f t="shared" si="36"/>
        <v>11.557259687956943</v>
      </c>
      <c r="M260" s="299">
        <f>L260*D260*VPI!Q260</f>
        <v>1042545.7246715319</v>
      </c>
    </row>
    <row r="261" spans="1:13" x14ac:dyDescent="0.25">
      <c r="A261" s="169">
        <f>Données!A261</f>
        <v>5861</v>
      </c>
      <c r="B261" s="27" t="str">
        <f>Données!B261</f>
        <v>Rolle</v>
      </c>
      <c r="C261" s="347">
        <f>VPI!R261</f>
        <v>897513.79815126071</v>
      </c>
      <c r="D261" s="27">
        <f>Données!Z261</f>
        <v>6321</v>
      </c>
      <c r="E261" s="114">
        <f t="shared" si="29"/>
        <v>141.98921027547235</v>
      </c>
      <c r="F261" s="188">
        <f t="shared" si="30"/>
        <v>2.9293785082236163</v>
      </c>
      <c r="G261" s="443">
        <f t="shared" si="31"/>
        <v>93.518447662560632</v>
      </c>
      <c r="H261" s="443">
        <f t="shared" si="32"/>
        <v>83.82429513997829</v>
      </c>
      <c r="I261" s="443">
        <f t="shared" si="33"/>
        <v>69.283066356104769</v>
      </c>
      <c r="J261" s="443">
        <f t="shared" si="34"/>
        <v>45.047685049648919</v>
      </c>
      <c r="K261" s="443">
        <f t="shared" si="35"/>
        <v>0</v>
      </c>
      <c r="L261" s="445">
        <f t="shared" si="36"/>
        <v>38.519194187085326</v>
      </c>
      <c r="M261" s="299">
        <f>L261*D261*VPI!Q261</f>
        <v>14487049.674165698</v>
      </c>
    </row>
    <row r="262" spans="1:13" x14ac:dyDescent="0.25">
      <c r="A262" s="169">
        <f>Données!A262</f>
        <v>5862</v>
      </c>
      <c r="B262" s="27" t="str">
        <f>Données!B262</f>
        <v>Tartegnin</v>
      </c>
      <c r="C262" s="347">
        <f>VPI!R262</f>
        <v>10371.497468354431</v>
      </c>
      <c r="D262" s="27">
        <f>Données!Z262</f>
        <v>249</v>
      </c>
      <c r="E262" s="114">
        <f t="shared" si="29"/>
        <v>41.652600274515791</v>
      </c>
      <c r="F262" s="188">
        <f t="shared" si="30"/>
        <v>0.85933453548387762</v>
      </c>
      <c r="G262" s="443">
        <f t="shared" si="31"/>
        <v>0</v>
      </c>
      <c r="H262" s="443">
        <f t="shared" si="32"/>
        <v>0</v>
      </c>
      <c r="I262" s="443">
        <f t="shared" si="33"/>
        <v>0</v>
      </c>
      <c r="J262" s="443">
        <f t="shared" si="34"/>
        <v>0</v>
      </c>
      <c r="K262" s="443">
        <f t="shared" si="35"/>
        <v>0</v>
      </c>
      <c r="L262" s="445">
        <f t="shared" si="36"/>
        <v>0</v>
      </c>
      <c r="M262" s="299">
        <f>L262*D262*VPI!Q262</f>
        <v>0</v>
      </c>
    </row>
    <row r="263" spans="1:13" x14ac:dyDescent="0.25">
      <c r="A263" s="169">
        <f>Données!A263</f>
        <v>5863</v>
      </c>
      <c r="B263" s="27" t="str">
        <f>Données!B263</f>
        <v>Vinzel</v>
      </c>
      <c r="C263" s="347">
        <f>VPI!R263</f>
        <v>23661.929552238806</v>
      </c>
      <c r="D263" s="27">
        <f>Données!Z263</f>
        <v>378</v>
      </c>
      <c r="E263" s="114">
        <f t="shared" ref="E263:E305" si="37">C263/D263</f>
        <v>62.597697228144987</v>
      </c>
      <c r="F263" s="188">
        <f t="shared" ref="F263:F305" si="38">E263/$E$306</f>
        <v>1.2914526996006066</v>
      </c>
      <c r="G263" s="443">
        <f t="shared" ref="G263:G305" si="39">IF(E263-$G$3&lt;0,0,E263-$G$3)</f>
        <v>14.126934615233274</v>
      </c>
      <c r="H263" s="443">
        <f t="shared" ref="H263:H305" si="40">IF(E263-$H$3&lt;0,0,E263-$H$3)</f>
        <v>4.4327820926509318</v>
      </c>
      <c r="I263" s="443">
        <f t="shared" ref="I263:I305" si="41">IF(E263-$I$3&lt;0,0,E263-$I$3)</f>
        <v>0</v>
      </c>
      <c r="J263" s="443">
        <f t="shared" ref="J263:J305" si="42">IF(E263-$J$3&lt;0,0,E263-$J$3)</f>
        <v>0</v>
      </c>
      <c r="K263" s="443">
        <f t="shared" ref="K263:K305" si="43">IF(E263-$K$3&lt;0,0,E263-$K$3)</f>
        <v>0</v>
      </c>
      <c r="L263" s="445">
        <f t="shared" ref="L263:L305" si="44">(G263-H263)*$G$4+(H263-I263)*$H$4+(I263-J263)*$I$4+(J263-K263)*$J$4+(K263*$K$4)</f>
        <v>3.2686651323117482</v>
      </c>
      <c r="M263" s="299">
        <f>L263*D263*VPI!Q263</f>
        <v>82782.213140927342</v>
      </c>
    </row>
    <row r="264" spans="1:13" x14ac:dyDescent="0.25">
      <c r="A264" s="169">
        <f>Données!A264</f>
        <v>5871</v>
      </c>
      <c r="B264" s="27" t="str">
        <f>Données!B264</f>
        <v>L'Abbaye</v>
      </c>
      <c r="C264" s="347">
        <f>VPI!R264</f>
        <v>50236.516429495467</v>
      </c>
      <c r="D264" s="27">
        <f>Données!Z264</f>
        <v>1534</v>
      </c>
      <c r="E264" s="114">
        <f t="shared" si="37"/>
        <v>32.74870692926693</v>
      </c>
      <c r="F264" s="188">
        <f t="shared" si="38"/>
        <v>0.67563836762376994</v>
      </c>
      <c r="G264" s="443">
        <f t="shared" si="39"/>
        <v>0</v>
      </c>
      <c r="H264" s="443">
        <f t="shared" si="40"/>
        <v>0</v>
      </c>
      <c r="I264" s="443">
        <f t="shared" si="41"/>
        <v>0</v>
      </c>
      <c r="J264" s="443">
        <f t="shared" si="42"/>
        <v>0</v>
      </c>
      <c r="K264" s="443">
        <f t="shared" si="43"/>
        <v>0</v>
      </c>
      <c r="L264" s="445">
        <f t="shared" si="44"/>
        <v>0</v>
      </c>
      <c r="M264" s="299">
        <f>L264*D264*VPI!Q264</f>
        <v>0</v>
      </c>
    </row>
    <row r="265" spans="1:13" x14ac:dyDescent="0.25">
      <c r="A265" s="169">
        <f>Données!A265</f>
        <v>5872</v>
      </c>
      <c r="B265" s="27" t="str">
        <f>Données!B265</f>
        <v>Le Chenit</v>
      </c>
      <c r="C265" s="347">
        <f>VPI!R265</f>
        <v>317064.3538829867</v>
      </c>
      <c r="D265" s="27">
        <f>Données!Z265</f>
        <v>4613</v>
      </c>
      <c r="E265" s="114">
        <f t="shared" si="37"/>
        <v>68.732788615431758</v>
      </c>
      <c r="F265" s="188">
        <f t="shared" si="38"/>
        <v>1.4180257316009841</v>
      </c>
      <c r="G265" s="443">
        <f t="shared" si="39"/>
        <v>20.262026002520045</v>
      </c>
      <c r="H265" s="443">
        <f t="shared" si="40"/>
        <v>10.567873479937703</v>
      </c>
      <c r="I265" s="443">
        <f t="shared" si="41"/>
        <v>0</v>
      </c>
      <c r="J265" s="443">
        <f t="shared" si="42"/>
        <v>0</v>
      </c>
      <c r="K265" s="443">
        <f t="shared" si="43"/>
        <v>0</v>
      </c>
      <c r="L265" s="445">
        <f t="shared" si="44"/>
        <v>5.1091925484977789</v>
      </c>
      <c r="M265" s="299">
        <f>L265*D265*VPI!Q265</f>
        <v>1575096.5702682997</v>
      </c>
    </row>
    <row r="266" spans="1:13" x14ac:dyDescent="0.25">
      <c r="A266" s="169">
        <f>Données!A266</f>
        <v>5873</v>
      </c>
      <c r="B266" s="27" t="str">
        <f>Données!B266</f>
        <v>Le Lieu</v>
      </c>
      <c r="C266" s="347">
        <f>VPI!R266</f>
        <v>35207.025785714286</v>
      </c>
      <c r="D266" s="27">
        <f>Données!Z266</f>
        <v>886</v>
      </c>
      <c r="E266" s="114">
        <f t="shared" si="37"/>
        <v>39.737049419542082</v>
      </c>
      <c r="F266" s="188">
        <f t="shared" si="38"/>
        <v>0.81981481778784449</v>
      </c>
      <c r="G266" s="443">
        <f t="shared" si="39"/>
        <v>0</v>
      </c>
      <c r="H266" s="443">
        <f t="shared" si="40"/>
        <v>0</v>
      </c>
      <c r="I266" s="443">
        <f t="shared" si="41"/>
        <v>0</v>
      </c>
      <c r="J266" s="443">
        <f t="shared" si="42"/>
        <v>0</v>
      </c>
      <c r="K266" s="443">
        <f t="shared" si="43"/>
        <v>0</v>
      </c>
      <c r="L266" s="445">
        <f t="shared" si="44"/>
        <v>0</v>
      </c>
      <c r="M266" s="299">
        <f>L266*D266*VPI!Q266</f>
        <v>0</v>
      </c>
    </row>
    <row r="267" spans="1:13" x14ac:dyDescent="0.25">
      <c r="A267" s="169">
        <f>Données!A267</f>
        <v>5882</v>
      </c>
      <c r="B267" s="27" t="str">
        <f>Données!B267</f>
        <v>Chardonne</v>
      </c>
      <c r="C267" s="347">
        <f>VPI!R267</f>
        <v>201756.91955882352</v>
      </c>
      <c r="D267" s="27">
        <f>Données!Z267</f>
        <v>3192</v>
      </c>
      <c r="E267" s="114">
        <f t="shared" si="37"/>
        <v>63.207054999631424</v>
      </c>
      <c r="F267" s="188">
        <f t="shared" si="38"/>
        <v>1.3040243559690607</v>
      </c>
      <c r="G267" s="443">
        <f t="shared" si="39"/>
        <v>14.736292386719711</v>
      </c>
      <c r="H267" s="443">
        <f t="shared" si="40"/>
        <v>5.0421398641373685</v>
      </c>
      <c r="I267" s="443">
        <f t="shared" si="41"/>
        <v>0</v>
      </c>
      <c r="J267" s="443">
        <f t="shared" si="42"/>
        <v>0</v>
      </c>
      <c r="K267" s="443">
        <f t="shared" si="43"/>
        <v>0</v>
      </c>
      <c r="L267" s="445">
        <f t="shared" si="44"/>
        <v>3.4514724637576792</v>
      </c>
      <c r="M267" s="299">
        <f>L267*D267*VPI!Q267</f>
        <v>749162.80709338677</v>
      </c>
    </row>
    <row r="268" spans="1:13" x14ac:dyDescent="0.25">
      <c r="A268" s="169">
        <f>Données!A268</f>
        <v>5883</v>
      </c>
      <c r="B268" s="27" t="str">
        <f>Données!B268</f>
        <v>Corseaux</v>
      </c>
      <c r="C268" s="347">
        <f>VPI!R268</f>
        <v>180896.25407407407</v>
      </c>
      <c r="D268" s="27">
        <f>Données!Z268</f>
        <v>2307</v>
      </c>
      <c r="E268" s="114">
        <f t="shared" si="37"/>
        <v>78.411900335532749</v>
      </c>
      <c r="F268" s="188">
        <f t="shared" si="38"/>
        <v>1.6177154248991592</v>
      </c>
      <c r="G268" s="443">
        <f t="shared" si="39"/>
        <v>29.941137722621036</v>
      </c>
      <c r="H268" s="443">
        <f t="shared" si="40"/>
        <v>20.246985200038694</v>
      </c>
      <c r="I268" s="443">
        <f t="shared" si="41"/>
        <v>5.7057564161651726</v>
      </c>
      <c r="J268" s="443">
        <f t="shared" si="42"/>
        <v>0</v>
      </c>
      <c r="K268" s="443">
        <f t="shared" si="43"/>
        <v>0</v>
      </c>
      <c r="L268" s="445">
        <f t="shared" si="44"/>
        <v>8.5835017061445953</v>
      </c>
      <c r="M268" s="299">
        <f>L268*D268*VPI!Q268</f>
        <v>1336644.3444351016</v>
      </c>
    </row>
    <row r="269" spans="1:13" x14ac:dyDescent="0.25">
      <c r="A269" s="169">
        <f>Données!A269</f>
        <v>5884</v>
      </c>
      <c r="B269" s="27" t="str">
        <f>Données!B269</f>
        <v>Corsier-sur-Vevey</v>
      </c>
      <c r="C269" s="347">
        <f>VPI!R269</f>
        <v>128051.27881136951</v>
      </c>
      <c r="D269" s="27">
        <f>Données!Z269</f>
        <v>3366</v>
      </c>
      <c r="E269" s="114">
        <f t="shared" si="37"/>
        <v>38.042566491791298</v>
      </c>
      <c r="F269" s="188">
        <f t="shared" si="38"/>
        <v>0.78485595111427986</v>
      </c>
      <c r="G269" s="443">
        <f t="shared" si="39"/>
        <v>0</v>
      </c>
      <c r="H269" s="443">
        <f t="shared" si="40"/>
        <v>0</v>
      </c>
      <c r="I269" s="443">
        <f t="shared" si="41"/>
        <v>0</v>
      </c>
      <c r="J269" s="443">
        <f t="shared" si="42"/>
        <v>0</v>
      </c>
      <c r="K269" s="443">
        <f t="shared" si="43"/>
        <v>0</v>
      </c>
      <c r="L269" s="445">
        <f t="shared" si="44"/>
        <v>0</v>
      </c>
      <c r="M269" s="299">
        <f>L269*D269*VPI!Q269</f>
        <v>0</v>
      </c>
    </row>
    <row r="270" spans="1:13" x14ac:dyDescent="0.25">
      <c r="A270" s="169">
        <f>Données!A270</f>
        <v>5885</v>
      </c>
      <c r="B270" s="27" t="str">
        <f>Données!B270</f>
        <v>Jongny</v>
      </c>
      <c r="C270" s="347">
        <f>VPI!R270</f>
        <v>104091.36242206233</v>
      </c>
      <c r="D270" s="27">
        <f>Données!Z270</f>
        <v>1842</v>
      </c>
      <c r="E270" s="114">
        <f t="shared" si="37"/>
        <v>56.509968741619069</v>
      </c>
      <c r="F270" s="188">
        <f t="shared" si="38"/>
        <v>1.1658568113092955</v>
      </c>
      <c r="G270" s="443">
        <f t="shared" si="39"/>
        <v>8.039206128707356</v>
      </c>
      <c r="H270" s="443">
        <f t="shared" si="40"/>
        <v>0</v>
      </c>
      <c r="I270" s="443">
        <f t="shared" si="41"/>
        <v>0</v>
      </c>
      <c r="J270" s="443">
        <f t="shared" si="42"/>
        <v>0</v>
      </c>
      <c r="K270" s="443">
        <f t="shared" si="43"/>
        <v>0</v>
      </c>
      <c r="L270" s="445">
        <f t="shared" si="44"/>
        <v>1.6078412257414714</v>
      </c>
      <c r="M270" s="299">
        <f>L270*D270*VPI!Q270</f>
        <v>205834.22587819744</v>
      </c>
    </row>
    <row r="271" spans="1:13" x14ac:dyDescent="0.25">
      <c r="A271" s="169">
        <f>Données!A271</f>
        <v>5886</v>
      </c>
      <c r="B271" s="27" t="str">
        <f>Données!B271</f>
        <v>Montreux</v>
      </c>
      <c r="C271" s="347">
        <f>VPI!R271</f>
        <v>1153112.7161538461</v>
      </c>
      <c r="D271" s="27">
        <f>Données!Z271</f>
        <v>26081</v>
      </c>
      <c r="E271" s="114">
        <f t="shared" si="37"/>
        <v>44.212749363668806</v>
      </c>
      <c r="F271" s="188">
        <f t="shared" si="38"/>
        <v>0.91215295531354712</v>
      </c>
      <c r="G271" s="443">
        <f t="shared" si="39"/>
        <v>0</v>
      </c>
      <c r="H271" s="443">
        <f t="shared" si="40"/>
        <v>0</v>
      </c>
      <c r="I271" s="443">
        <f t="shared" si="41"/>
        <v>0</v>
      </c>
      <c r="J271" s="443">
        <f t="shared" si="42"/>
        <v>0</v>
      </c>
      <c r="K271" s="443">
        <f t="shared" si="43"/>
        <v>0</v>
      </c>
      <c r="L271" s="445">
        <f t="shared" si="44"/>
        <v>0</v>
      </c>
      <c r="M271" s="299">
        <f>L271*D271*VPI!Q271</f>
        <v>0</v>
      </c>
    </row>
    <row r="272" spans="1:13" x14ac:dyDescent="0.25">
      <c r="A272" s="169">
        <f>Données!A272</f>
        <v>5889</v>
      </c>
      <c r="B272" s="27" t="str">
        <f>Données!B272</f>
        <v>La Tour-de-Peilz</v>
      </c>
      <c r="C272" s="347">
        <f>VPI!R272</f>
        <v>709179.36611979152</v>
      </c>
      <c r="D272" s="27">
        <f>Données!Z272</f>
        <v>12400</v>
      </c>
      <c r="E272" s="114">
        <f t="shared" si="37"/>
        <v>57.191884364499316</v>
      </c>
      <c r="F272" s="188">
        <f t="shared" si="38"/>
        <v>1.1799254082555832</v>
      </c>
      <c r="G272" s="443">
        <f t="shared" si="39"/>
        <v>8.7211217515876029</v>
      </c>
      <c r="H272" s="443">
        <f t="shared" si="40"/>
        <v>0</v>
      </c>
      <c r="I272" s="443">
        <f t="shared" si="41"/>
        <v>0</v>
      </c>
      <c r="J272" s="443">
        <f t="shared" si="42"/>
        <v>0</v>
      </c>
      <c r="K272" s="443">
        <f t="shared" si="43"/>
        <v>0</v>
      </c>
      <c r="L272" s="445">
        <f t="shared" si="44"/>
        <v>1.7442243503175208</v>
      </c>
      <c r="M272" s="299">
        <f>L272*D272*VPI!Q272</f>
        <v>1384216.4444119844</v>
      </c>
    </row>
    <row r="273" spans="1:13" x14ac:dyDescent="0.25">
      <c r="A273" s="169">
        <f>Données!A273</f>
        <v>5890</v>
      </c>
      <c r="B273" s="27" t="str">
        <f>Données!B273</f>
        <v>Vevey</v>
      </c>
      <c r="C273" s="347">
        <f>VPI!R273</f>
        <v>945087.70393736032</v>
      </c>
      <c r="D273" s="27">
        <f>Données!Z273</f>
        <v>19743</v>
      </c>
      <c r="E273" s="114">
        <f t="shared" si="37"/>
        <v>47.869508379545174</v>
      </c>
      <c r="F273" s="188">
        <f t="shared" si="38"/>
        <v>0.98759552767576275</v>
      </c>
      <c r="G273" s="443">
        <f t="shared" si="39"/>
        <v>0</v>
      </c>
      <c r="H273" s="443">
        <f t="shared" si="40"/>
        <v>0</v>
      </c>
      <c r="I273" s="443">
        <f t="shared" si="41"/>
        <v>0</v>
      </c>
      <c r="J273" s="443">
        <f t="shared" si="42"/>
        <v>0</v>
      </c>
      <c r="K273" s="443">
        <f t="shared" si="43"/>
        <v>0</v>
      </c>
      <c r="L273" s="445">
        <f t="shared" si="44"/>
        <v>0</v>
      </c>
      <c r="M273" s="299">
        <f>L273*D273*VPI!Q273</f>
        <v>0</v>
      </c>
    </row>
    <row r="274" spans="1:13" x14ac:dyDescent="0.25">
      <c r="A274" s="169">
        <f>Données!A274</f>
        <v>5891</v>
      </c>
      <c r="B274" s="27" t="str">
        <f>Données!B274</f>
        <v>Veytaux</v>
      </c>
      <c r="C274" s="347">
        <f>VPI!R274</f>
        <v>41113.316211031175</v>
      </c>
      <c r="D274" s="27">
        <f>Données!Z274</f>
        <v>970</v>
      </c>
      <c r="E274" s="114">
        <f t="shared" si="37"/>
        <v>42.384862073228014</v>
      </c>
      <c r="F274" s="188">
        <f t="shared" si="38"/>
        <v>0.87444182406854631</v>
      </c>
      <c r="G274" s="443">
        <f t="shared" si="39"/>
        <v>0</v>
      </c>
      <c r="H274" s="443">
        <f t="shared" si="40"/>
        <v>0</v>
      </c>
      <c r="I274" s="443">
        <f t="shared" si="41"/>
        <v>0</v>
      </c>
      <c r="J274" s="443">
        <f t="shared" si="42"/>
        <v>0</v>
      </c>
      <c r="K274" s="443">
        <f t="shared" si="43"/>
        <v>0</v>
      </c>
      <c r="L274" s="445">
        <f t="shared" si="44"/>
        <v>0</v>
      </c>
      <c r="M274" s="299">
        <f>L274*D274*VPI!Q274</f>
        <v>0</v>
      </c>
    </row>
    <row r="275" spans="1:13" x14ac:dyDescent="0.25">
      <c r="A275" s="169">
        <f>Données!A275</f>
        <v>5892</v>
      </c>
      <c r="B275" s="27" t="str">
        <f>Données!B275</f>
        <v>Blonay-Saint-Légier</v>
      </c>
      <c r="C275" s="347">
        <f>VPI!R275</f>
        <v>749734.6567883211</v>
      </c>
      <c r="D275" s="27">
        <f>Données!Z275</f>
        <v>12123</v>
      </c>
      <c r="E275" s="114">
        <f t="shared" si="37"/>
        <v>61.843987196924942</v>
      </c>
      <c r="F275" s="188">
        <f t="shared" si="38"/>
        <v>1.2759029126653527</v>
      </c>
      <c r="G275" s="443">
        <f t="shared" si="39"/>
        <v>13.373224584013229</v>
      </c>
      <c r="H275" s="443">
        <f t="shared" si="40"/>
        <v>3.6790720614308867</v>
      </c>
      <c r="I275" s="443">
        <f t="shared" si="41"/>
        <v>0</v>
      </c>
      <c r="J275" s="443">
        <f t="shared" si="42"/>
        <v>0</v>
      </c>
      <c r="K275" s="443">
        <f t="shared" si="43"/>
        <v>0</v>
      </c>
      <c r="L275" s="445">
        <f t="shared" si="44"/>
        <v>3.0425521229457346</v>
      </c>
      <c r="M275" s="299">
        <f>L275*D275*VPI!Q275</f>
        <v>2526612.8679732732</v>
      </c>
    </row>
    <row r="276" spans="1:13" x14ac:dyDescent="0.25">
      <c r="A276" s="169">
        <f>Données!A276</f>
        <v>5902</v>
      </c>
      <c r="B276" s="27" t="str">
        <f>Données!B276</f>
        <v>Belmont-sur-Yverdon</v>
      </c>
      <c r="C276" s="347">
        <f>VPI!R276</f>
        <v>11918.01</v>
      </c>
      <c r="D276" s="27">
        <f>Données!Z276</f>
        <v>434</v>
      </c>
      <c r="E276" s="114">
        <f t="shared" si="37"/>
        <v>27.460852534562214</v>
      </c>
      <c r="F276" s="188">
        <f t="shared" si="38"/>
        <v>0.56654467671295006</v>
      </c>
      <c r="G276" s="443">
        <f t="shared" si="39"/>
        <v>0</v>
      </c>
      <c r="H276" s="443">
        <f t="shared" si="40"/>
        <v>0</v>
      </c>
      <c r="I276" s="443">
        <f t="shared" si="41"/>
        <v>0</v>
      </c>
      <c r="J276" s="443">
        <f t="shared" si="42"/>
        <v>0</v>
      </c>
      <c r="K276" s="443">
        <f t="shared" si="43"/>
        <v>0</v>
      </c>
      <c r="L276" s="445">
        <f t="shared" si="44"/>
        <v>0</v>
      </c>
      <c r="M276" s="299">
        <f>L276*D276*VPI!Q276</f>
        <v>0</v>
      </c>
    </row>
    <row r="277" spans="1:13" x14ac:dyDescent="0.25">
      <c r="A277" s="169">
        <f>Données!A277</f>
        <v>5903</v>
      </c>
      <c r="B277" s="27" t="str">
        <f>Données!B277</f>
        <v>Bioley-Magnoux</v>
      </c>
      <c r="C277" s="347">
        <f>VPI!R277</f>
        <v>6275.4313293650803</v>
      </c>
      <c r="D277" s="27">
        <f>Données!Z277</f>
        <v>247</v>
      </c>
      <c r="E277" s="114">
        <f t="shared" si="37"/>
        <v>25.406604572328259</v>
      </c>
      <c r="F277" s="188">
        <f t="shared" si="38"/>
        <v>0.52416349986538913</v>
      </c>
      <c r="G277" s="443">
        <f t="shared" si="39"/>
        <v>0</v>
      </c>
      <c r="H277" s="443">
        <f t="shared" si="40"/>
        <v>0</v>
      </c>
      <c r="I277" s="443">
        <f t="shared" si="41"/>
        <v>0</v>
      </c>
      <c r="J277" s="443">
        <f t="shared" si="42"/>
        <v>0</v>
      </c>
      <c r="K277" s="443">
        <f t="shared" si="43"/>
        <v>0</v>
      </c>
      <c r="L277" s="445">
        <f t="shared" si="44"/>
        <v>0</v>
      </c>
      <c r="M277" s="299">
        <f>L277*D277*VPI!Q277</f>
        <v>0</v>
      </c>
    </row>
    <row r="278" spans="1:13" x14ac:dyDescent="0.25">
      <c r="A278" s="169">
        <f>Données!A278</f>
        <v>5904</v>
      </c>
      <c r="B278" s="27" t="str">
        <f>Données!B278</f>
        <v>Chamblon</v>
      </c>
      <c r="C278" s="347">
        <f>VPI!R278</f>
        <v>18890.250303030305</v>
      </c>
      <c r="D278" s="27">
        <f>Données!Z278</f>
        <v>567</v>
      </c>
      <c r="E278" s="114">
        <f t="shared" si="37"/>
        <v>33.316138100582549</v>
      </c>
      <c r="F278" s="188">
        <f t="shared" si="38"/>
        <v>0.68734503656659507</v>
      </c>
      <c r="G278" s="443">
        <f t="shared" si="39"/>
        <v>0</v>
      </c>
      <c r="H278" s="443">
        <f t="shared" si="40"/>
        <v>0</v>
      </c>
      <c r="I278" s="443">
        <f t="shared" si="41"/>
        <v>0</v>
      </c>
      <c r="J278" s="443">
        <f t="shared" si="42"/>
        <v>0</v>
      </c>
      <c r="K278" s="443">
        <f t="shared" si="43"/>
        <v>0</v>
      </c>
      <c r="L278" s="445">
        <f t="shared" si="44"/>
        <v>0</v>
      </c>
      <c r="M278" s="299">
        <f>L278*D278*VPI!Q278</f>
        <v>0</v>
      </c>
    </row>
    <row r="279" spans="1:13" x14ac:dyDescent="0.25">
      <c r="A279" s="169">
        <f>Données!A279</f>
        <v>5905</v>
      </c>
      <c r="B279" s="27" t="str">
        <f>Données!B279</f>
        <v>Champvent</v>
      </c>
      <c r="C279" s="347">
        <f>VPI!R279</f>
        <v>21534.177714285714</v>
      </c>
      <c r="D279" s="27">
        <f>Données!Z279</f>
        <v>734</v>
      </c>
      <c r="E279" s="114">
        <f t="shared" si="37"/>
        <v>29.338116776956014</v>
      </c>
      <c r="F279" s="188">
        <f t="shared" si="38"/>
        <v>0.60527450354455292</v>
      </c>
      <c r="G279" s="443">
        <f t="shared" si="39"/>
        <v>0</v>
      </c>
      <c r="H279" s="443">
        <f t="shared" si="40"/>
        <v>0</v>
      </c>
      <c r="I279" s="443">
        <f t="shared" si="41"/>
        <v>0</v>
      </c>
      <c r="J279" s="443">
        <f t="shared" si="42"/>
        <v>0</v>
      </c>
      <c r="K279" s="443">
        <f t="shared" si="43"/>
        <v>0</v>
      </c>
      <c r="L279" s="445">
        <f t="shared" si="44"/>
        <v>0</v>
      </c>
      <c r="M279" s="299">
        <f>L279*D279*VPI!Q279</f>
        <v>0</v>
      </c>
    </row>
    <row r="280" spans="1:13" x14ac:dyDescent="0.25">
      <c r="A280" s="169">
        <f>Données!A280</f>
        <v>5907</v>
      </c>
      <c r="B280" s="27" t="str">
        <f>Données!B280</f>
        <v>Chavannes-le-Chêne</v>
      </c>
      <c r="C280" s="347">
        <f>VPI!R280</f>
        <v>8453.4726666666666</v>
      </c>
      <c r="D280" s="27">
        <f>Données!Z280</f>
        <v>316</v>
      </c>
      <c r="E280" s="114">
        <f t="shared" si="37"/>
        <v>26.751495780590716</v>
      </c>
      <c r="F280" s="188">
        <f t="shared" si="38"/>
        <v>0.55190994196292287</v>
      </c>
      <c r="G280" s="443">
        <f t="shared" si="39"/>
        <v>0</v>
      </c>
      <c r="H280" s="443">
        <f t="shared" si="40"/>
        <v>0</v>
      </c>
      <c r="I280" s="443">
        <f t="shared" si="41"/>
        <v>0</v>
      </c>
      <c r="J280" s="443">
        <f t="shared" si="42"/>
        <v>0</v>
      </c>
      <c r="K280" s="443">
        <f t="shared" si="43"/>
        <v>0</v>
      </c>
      <c r="L280" s="445">
        <f t="shared" si="44"/>
        <v>0</v>
      </c>
      <c r="M280" s="299">
        <f>L280*D280*VPI!Q280</f>
        <v>0</v>
      </c>
    </row>
    <row r="281" spans="1:13" x14ac:dyDescent="0.25">
      <c r="A281" s="169">
        <f>Données!A281</f>
        <v>5908</v>
      </c>
      <c r="B281" s="27" t="str">
        <f>Données!B281</f>
        <v>Chêne-Pâquier</v>
      </c>
      <c r="C281" s="347">
        <f>VPI!R281</f>
        <v>4917.9366666666683</v>
      </c>
      <c r="D281" s="27">
        <f>Données!Z281</f>
        <v>163</v>
      </c>
      <c r="E281" s="114">
        <f t="shared" si="37"/>
        <v>30.171390593047043</v>
      </c>
      <c r="F281" s="188">
        <f t="shared" si="38"/>
        <v>0.62246577042734508</v>
      </c>
      <c r="G281" s="443">
        <f t="shared" si="39"/>
        <v>0</v>
      </c>
      <c r="H281" s="443">
        <f t="shared" si="40"/>
        <v>0</v>
      </c>
      <c r="I281" s="443">
        <f t="shared" si="41"/>
        <v>0</v>
      </c>
      <c r="J281" s="443">
        <f t="shared" si="42"/>
        <v>0</v>
      </c>
      <c r="K281" s="443">
        <f t="shared" si="43"/>
        <v>0</v>
      </c>
      <c r="L281" s="445">
        <f t="shared" si="44"/>
        <v>0</v>
      </c>
      <c r="M281" s="299">
        <f>L281*D281*VPI!Q281</f>
        <v>0</v>
      </c>
    </row>
    <row r="282" spans="1:13" x14ac:dyDescent="0.25">
      <c r="A282" s="169">
        <f>Données!A282</f>
        <v>5909</v>
      </c>
      <c r="B282" s="27" t="str">
        <f>Données!B282</f>
        <v>Cheseaux-Noréaz</v>
      </c>
      <c r="C282" s="347">
        <f>VPI!R282</f>
        <v>34179.649850746275</v>
      </c>
      <c r="D282" s="27">
        <f>Données!Z282</f>
        <v>734</v>
      </c>
      <c r="E282" s="114">
        <f t="shared" si="37"/>
        <v>46.566280450608005</v>
      </c>
      <c r="F282" s="188">
        <f t="shared" si="38"/>
        <v>0.96070864043314252</v>
      </c>
      <c r="G282" s="443">
        <f t="shared" si="39"/>
        <v>0</v>
      </c>
      <c r="H282" s="443">
        <f t="shared" si="40"/>
        <v>0</v>
      </c>
      <c r="I282" s="443">
        <f t="shared" si="41"/>
        <v>0</v>
      </c>
      <c r="J282" s="443">
        <f t="shared" si="42"/>
        <v>0</v>
      </c>
      <c r="K282" s="443">
        <f t="shared" si="43"/>
        <v>0</v>
      </c>
      <c r="L282" s="445">
        <f t="shared" si="44"/>
        <v>0</v>
      </c>
      <c r="M282" s="299">
        <f>L282*D282*VPI!Q282</f>
        <v>0</v>
      </c>
    </row>
    <row r="283" spans="1:13" x14ac:dyDescent="0.25">
      <c r="A283" s="169">
        <f>Données!A283</f>
        <v>5910</v>
      </c>
      <c r="B283" s="27" t="str">
        <f>Données!B283</f>
        <v>Cronay</v>
      </c>
      <c r="C283" s="347">
        <f>VPI!R283</f>
        <v>10620.023506493504</v>
      </c>
      <c r="D283" s="27">
        <f>Données!Z283</f>
        <v>410</v>
      </c>
      <c r="E283" s="114">
        <f t="shared" si="37"/>
        <v>25.902496357301228</v>
      </c>
      <c r="F283" s="188">
        <f t="shared" si="38"/>
        <v>0.53439424017647463</v>
      </c>
      <c r="G283" s="443">
        <f t="shared" si="39"/>
        <v>0</v>
      </c>
      <c r="H283" s="443">
        <f t="shared" si="40"/>
        <v>0</v>
      </c>
      <c r="I283" s="443">
        <f t="shared" si="41"/>
        <v>0</v>
      </c>
      <c r="J283" s="443">
        <f t="shared" si="42"/>
        <v>0</v>
      </c>
      <c r="K283" s="443">
        <f t="shared" si="43"/>
        <v>0</v>
      </c>
      <c r="L283" s="445">
        <f t="shared" si="44"/>
        <v>0</v>
      </c>
      <c r="M283" s="299">
        <f>L283*D283*VPI!Q283</f>
        <v>0</v>
      </c>
    </row>
    <row r="284" spans="1:13" x14ac:dyDescent="0.25">
      <c r="A284" s="169">
        <f>Données!A284</f>
        <v>5911</v>
      </c>
      <c r="B284" s="27" t="str">
        <f>Données!B284</f>
        <v>Cuarny</v>
      </c>
      <c r="C284" s="347">
        <f>VPI!R284</f>
        <v>7630.7251948051926</v>
      </c>
      <c r="D284" s="27">
        <f>Données!Z284</f>
        <v>236</v>
      </c>
      <c r="E284" s="114">
        <f t="shared" si="37"/>
        <v>32.333581333920307</v>
      </c>
      <c r="F284" s="188">
        <f t="shared" si="38"/>
        <v>0.66707391406520267</v>
      </c>
      <c r="G284" s="443">
        <f t="shared" si="39"/>
        <v>0</v>
      </c>
      <c r="H284" s="443">
        <f t="shared" si="40"/>
        <v>0</v>
      </c>
      <c r="I284" s="443">
        <f t="shared" si="41"/>
        <v>0</v>
      </c>
      <c r="J284" s="443">
        <f t="shared" si="42"/>
        <v>0</v>
      </c>
      <c r="K284" s="443">
        <f t="shared" si="43"/>
        <v>0</v>
      </c>
      <c r="L284" s="445">
        <f t="shared" si="44"/>
        <v>0</v>
      </c>
      <c r="M284" s="299">
        <f>L284*D284*VPI!Q284</f>
        <v>0</v>
      </c>
    </row>
    <row r="285" spans="1:13" x14ac:dyDescent="0.25">
      <c r="A285" s="169">
        <f>Données!A285</f>
        <v>5912</v>
      </c>
      <c r="B285" s="27" t="str">
        <f>Données!B285</f>
        <v>Démoret</v>
      </c>
      <c r="C285" s="347">
        <f>VPI!R285</f>
        <v>3035.5994871794869</v>
      </c>
      <c r="D285" s="27">
        <f>Données!Z285</f>
        <v>167</v>
      </c>
      <c r="E285" s="114">
        <f t="shared" si="37"/>
        <v>18.177242438200519</v>
      </c>
      <c r="F285" s="188">
        <f t="shared" si="38"/>
        <v>0.3750145749379738</v>
      </c>
      <c r="G285" s="443">
        <f t="shared" si="39"/>
        <v>0</v>
      </c>
      <c r="H285" s="443">
        <f t="shared" si="40"/>
        <v>0</v>
      </c>
      <c r="I285" s="443">
        <f t="shared" si="41"/>
        <v>0</v>
      </c>
      <c r="J285" s="443">
        <f t="shared" si="42"/>
        <v>0</v>
      </c>
      <c r="K285" s="443">
        <f t="shared" si="43"/>
        <v>0</v>
      </c>
      <c r="L285" s="445">
        <f t="shared" si="44"/>
        <v>0</v>
      </c>
      <c r="M285" s="299">
        <f>L285*D285*VPI!Q285</f>
        <v>0</v>
      </c>
    </row>
    <row r="286" spans="1:13" x14ac:dyDescent="0.25">
      <c r="A286" s="169">
        <f>Données!A286</f>
        <v>5913</v>
      </c>
      <c r="B286" s="27" t="str">
        <f>Données!B286</f>
        <v>Donneloye</v>
      </c>
      <c r="C286" s="347">
        <f>VPI!R286</f>
        <v>21868.165342465756</v>
      </c>
      <c r="D286" s="27">
        <f>Données!Z286</f>
        <v>905</v>
      </c>
      <c r="E286" s="114">
        <f t="shared" si="37"/>
        <v>24.163718610459398</v>
      </c>
      <c r="F286" s="188">
        <f t="shared" si="38"/>
        <v>0.49852152736756467</v>
      </c>
      <c r="G286" s="443">
        <f t="shared" si="39"/>
        <v>0</v>
      </c>
      <c r="H286" s="443">
        <f t="shared" si="40"/>
        <v>0</v>
      </c>
      <c r="I286" s="443">
        <f t="shared" si="41"/>
        <v>0</v>
      </c>
      <c r="J286" s="443">
        <f t="shared" si="42"/>
        <v>0</v>
      </c>
      <c r="K286" s="443">
        <f t="shared" si="43"/>
        <v>0</v>
      </c>
      <c r="L286" s="445">
        <f t="shared" si="44"/>
        <v>0</v>
      </c>
      <c r="M286" s="299">
        <f>L286*D286*VPI!Q286</f>
        <v>0</v>
      </c>
    </row>
    <row r="287" spans="1:13" x14ac:dyDescent="0.25">
      <c r="A287" s="169">
        <f>Données!A287</f>
        <v>5914</v>
      </c>
      <c r="B287" s="27" t="str">
        <f>Données!B287</f>
        <v>Ependes</v>
      </c>
      <c r="C287" s="347">
        <f>VPI!R287</f>
        <v>9826.1438095238063</v>
      </c>
      <c r="D287" s="27">
        <f>Données!Z287</f>
        <v>372</v>
      </c>
      <c r="E287" s="114">
        <f t="shared" si="37"/>
        <v>26.414365079365069</v>
      </c>
      <c r="F287" s="188">
        <f t="shared" si="38"/>
        <v>0.54495460057665301</v>
      </c>
      <c r="G287" s="443">
        <f t="shared" si="39"/>
        <v>0</v>
      </c>
      <c r="H287" s="443">
        <f t="shared" si="40"/>
        <v>0</v>
      </c>
      <c r="I287" s="443">
        <f t="shared" si="41"/>
        <v>0</v>
      </c>
      <c r="J287" s="443">
        <f t="shared" si="42"/>
        <v>0</v>
      </c>
      <c r="K287" s="443">
        <f t="shared" si="43"/>
        <v>0</v>
      </c>
      <c r="L287" s="445">
        <f t="shared" si="44"/>
        <v>0</v>
      </c>
      <c r="M287" s="299">
        <f>L287*D287*VPI!Q287</f>
        <v>0</v>
      </c>
    </row>
    <row r="288" spans="1:13" x14ac:dyDescent="0.25">
      <c r="A288" s="169">
        <f>Données!A288</f>
        <v>5919</v>
      </c>
      <c r="B288" s="27" t="str">
        <f>Données!B288</f>
        <v>Mathod</v>
      </c>
      <c r="C288" s="347">
        <f>VPI!R288</f>
        <v>20854.383912037036</v>
      </c>
      <c r="D288" s="27">
        <f>Données!Z288</f>
        <v>684</v>
      </c>
      <c r="E288" s="114">
        <f t="shared" si="37"/>
        <v>30.488865368475199</v>
      </c>
      <c r="F288" s="188">
        <f t="shared" si="38"/>
        <v>0.62901559053154921</v>
      </c>
      <c r="G288" s="443">
        <f t="shared" si="39"/>
        <v>0</v>
      </c>
      <c r="H288" s="443">
        <f t="shared" si="40"/>
        <v>0</v>
      </c>
      <c r="I288" s="443">
        <f t="shared" si="41"/>
        <v>0</v>
      </c>
      <c r="J288" s="443">
        <f t="shared" si="42"/>
        <v>0</v>
      </c>
      <c r="K288" s="443">
        <f t="shared" si="43"/>
        <v>0</v>
      </c>
      <c r="L288" s="445">
        <f t="shared" si="44"/>
        <v>0</v>
      </c>
      <c r="M288" s="299">
        <f>L288*D288*VPI!Q288</f>
        <v>0</v>
      </c>
    </row>
    <row r="289" spans="1:18" s="202" customFormat="1" x14ac:dyDescent="0.25">
      <c r="A289" s="169">
        <f>Données!A289</f>
        <v>5921</v>
      </c>
      <c r="B289" s="27" t="str">
        <f>Données!B289</f>
        <v>Molondin</v>
      </c>
      <c r="C289" s="347">
        <f>VPI!R289</f>
        <v>5090.9675308641981</v>
      </c>
      <c r="D289" s="27">
        <f>Données!Z289</f>
        <v>257</v>
      </c>
      <c r="E289" s="114">
        <f t="shared" si="37"/>
        <v>19.809212182350965</v>
      </c>
      <c r="F289" s="188">
        <f t="shared" si="38"/>
        <v>0.40868373251206402</v>
      </c>
      <c r="G289" s="443">
        <f t="shared" si="39"/>
        <v>0</v>
      </c>
      <c r="H289" s="443">
        <f t="shared" si="40"/>
        <v>0</v>
      </c>
      <c r="I289" s="443">
        <f t="shared" si="41"/>
        <v>0</v>
      </c>
      <c r="J289" s="443">
        <f t="shared" si="42"/>
        <v>0</v>
      </c>
      <c r="K289" s="443">
        <f t="shared" si="43"/>
        <v>0</v>
      </c>
      <c r="L289" s="445">
        <f t="shared" si="44"/>
        <v>0</v>
      </c>
      <c r="M289" s="299">
        <f>L289*D289*VPI!Q289</f>
        <v>0</v>
      </c>
      <c r="N289" s="222"/>
      <c r="O289" s="222"/>
      <c r="P289" s="222"/>
      <c r="Q289" s="222"/>
      <c r="R289" s="222"/>
    </row>
    <row r="290" spans="1:18" s="202" customFormat="1" x14ac:dyDescent="0.25">
      <c r="A290" s="169">
        <f>Données!A290</f>
        <v>5922</v>
      </c>
      <c r="B290" s="27" t="str">
        <f>Données!B290</f>
        <v>Montagny-près-Yverdon</v>
      </c>
      <c r="C290" s="347">
        <f>VPI!R290</f>
        <v>39799.996472868217</v>
      </c>
      <c r="D290" s="27">
        <f>Données!Z290</f>
        <v>770</v>
      </c>
      <c r="E290" s="114">
        <f t="shared" si="37"/>
        <v>51.688307107621064</v>
      </c>
      <c r="F290" s="188">
        <f t="shared" si="38"/>
        <v>1.0663811403258643</v>
      </c>
      <c r="G290" s="443">
        <f t="shared" si="39"/>
        <v>3.217544494709351</v>
      </c>
      <c r="H290" s="443">
        <f t="shared" si="40"/>
        <v>0</v>
      </c>
      <c r="I290" s="443">
        <f t="shared" si="41"/>
        <v>0</v>
      </c>
      <c r="J290" s="443">
        <f t="shared" si="42"/>
        <v>0</v>
      </c>
      <c r="K290" s="443">
        <f t="shared" si="43"/>
        <v>0</v>
      </c>
      <c r="L290" s="445">
        <f t="shared" si="44"/>
        <v>0.64350889894187024</v>
      </c>
      <c r="M290" s="299">
        <f>L290*D290*VPI!Q290</f>
        <v>31959.869465947984</v>
      </c>
      <c r="N290" s="222"/>
      <c r="O290" s="222"/>
      <c r="P290" s="222"/>
      <c r="Q290" s="222"/>
      <c r="R290" s="222"/>
    </row>
    <row r="291" spans="1:18" s="202" customFormat="1" x14ac:dyDescent="0.25">
      <c r="A291" s="169">
        <f>Données!A291</f>
        <v>5923</v>
      </c>
      <c r="B291" s="27" t="str">
        <f>Données!B291</f>
        <v>Oppens</v>
      </c>
      <c r="C291" s="347">
        <f>VPI!R291</f>
        <v>4459.4095061728403</v>
      </c>
      <c r="D291" s="27">
        <f>Données!Z291</f>
        <v>202</v>
      </c>
      <c r="E291" s="114">
        <f t="shared" si="37"/>
        <v>22.07628468402396</v>
      </c>
      <c r="F291" s="188">
        <f t="shared" si="38"/>
        <v>0.45545569110033451</v>
      </c>
      <c r="G291" s="443">
        <f t="shared" si="39"/>
        <v>0</v>
      </c>
      <c r="H291" s="443">
        <f t="shared" si="40"/>
        <v>0</v>
      </c>
      <c r="I291" s="443">
        <f t="shared" si="41"/>
        <v>0</v>
      </c>
      <c r="J291" s="443">
        <f t="shared" si="42"/>
        <v>0</v>
      </c>
      <c r="K291" s="443">
        <f t="shared" si="43"/>
        <v>0</v>
      </c>
      <c r="L291" s="445">
        <f t="shared" si="44"/>
        <v>0</v>
      </c>
      <c r="M291" s="299">
        <f>L291*D291*VPI!Q291</f>
        <v>0</v>
      </c>
      <c r="N291" s="222"/>
      <c r="O291" s="222"/>
      <c r="P291" s="222"/>
      <c r="Q291" s="222"/>
      <c r="R291" s="222"/>
    </row>
    <row r="292" spans="1:18" s="202" customFormat="1" x14ac:dyDescent="0.25">
      <c r="A292" s="169">
        <f>Données!A292</f>
        <v>5924</v>
      </c>
      <c r="B292" s="27" t="str">
        <f>Données!B292</f>
        <v>Orges</v>
      </c>
      <c r="C292" s="347">
        <f>VPI!R292</f>
        <v>11637.592027027025</v>
      </c>
      <c r="D292" s="27">
        <f>Données!Z292</f>
        <v>407</v>
      </c>
      <c r="E292" s="114">
        <f t="shared" si="37"/>
        <v>28.593592203997606</v>
      </c>
      <c r="F292" s="188">
        <f t="shared" si="38"/>
        <v>0.58991422174118635</v>
      </c>
      <c r="G292" s="443">
        <f t="shared" si="39"/>
        <v>0</v>
      </c>
      <c r="H292" s="443">
        <f t="shared" si="40"/>
        <v>0</v>
      </c>
      <c r="I292" s="443">
        <f t="shared" si="41"/>
        <v>0</v>
      </c>
      <c r="J292" s="443">
        <f t="shared" si="42"/>
        <v>0</v>
      </c>
      <c r="K292" s="443">
        <f t="shared" si="43"/>
        <v>0</v>
      </c>
      <c r="L292" s="445">
        <f t="shared" si="44"/>
        <v>0</v>
      </c>
      <c r="M292" s="299">
        <f>L292*D292*VPI!Q292</f>
        <v>0</v>
      </c>
      <c r="N292" s="222"/>
      <c r="O292" s="222"/>
      <c r="P292" s="222"/>
      <c r="Q292" s="222"/>
      <c r="R292" s="222"/>
    </row>
    <row r="293" spans="1:18" s="202" customFormat="1" x14ac:dyDescent="0.25">
      <c r="A293" s="169">
        <f>Données!A293</f>
        <v>5925</v>
      </c>
      <c r="B293" s="27" t="str">
        <f>Données!B293</f>
        <v>Orzens</v>
      </c>
      <c r="C293" s="347">
        <f>VPI!R293</f>
        <v>5255.7360759493668</v>
      </c>
      <c r="D293" s="27">
        <f>Données!Z293</f>
        <v>212</v>
      </c>
      <c r="E293" s="114">
        <f t="shared" si="37"/>
        <v>24.79120790542154</v>
      </c>
      <c r="F293" s="188">
        <f t="shared" si="38"/>
        <v>0.51146725508332769</v>
      </c>
      <c r="G293" s="443">
        <f t="shared" si="39"/>
        <v>0</v>
      </c>
      <c r="H293" s="443">
        <f t="shared" si="40"/>
        <v>0</v>
      </c>
      <c r="I293" s="443">
        <f t="shared" si="41"/>
        <v>0</v>
      </c>
      <c r="J293" s="443">
        <f t="shared" si="42"/>
        <v>0</v>
      </c>
      <c r="K293" s="443">
        <f t="shared" si="43"/>
        <v>0</v>
      </c>
      <c r="L293" s="445">
        <f t="shared" si="44"/>
        <v>0</v>
      </c>
      <c r="M293" s="299">
        <f>L293*D293*VPI!Q293</f>
        <v>0</v>
      </c>
      <c r="N293" s="222"/>
      <c r="O293" s="222"/>
      <c r="P293" s="222"/>
      <c r="Q293" s="222"/>
      <c r="R293" s="222"/>
    </row>
    <row r="294" spans="1:18" s="202" customFormat="1" x14ac:dyDescent="0.25">
      <c r="A294" s="169">
        <f>Données!A294</f>
        <v>5926</v>
      </c>
      <c r="B294" s="27" t="str">
        <f>Données!B294</f>
        <v>Pomy</v>
      </c>
      <c r="C294" s="347">
        <f>VPI!R294</f>
        <v>26782.680140845066</v>
      </c>
      <c r="D294" s="27">
        <f>Données!Z294</f>
        <v>868</v>
      </c>
      <c r="E294" s="114">
        <f t="shared" si="37"/>
        <v>30.855622282079569</v>
      </c>
      <c r="F294" s="188">
        <f t="shared" si="38"/>
        <v>0.63658215011992003</v>
      </c>
      <c r="G294" s="443">
        <f t="shared" si="39"/>
        <v>0</v>
      </c>
      <c r="H294" s="443">
        <f t="shared" si="40"/>
        <v>0</v>
      </c>
      <c r="I294" s="443">
        <f t="shared" si="41"/>
        <v>0</v>
      </c>
      <c r="J294" s="443">
        <f t="shared" si="42"/>
        <v>0</v>
      </c>
      <c r="K294" s="443">
        <f t="shared" si="43"/>
        <v>0</v>
      </c>
      <c r="L294" s="445">
        <f t="shared" si="44"/>
        <v>0</v>
      </c>
      <c r="M294" s="299">
        <f>L294*D294*VPI!Q294</f>
        <v>0</v>
      </c>
      <c r="N294" s="222"/>
      <c r="O294" s="222"/>
      <c r="P294" s="222"/>
      <c r="Q294" s="222"/>
      <c r="R294" s="222"/>
    </row>
    <row r="295" spans="1:18" s="202" customFormat="1" x14ac:dyDescent="0.25">
      <c r="A295" s="169">
        <f>Données!A295</f>
        <v>5928</v>
      </c>
      <c r="B295" s="27" t="str">
        <f>Données!B295</f>
        <v>Rovray</v>
      </c>
      <c r="C295" s="347">
        <f>VPI!R295</f>
        <v>5095.519580419581</v>
      </c>
      <c r="D295" s="27">
        <f>Données!Z295</f>
        <v>197</v>
      </c>
      <c r="E295" s="114">
        <f t="shared" si="37"/>
        <v>25.865581626495334</v>
      </c>
      <c r="F295" s="188">
        <f t="shared" si="38"/>
        <v>0.53363265259633486</v>
      </c>
      <c r="G295" s="443">
        <f t="shared" si="39"/>
        <v>0</v>
      </c>
      <c r="H295" s="443">
        <f t="shared" si="40"/>
        <v>0</v>
      </c>
      <c r="I295" s="443">
        <f t="shared" si="41"/>
        <v>0</v>
      </c>
      <c r="J295" s="443">
        <f t="shared" si="42"/>
        <v>0</v>
      </c>
      <c r="K295" s="443">
        <f t="shared" si="43"/>
        <v>0</v>
      </c>
      <c r="L295" s="445">
        <f t="shared" si="44"/>
        <v>0</v>
      </c>
      <c r="M295" s="299">
        <f>L295*D295*VPI!Q295</f>
        <v>0</v>
      </c>
      <c r="N295" s="222"/>
      <c r="O295" s="222"/>
      <c r="P295" s="222"/>
      <c r="Q295" s="222"/>
      <c r="R295" s="222"/>
    </row>
    <row r="296" spans="1:18" s="202" customFormat="1" x14ac:dyDescent="0.25">
      <c r="A296" s="169">
        <f>Données!A296</f>
        <v>5929</v>
      </c>
      <c r="B296" s="27" t="str">
        <f>Données!B296</f>
        <v>Suchy</v>
      </c>
      <c r="C296" s="347">
        <f>VPI!R296</f>
        <v>21603.071857142855</v>
      </c>
      <c r="D296" s="27">
        <f>Données!Z296</f>
        <v>671</v>
      </c>
      <c r="E296" s="114">
        <f t="shared" si="37"/>
        <v>32.195338088141362</v>
      </c>
      <c r="F296" s="188">
        <f t="shared" si="38"/>
        <v>0.66422181852705409</v>
      </c>
      <c r="G296" s="443">
        <f t="shared" si="39"/>
        <v>0</v>
      </c>
      <c r="H296" s="443">
        <f t="shared" si="40"/>
        <v>0</v>
      </c>
      <c r="I296" s="443">
        <f t="shared" si="41"/>
        <v>0</v>
      </c>
      <c r="J296" s="443">
        <f t="shared" si="42"/>
        <v>0</v>
      </c>
      <c r="K296" s="443">
        <f t="shared" si="43"/>
        <v>0</v>
      </c>
      <c r="L296" s="445">
        <f t="shared" si="44"/>
        <v>0</v>
      </c>
      <c r="M296" s="299">
        <f>L296*D296*VPI!Q296</f>
        <v>0</v>
      </c>
      <c r="N296" s="222"/>
      <c r="O296" s="222"/>
      <c r="P296" s="222"/>
      <c r="Q296" s="222"/>
      <c r="R296" s="222"/>
    </row>
    <row r="297" spans="1:18" x14ac:dyDescent="0.25">
      <c r="A297" s="169">
        <f>Données!A297</f>
        <v>5930</v>
      </c>
      <c r="B297" s="27" t="str">
        <f>Données!B297</f>
        <v>Suscévaz</v>
      </c>
      <c r="C297" s="347">
        <f>VPI!R297</f>
        <v>5749.1651388888886</v>
      </c>
      <c r="D297" s="27">
        <f>Données!Z297</f>
        <v>220</v>
      </c>
      <c r="E297" s="114">
        <f t="shared" si="37"/>
        <v>26.132568813131311</v>
      </c>
      <c r="F297" s="188">
        <f t="shared" si="38"/>
        <v>0.53914086357226154</v>
      </c>
      <c r="G297" s="443">
        <f t="shared" si="39"/>
        <v>0</v>
      </c>
      <c r="H297" s="443">
        <f t="shared" si="40"/>
        <v>0</v>
      </c>
      <c r="I297" s="443">
        <f t="shared" si="41"/>
        <v>0</v>
      </c>
      <c r="J297" s="443">
        <f t="shared" si="42"/>
        <v>0</v>
      </c>
      <c r="K297" s="443">
        <f t="shared" si="43"/>
        <v>0</v>
      </c>
      <c r="L297" s="445">
        <f t="shared" si="44"/>
        <v>0</v>
      </c>
      <c r="M297" s="299">
        <f>L297*D297*VPI!Q297</f>
        <v>0</v>
      </c>
    </row>
    <row r="298" spans="1:18" x14ac:dyDescent="0.25">
      <c r="A298" s="169">
        <f>Données!A298</f>
        <v>5931</v>
      </c>
      <c r="B298" s="27" t="str">
        <f>Données!B298</f>
        <v>Treycovagnes</v>
      </c>
      <c r="C298" s="347">
        <f>VPI!R298</f>
        <v>16306.743466666663</v>
      </c>
      <c r="D298" s="27">
        <f>Données!Z298</f>
        <v>520</v>
      </c>
      <c r="E298" s="114">
        <f t="shared" si="37"/>
        <v>31.359122051282043</v>
      </c>
      <c r="F298" s="188">
        <f t="shared" si="38"/>
        <v>0.6469698507060121</v>
      </c>
      <c r="G298" s="443">
        <f t="shared" si="39"/>
        <v>0</v>
      </c>
      <c r="H298" s="443">
        <f t="shared" si="40"/>
        <v>0</v>
      </c>
      <c r="I298" s="443">
        <f t="shared" si="41"/>
        <v>0</v>
      </c>
      <c r="J298" s="443">
        <f t="shared" si="42"/>
        <v>0</v>
      </c>
      <c r="K298" s="443">
        <f t="shared" si="43"/>
        <v>0</v>
      </c>
      <c r="L298" s="445">
        <f t="shared" si="44"/>
        <v>0</v>
      </c>
      <c r="M298" s="299">
        <f>L298*D298*VPI!Q298</f>
        <v>0</v>
      </c>
    </row>
    <row r="299" spans="1:18" x14ac:dyDescent="0.25">
      <c r="A299" s="169">
        <f>Données!A299</f>
        <v>5932</v>
      </c>
      <c r="B299" s="27" t="str">
        <f>Données!B299</f>
        <v>Ursins</v>
      </c>
      <c r="C299" s="347">
        <f>VPI!R299</f>
        <v>7945.6340000000009</v>
      </c>
      <c r="D299" s="27">
        <f>Données!Z299</f>
        <v>230</v>
      </c>
      <c r="E299" s="114">
        <f t="shared" si="37"/>
        <v>34.5462347826087</v>
      </c>
      <c r="F299" s="188">
        <f t="shared" si="38"/>
        <v>0.71272315351205595</v>
      </c>
      <c r="G299" s="443">
        <f t="shared" si="39"/>
        <v>0</v>
      </c>
      <c r="H299" s="443">
        <f t="shared" si="40"/>
        <v>0</v>
      </c>
      <c r="I299" s="443">
        <f t="shared" si="41"/>
        <v>0</v>
      </c>
      <c r="J299" s="443">
        <f t="shared" si="42"/>
        <v>0</v>
      </c>
      <c r="K299" s="443">
        <f t="shared" si="43"/>
        <v>0</v>
      </c>
      <c r="L299" s="445">
        <f t="shared" si="44"/>
        <v>0</v>
      </c>
      <c r="M299" s="299">
        <f>L299*D299*VPI!Q299</f>
        <v>0</v>
      </c>
    </row>
    <row r="300" spans="1:18" x14ac:dyDescent="0.25">
      <c r="A300" s="169">
        <f>Données!A300</f>
        <v>5933</v>
      </c>
      <c r="B300" s="27" t="str">
        <f>Données!B300</f>
        <v>Valeyres-sous-Montagny</v>
      </c>
      <c r="C300" s="347">
        <f>VPI!R300</f>
        <v>23478.314609929079</v>
      </c>
      <c r="D300" s="27">
        <f>Données!Z300</f>
        <v>703</v>
      </c>
      <c r="E300" s="114">
        <f t="shared" si="37"/>
        <v>33.397318079557721</v>
      </c>
      <c r="F300" s="188">
        <f t="shared" si="38"/>
        <v>0.68901986020457817</v>
      </c>
      <c r="G300" s="443">
        <f t="shared" si="39"/>
        <v>0</v>
      </c>
      <c r="H300" s="443">
        <f t="shared" si="40"/>
        <v>0</v>
      </c>
      <c r="I300" s="443">
        <f t="shared" si="41"/>
        <v>0</v>
      </c>
      <c r="J300" s="443">
        <f t="shared" si="42"/>
        <v>0</v>
      </c>
      <c r="K300" s="443">
        <f t="shared" si="43"/>
        <v>0</v>
      </c>
      <c r="L300" s="445">
        <f t="shared" si="44"/>
        <v>0</v>
      </c>
      <c r="M300" s="299">
        <f>L300*D300*VPI!Q300</f>
        <v>0</v>
      </c>
    </row>
    <row r="301" spans="1:18" x14ac:dyDescent="0.25">
      <c r="A301" s="169">
        <f>Données!A301</f>
        <v>5934</v>
      </c>
      <c r="B301" s="27" t="str">
        <f>Données!B301</f>
        <v>Valeyres-sous-Ursins</v>
      </c>
      <c r="C301" s="347">
        <f>VPI!R301</f>
        <v>16787.585844155841</v>
      </c>
      <c r="D301" s="27">
        <f>Données!Z301</f>
        <v>241</v>
      </c>
      <c r="E301" s="114">
        <f t="shared" si="37"/>
        <v>69.658032548364488</v>
      </c>
      <c r="F301" s="188">
        <f t="shared" si="38"/>
        <v>1.4371144333885286</v>
      </c>
      <c r="G301" s="443">
        <f t="shared" si="39"/>
        <v>21.187269935452775</v>
      </c>
      <c r="H301" s="443">
        <f t="shared" si="40"/>
        <v>11.493117412870433</v>
      </c>
      <c r="I301" s="443">
        <f t="shared" si="41"/>
        <v>0</v>
      </c>
      <c r="J301" s="443">
        <f t="shared" si="42"/>
        <v>0</v>
      </c>
      <c r="K301" s="443">
        <f t="shared" si="43"/>
        <v>0</v>
      </c>
      <c r="L301" s="445">
        <f t="shared" si="44"/>
        <v>5.3867657283775987</v>
      </c>
      <c r="M301" s="299">
        <f>L301*D301*VPI!Q301</f>
        <v>99962.211621503113</v>
      </c>
    </row>
    <row r="302" spans="1:18" x14ac:dyDescent="0.25">
      <c r="A302" s="169">
        <f>Données!A302</f>
        <v>5935</v>
      </c>
      <c r="B302" s="27" t="str">
        <f>Données!B302</f>
        <v>Villars-Epeney</v>
      </c>
      <c r="C302" s="347">
        <f>VPI!R302</f>
        <v>6724.4138235294122</v>
      </c>
      <c r="D302" s="27">
        <f>Données!Z302</f>
        <v>92</v>
      </c>
      <c r="E302" s="114">
        <f t="shared" si="37"/>
        <v>73.091454603580573</v>
      </c>
      <c r="F302" s="188">
        <f t="shared" si="38"/>
        <v>1.5079493423136356</v>
      </c>
      <c r="G302" s="443">
        <f t="shared" si="39"/>
        <v>24.62069199066886</v>
      </c>
      <c r="H302" s="443">
        <f t="shared" si="40"/>
        <v>14.926539468086517</v>
      </c>
      <c r="I302" s="443">
        <f t="shared" si="41"/>
        <v>0.38531068421299608</v>
      </c>
      <c r="J302" s="443">
        <f t="shared" si="42"/>
        <v>0</v>
      </c>
      <c r="K302" s="443">
        <f t="shared" si="43"/>
        <v>0</v>
      </c>
      <c r="L302" s="445">
        <f t="shared" si="44"/>
        <v>6.4553234133637236</v>
      </c>
      <c r="M302" s="299">
        <f>L302*D302*VPI!Q302</f>
        <v>40384.503274003451</v>
      </c>
    </row>
    <row r="303" spans="1:18" x14ac:dyDescent="0.25">
      <c r="A303" s="169">
        <f>Données!A303</f>
        <v>5937</v>
      </c>
      <c r="B303" s="27" t="str">
        <f>Données!B303</f>
        <v>Vugelles-La Mothe</v>
      </c>
      <c r="C303" s="347">
        <f>VPI!R303</f>
        <v>3343.8941428571434</v>
      </c>
      <c r="D303" s="27">
        <f>Données!Z303</f>
        <v>137</v>
      </c>
      <c r="E303" s="114">
        <f t="shared" si="37"/>
        <v>24.407986444212725</v>
      </c>
      <c r="F303" s="188">
        <f t="shared" si="38"/>
        <v>0.5035610155164113</v>
      </c>
      <c r="G303" s="443">
        <f t="shared" si="39"/>
        <v>0</v>
      </c>
      <c r="H303" s="443">
        <f t="shared" si="40"/>
        <v>0</v>
      </c>
      <c r="I303" s="443">
        <f t="shared" si="41"/>
        <v>0</v>
      </c>
      <c r="J303" s="443">
        <f t="shared" si="42"/>
        <v>0</v>
      </c>
      <c r="K303" s="443">
        <f t="shared" si="43"/>
        <v>0</v>
      </c>
      <c r="L303" s="445">
        <f t="shared" si="44"/>
        <v>0</v>
      </c>
      <c r="M303" s="299">
        <f>L303*D303*VPI!Q303</f>
        <v>0</v>
      </c>
    </row>
    <row r="304" spans="1:18" x14ac:dyDescent="0.25">
      <c r="A304" s="169">
        <f>Données!A304</f>
        <v>5938</v>
      </c>
      <c r="B304" s="27" t="str">
        <f>Données!B304</f>
        <v>Yverdon-les-Bains</v>
      </c>
      <c r="C304" s="347">
        <f>VPI!R304</f>
        <v>780594.69946666679</v>
      </c>
      <c r="D304" s="27">
        <f>Données!Z304</f>
        <v>29877</v>
      </c>
      <c r="E304" s="114">
        <f t="shared" si="37"/>
        <v>26.126943785074364</v>
      </c>
      <c r="F304" s="188">
        <f t="shared" si="38"/>
        <v>0.53902481365363597</v>
      </c>
      <c r="G304" s="443">
        <f t="shared" si="39"/>
        <v>0</v>
      </c>
      <c r="H304" s="443">
        <f t="shared" si="40"/>
        <v>0</v>
      </c>
      <c r="I304" s="443">
        <f t="shared" si="41"/>
        <v>0</v>
      </c>
      <c r="J304" s="443">
        <f t="shared" si="42"/>
        <v>0</v>
      </c>
      <c r="K304" s="443">
        <f t="shared" si="43"/>
        <v>0</v>
      </c>
      <c r="L304" s="445">
        <f t="shared" si="44"/>
        <v>0</v>
      </c>
      <c r="M304" s="299">
        <f>L304*D304*VPI!Q304</f>
        <v>0</v>
      </c>
    </row>
    <row r="305" spans="1:13" x14ac:dyDescent="0.25">
      <c r="A305" s="169">
        <f>Données!A305</f>
        <v>5939</v>
      </c>
      <c r="B305" s="27" t="str">
        <f>Données!B305</f>
        <v>Yvonand</v>
      </c>
      <c r="C305" s="347">
        <f>VPI!R305</f>
        <v>97394.348251748248</v>
      </c>
      <c r="D305" s="27">
        <f>Données!Z305</f>
        <v>3531</v>
      </c>
      <c r="E305" s="114">
        <f t="shared" si="37"/>
        <v>27.582653144080499</v>
      </c>
      <c r="F305" s="188">
        <f t="shared" si="38"/>
        <v>0.5690575443253495</v>
      </c>
      <c r="G305" s="443">
        <f t="shared" si="39"/>
        <v>0</v>
      </c>
      <c r="H305" s="443">
        <f t="shared" si="40"/>
        <v>0</v>
      </c>
      <c r="I305" s="443">
        <f t="shared" si="41"/>
        <v>0</v>
      </c>
      <c r="J305" s="443">
        <f t="shared" si="42"/>
        <v>0</v>
      </c>
      <c r="K305" s="443">
        <f t="shared" si="43"/>
        <v>0</v>
      </c>
      <c r="L305" s="446">
        <f t="shared" si="44"/>
        <v>0</v>
      </c>
      <c r="M305" s="299">
        <f>L305*D305*VPI!Q305</f>
        <v>0</v>
      </c>
    </row>
    <row r="306" spans="1:13" x14ac:dyDescent="0.25">
      <c r="A306" s="6"/>
      <c r="B306" s="74">
        <f>COUNTA(B6:B305)</f>
        <v>300</v>
      </c>
      <c r="C306" s="348">
        <f>SUM(C6:C305)</f>
        <v>40269073.341943532</v>
      </c>
      <c r="D306" s="158">
        <f>SUM(D6:D305)</f>
        <v>830791</v>
      </c>
      <c r="E306" s="46">
        <f>C306/D306</f>
        <v>48.470762612911713</v>
      </c>
      <c r="F306" s="47">
        <v>1</v>
      </c>
      <c r="G306" s="749"/>
      <c r="H306" s="750"/>
      <c r="I306" s="750"/>
      <c r="J306" s="750"/>
      <c r="K306" s="750"/>
      <c r="L306" s="751"/>
      <c r="M306" s="300">
        <f>SUM(M6:M305)</f>
        <v>130113745.64626393</v>
      </c>
    </row>
    <row r="307" spans="1:13" x14ac:dyDescent="0.25">
      <c r="M307" s="5"/>
    </row>
    <row r="309" spans="1:13" x14ac:dyDescent="0.25">
      <c r="F309" s="13"/>
    </row>
    <row r="310" spans="1:13" x14ac:dyDescent="0.25">
      <c r="F310" s="13"/>
    </row>
    <row r="311" spans="1:13" x14ac:dyDescent="0.25">
      <c r="F311" s="13"/>
      <c r="G311" s="15"/>
      <c r="H311" s="15"/>
    </row>
    <row r="312" spans="1:13" x14ac:dyDescent="0.25">
      <c r="E312" s="23"/>
    </row>
  </sheetData>
  <sheetProtection sheet="1" objects="1" scenarios="1"/>
  <mergeCells count="7">
    <mergeCell ref="G306:L306"/>
    <mergeCell ref="M4:M5"/>
    <mergeCell ref="L4:L5"/>
    <mergeCell ref="A4:A5"/>
    <mergeCell ref="B4:B5"/>
    <mergeCell ref="F4:F5"/>
    <mergeCell ref="C4:E4"/>
  </mergeCells>
  <phoneticPr fontId="20" type="noConversion"/>
  <hyperlinks>
    <hyperlink ref="C1" location="PCS!A1" display="← Précédent" xr:uid="{901F770C-9D71-4B9C-BD74-2BF5F01B4728}"/>
    <hyperlink ref="E1" location="'Péréquation directe'!A1" display="Suivant →" xr:uid="{8E8E8AD3-F212-48FB-86E5-C0AB3A686AFA}"/>
    <hyperlink ref="D1" location="'Table des matières'!A1" display="'Table des matières'!A1" xr:uid="{202983C2-6A43-4285-A91A-F524C826C944}"/>
  </hyperlinks>
  <pageMargins left="0.78740157499999996" right="0.78740157499999996" top="0.984251969" bottom="0.984251969" header="0.4921259845" footer="0.4921259845"/>
  <pageSetup paperSize="9" orientation="landscape" horizontalDpi="4294967292" verticalDpi="4294967292"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B050"/>
  </sheetPr>
  <dimension ref="A1:O331"/>
  <sheetViews>
    <sheetView zoomScaleNormal="100" workbookViewId="0">
      <pane ySplit="11" topLeftCell="A12" activePane="bottomLeft" state="frozen"/>
      <selection pane="bottomLeft" activeCell="A12" sqref="A12"/>
    </sheetView>
  </sheetViews>
  <sheetFormatPr baseColWidth="10" defaultColWidth="11" defaultRowHeight="15" x14ac:dyDescent="0.25"/>
  <cols>
    <col min="1" max="1" width="7.125" style="11" customWidth="1"/>
    <col min="2" max="2" width="23.125" style="11" customWidth="1"/>
    <col min="3" max="3" width="16.125" style="11" customWidth="1"/>
    <col min="4" max="4" width="11" style="11" customWidth="1"/>
    <col min="5" max="6" width="12.75" style="11" customWidth="1"/>
    <col min="7" max="7" width="12.875" style="11" customWidth="1"/>
    <col min="8" max="8" width="12.75" style="202" customWidth="1"/>
    <col min="9" max="9" width="12.75" style="11" customWidth="1"/>
    <col min="10" max="10" width="12.75" style="202" customWidth="1"/>
    <col min="11" max="11" width="12.5" style="11" customWidth="1"/>
    <col min="12" max="16384" width="11" style="11"/>
  </cols>
  <sheetData>
    <row r="1" spans="1:15" s="261" customFormat="1" ht="26.25" x14ac:dyDescent="0.4">
      <c r="A1" s="254" t="s">
        <v>277</v>
      </c>
      <c r="B1" s="259"/>
      <c r="C1" s="374" t="s">
        <v>405</v>
      </c>
      <c r="D1" s="278" t="s">
        <v>397</v>
      </c>
      <c r="E1" s="439" t="s">
        <v>406</v>
      </c>
      <c r="H1" s="283"/>
    </row>
    <row r="2" spans="1:15" s="202" customFormat="1" ht="15.75" x14ac:dyDescent="0.25">
      <c r="A2" s="327" t="str">
        <f>Paramètres!B4</f>
        <v>Décompte 2022</v>
      </c>
      <c r="B2" s="32"/>
      <c r="C2" s="204"/>
      <c r="D2" s="204"/>
      <c r="E2" s="204"/>
      <c r="F2" s="204"/>
      <c r="G2" s="204"/>
      <c r="H2" s="204"/>
      <c r="I2" s="204"/>
      <c r="J2" s="204"/>
    </row>
    <row r="4" spans="1:15" x14ac:dyDescent="0.25">
      <c r="A4" s="76" t="s">
        <v>505</v>
      </c>
      <c r="B4" s="77"/>
      <c r="C4" s="78" t="s">
        <v>359</v>
      </c>
      <c r="D4" s="78" t="s">
        <v>335</v>
      </c>
      <c r="E4" s="49"/>
      <c r="F4" s="49"/>
      <c r="G4" s="49"/>
      <c r="H4" s="204"/>
      <c r="I4" s="49"/>
      <c r="J4" s="204"/>
    </row>
    <row r="5" spans="1:15" x14ac:dyDescent="0.25">
      <c r="A5" s="758" t="s">
        <v>506</v>
      </c>
      <c r="B5" s="759"/>
      <c r="C5" s="16">
        <f>ABS(E312+F312+G312)</f>
        <v>779498714.08093262</v>
      </c>
      <c r="D5" s="62">
        <f>C5/$C$312</f>
        <v>19.357254820885608</v>
      </c>
      <c r="E5" s="49"/>
      <c r="F5" s="49"/>
      <c r="G5" s="49"/>
      <c r="H5" s="204"/>
      <c r="I5" s="49"/>
      <c r="J5" s="204"/>
    </row>
    <row r="6" spans="1:15" x14ac:dyDescent="0.25">
      <c r="A6" s="760" t="s">
        <v>552</v>
      </c>
      <c r="B6" s="761"/>
      <c r="C6" s="8">
        <f>-Paramètres!B50</f>
        <v>-10065094.035052128</v>
      </c>
      <c r="D6" s="62">
        <f>C6/$C$312</f>
        <v>-0.24994600569982597</v>
      </c>
      <c r="E6" s="49"/>
      <c r="F6" s="49"/>
      <c r="G6" s="49"/>
      <c r="H6" s="204"/>
      <c r="I6" s="49"/>
      <c r="J6" s="204"/>
    </row>
    <row r="7" spans="1:15" x14ac:dyDescent="0.25">
      <c r="A7" s="758" t="s">
        <v>513</v>
      </c>
      <c r="B7" s="759"/>
      <c r="C7" s="9">
        <f>Paramètres!B51</f>
        <v>450000</v>
      </c>
      <c r="D7" s="62">
        <f>C7/$C$312</f>
        <v>1.1174828786817107E-2</v>
      </c>
      <c r="E7" s="49"/>
      <c r="F7" s="49"/>
      <c r="G7" s="49"/>
      <c r="H7" s="204"/>
      <c r="I7" s="49"/>
      <c r="J7" s="204"/>
    </row>
    <row r="8" spans="1:15" x14ac:dyDescent="0.25">
      <c r="A8" s="317" t="s">
        <v>487</v>
      </c>
      <c r="B8" s="318"/>
      <c r="C8" s="305">
        <f>SUM(C5:C7)</f>
        <v>769883620.04588044</v>
      </c>
      <c r="D8" s="479">
        <f>SUM(D5:D7)</f>
        <v>19.118483643972599</v>
      </c>
      <c r="E8" s="49"/>
      <c r="F8" s="49"/>
      <c r="G8" s="49"/>
      <c r="H8" s="204"/>
      <c r="I8" s="49"/>
      <c r="J8" s="204"/>
    </row>
    <row r="10" spans="1:15" ht="60" customHeight="1" x14ac:dyDescent="0.25">
      <c r="A10" s="762" t="s">
        <v>44</v>
      </c>
      <c r="B10" s="762" t="s">
        <v>84</v>
      </c>
      <c r="C10" s="757" t="s">
        <v>413</v>
      </c>
      <c r="D10" s="757" t="s">
        <v>257</v>
      </c>
      <c r="E10" s="48" t="s">
        <v>502</v>
      </c>
      <c r="F10" s="48" t="s">
        <v>503</v>
      </c>
      <c r="G10" s="282" t="s">
        <v>548</v>
      </c>
      <c r="H10" s="282" t="s">
        <v>507</v>
      </c>
      <c r="I10" s="48" t="s">
        <v>511</v>
      </c>
      <c r="J10" s="331" t="s">
        <v>512</v>
      </c>
      <c r="K10" s="757" t="s">
        <v>508</v>
      </c>
    </row>
    <row r="11" spans="1:15" x14ac:dyDescent="0.25">
      <c r="A11" s="763"/>
      <c r="B11" s="763"/>
      <c r="C11" s="757"/>
      <c r="D11" s="757"/>
      <c r="E11" s="358">
        <f>E312/$C$312</f>
        <v>-11.429800403302051</v>
      </c>
      <c r="F11" s="196">
        <f t="shared" ref="F11:G11" si="0">F312/$C$312</f>
        <v>-3.5021323151550856</v>
      </c>
      <c r="G11" s="358">
        <f t="shared" si="0"/>
        <v>-4.4253221024284723</v>
      </c>
      <c r="H11" s="196">
        <f>H312/C312</f>
        <v>0.24994600569982589</v>
      </c>
      <c r="I11" s="358">
        <f>I312/C312</f>
        <v>-19.107308815185782</v>
      </c>
      <c r="J11" s="196">
        <f>ABS(D8)</f>
        <v>19.118483643972599</v>
      </c>
      <c r="K11" s="757"/>
    </row>
    <row r="12" spans="1:15" x14ac:dyDescent="0.25">
      <c r="A12" s="36">
        <f>Données!A6</f>
        <v>5401</v>
      </c>
      <c r="B12" s="170" t="str">
        <f>Données!B6</f>
        <v>Aigle</v>
      </c>
      <c r="C12" s="26">
        <f>Ecrêtage!C6</f>
        <v>294634.51575757569</v>
      </c>
      <c r="D12" s="12">
        <f>Données!Z6</f>
        <v>10937</v>
      </c>
      <c r="E12" s="41">
        <f>Population!K9</f>
        <v>-6060470.5231388314</v>
      </c>
      <c r="F12" s="221">
        <f>Solidarité!I6</f>
        <v>-4099831.4157284996</v>
      </c>
      <c r="G12" s="41">
        <f>DT!O6</f>
        <v>-3795369.2686363645</v>
      </c>
      <c r="H12" s="221">
        <f>Effort!K6+Aide!I6+Taux!J6</f>
        <v>0</v>
      </c>
      <c r="I12" s="304">
        <f>SUM(E12:H12)</f>
        <v>-13955671.207503695</v>
      </c>
      <c r="J12" s="357">
        <f>C12*$J$11</f>
        <v>5632965.1704609981</v>
      </c>
      <c r="K12" s="455">
        <f>I12+J12</f>
        <v>-8322706.037042697</v>
      </c>
      <c r="L12" s="211"/>
      <c r="N12" s="211"/>
      <c r="O12" s="201"/>
    </row>
    <row r="13" spans="1:15" s="202" customFormat="1" x14ac:dyDescent="0.25">
      <c r="A13" s="38">
        <f>Données!A7</f>
        <v>5402</v>
      </c>
      <c r="B13" s="27" t="str">
        <f>Données!B7</f>
        <v>Bex</v>
      </c>
      <c r="C13" s="198">
        <f>Ecrêtage!C7</f>
        <v>191961.18746478873</v>
      </c>
      <c r="D13" s="221">
        <f>Données!Z7</f>
        <v>8151</v>
      </c>
      <c r="E13" s="8">
        <f>Population!K10</f>
        <v>-3835216.9014084497</v>
      </c>
      <c r="F13" s="221">
        <f>Solidarité!I7</f>
        <v>-4092448.2512417282</v>
      </c>
      <c r="G13" s="8">
        <f>DT!O7</f>
        <v>-2901070.7346126763</v>
      </c>
      <c r="H13" s="221">
        <f>Effort!K7+Aide!I7+Taux!J7</f>
        <v>0</v>
      </c>
      <c r="I13" s="289">
        <f t="shared" ref="I13:I76" si="1">SUM(E13:H13)</f>
        <v>-10828735.887262855</v>
      </c>
      <c r="J13" s="357">
        <f t="shared" ref="J13:J76" si="2">C13*$J$11</f>
        <v>3670006.8228231212</v>
      </c>
      <c r="K13" s="456">
        <f t="shared" ref="K13:K76" si="3">I13+J13</f>
        <v>-7158729.0644397335</v>
      </c>
    </row>
    <row r="14" spans="1:15" s="202" customFormat="1" x14ac:dyDescent="0.25">
      <c r="A14" s="38">
        <f>Données!A8</f>
        <v>5403</v>
      </c>
      <c r="B14" s="27" t="str">
        <f>Données!B8</f>
        <v>Chessel</v>
      </c>
      <c r="C14" s="198">
        <f>Ecrêtage!C8</f>
        <v>13521.430615384616</v>
      </c>
      <c r="D14" s="221">
        <f>Données!Z8</f>
        <v>528</v>
      </c>
      <c r="E14" s="8">
        <f>Population!K11</f>
        <v>-68124.748490945654</v>
      </c>
      <c r="F14" s="221">
        <f>Solidarité!I8</f>
        <v>-203835.5716782689</v>
      </c>
      <c r="G14" s="8">
        <f>DT!O8</f>
        <v>-23011.927038461537</v>
      </c>
      <c r="H14" s="221">
        <f>Effort!K8+Aide!I8+Taux!J8</f>
        <v>0</v>
      </c>
      <c r="I14" s="289">
        <f t="shared" si="1"/>
        <v>-294972.24720767612</v>
      </c>
      <c r="J14" s="357">
        <f t="shared" si="2"/>
        <v>258509.25006334114</v>
      </c>
      <c r="K14" s="456">
        <f t="shared" si="3"/>
        <v>-36462.997144334979</v>
      </c>
    </row>
    <row r="15" spans="1:15" s="202" customFormat="1" x14ac:dyDescent="0.25">
      <c r="A15" s="38">
        <f>Données!A9</f>
        <v>5404</v>
      </c>
      <c r="B15" s="27" t="str">
        <f>Données!B9</f>
        <v>Corbeyrier</v>
      </c>
      <c r="C15" s="198">
        <f>Ecrêtage!C9</f>
        <v>11663.247882882884</v>
      </c>
      <c r="D15" s="221">
        <f>Données!Z9</f>
        <v>440</v>
      </c>
      <c r="E15" s="8">
        <f>Population!K12</f>
        <v>-56770.623742454714</v>
      </c>
      <c r="F15" s="221">
        <f>Solidarité!I9</f>
        <v>-211504.96870086016</v>
      </c>
      <c r="G15" s="8">
        <f>DT!O9</f>
        <v>-192777.57679054057</v>
      </c>
      <c r="H15" s="221">
        <f>Effort!K9+Aide!I9+Taux!J9</f>
        <v>0</v>
      </c>
      <c r="I15" s="289">
        <f t="shared" si="1"/>
        <v>-461053.16923385544</v>
      </c>
      <c r="J15" s="357">
        <f t="shared" si="2"/>
        <v>222983.61388449447</v>
      </c>
      <c r="K15" s="456">
        <f t="shared" si="3"/>
        <v>-238069.55534936098</v>
      </c>
    </row>
    <row r="16" spans="1:15" x14ac:dyDescent="0.25">
      <c r="A16" s="38">
        <f>Données!A10</f>
        <v>5405</v>
      </c>
      <c r="B16" s="27" t="str">
        <f>Données!B10</f>
        <v>Gryon</v>
      </c>
      <c r="C16" s="26">
        <f>Ecrêtage!C10</f>
        <v>73286.214467120197</v>
      </c>
      <c r="D16" s="12">
        <f>Données!Z10</f>
        <v>1389</v>
      </c>
      <c r="E16" s="8">
        <f>Population!K13</f>
        <v>-269557.24346076453</v>
      </c>
      <c r="F16" s="221">
        <f>Solidarité!I10</f>
        <v>0</v>
      </c>
      <c r="G16" s="8">
        <f>DT!O10</f>
        <v>-603065.46319727879</v>
      </c>
      <c r="H16" s="221">
        <f>Effort!K10+Aide!I10+Taux!J10</f>
        <v>0</v>
      </c>
      <c r="I16" s="289">
        <f t="shared" si="1"/>
        <v>-872622.70665804332</v>
      </c>
      <c r="J16" s="357">
        <f t="shared" si="2"/>
        <v>1401121.2926183057</v>
      </c>
      <c r="K16" s="456">
        <f t="shared" si="3"/>
        <v>528498.58596026234</v>
      </c>
    </row>
    <row r="17" spans="1:11" x14ac:dyDescent="0.25">
      <c r="A17" s="38">
        <f>Données!A11</f>
        <v>5406</v>
      </c>
      <c r="B17" s="27" t="str">
        <f>Données!B11</f>
        <v>Lavey-Morcles</v>
      </c>
      <c r="C17" s="26">
        <f>Ecrêtage!C11</f>
        <v>22111.529381387842</v>
      </c>
      <c r="D17" s="12">
        <f>Données!Z11</f>
        <v>979</v>
      </c>
      <c r="E17" s="8">
        <f>Population!K14</f>
        <v>-126314.63782696174</v>
      </c>
      <c r="F17" s="221">
        <f>Solidarité!I11</f>
        <v>-517782.11467423302</v>
      </c>
      <c r="G17" s="8">
        <f>DT!O11</f>
        <v>-170974.67667563207</v>
      </c>
      <c r="H17" s="221">
        <f>Effort!K11+Aide!I11+Taux!J11</f>
        <v>0</v>
      </c>
      <c r="I17" s="289">
        <f t="shared" si="1"/>
        <v>-815071.42917682673</v>
      </c>
      <c r="J17" s="357">
        <f t="shared" si="2"/>
        <v>422738.91282128304</v>
      </c>
      <c r="K17" s="456">
        <f t="shared" si="3"/>
        <v>-392332.51635554369</v>
      </c>
    </row>
    <row r="18" spans="1:11" x14ac:dyDescent="0.25">
      <c r="A18" s="38">
        <f>Données!A12</f>
        <v>5407</v>
      </c>
      <c r="B18" s="27" t="str">
        <f>Données!B12</f>
        <v>Leysin</v>
      </c>
      <c r="C18" s="26">
        <f>Ecrêtage!C12</f>
        <v>89841.412521367529</v>
      </c>
      <c r="D18" s="12">
        <f>Données!Z12</f>
        <v>3743</v>
      </c>
      <c r="E18" s="8">
        <f>Population!K15</f>
        <v>-1235019.1146881285</v>
      </c>
      <c r="F18" s="221">
        <f>Solidarité!I12</f>
        <v>-2226984.357037907</v>
      </c>
      <c r="G18" s="8">
        <f>DT!O12</f>
        <v>-1593654.5248717947</v>
      </c>
      <c r="H18" s="221">
        <f>Effort!K12+Aide!I12+Taux!J12</f>
        <v>0</v>
      </c>
      <c r="I18" s="289">
        <f t="shared" si="1"/>
        <v>-5055657.9965978302</v>
      </c>
      <c r="J18" s="357">
        <f t="shared" si="2"/>
        <v>1717631.5758411603</v>
      </c>
      <c r="K18" s="456">
        <f t="shared" si="3"/>
        <v>-3338026.4207566697</v>
      </c>
    </row>
    <row r="19" spans="1:11" x14ac:dyDescent="0.25">
      <c r="A19" s="38">
        <f>Données!A13</f>
        <v>5408</v>
      </c>
      <c r="B19" s="27" t="str">
        <f>Données!B13</f>
        <v>Noville</v>
      </c>
      <c r="C19" s="26">
        <f>Ecrêtage!C13</f>
        <v>41973.380088888902</v>
      </c>
      <c r="D19" s="12">
        <f>Données!Z13</f>
        <v>1169</v>
      </c>
      <c r="E19" s="8">
        <f>Population!K16</f>
        <v>-190078.37022132793</v>
      </c>
      <c r="F19" s="221">
        <f>Solidarité!I13</f>
        <v>-330231.34016324911</v>
      </c>
      <c r="G19" s="8">
        <f>DT!O13</f>
        <v>-128862.43439999991</v>
      </c>
      <c r="H19" s="221">
        <f>Effort!K13+Aide!I13+Taux!J13</f>
        <v>0</v>
      </c>
      <c r="I19" s="289">
        <f t="shared" si="1"/>
        <v>-649172.14478457696</v>
      </c>
      <c r="J19" s="357">
        <f t="shared" si="2"/>
        <v>802467.38071166759</v>
      </c>
      <c r="K19" s="456">
        <f t="shared" si="3"/>
        <v>153295.23592709063</v>
      </c>
    </row>
    <row r="20" spans="1:11" x14ac:dyDescent="0.25">
      <c r="A20" s="38">
        <f>Données!A14</f>
        <v>5409</v>
      </c>
      <c r="B20" s="27" t="str">
        <f>Données!B14</f>
        <v>Ollon</v>
      </c>
      <c r="C20" s="26">
        <f>Ecrêtage!C14</f>
        <v>405938.29721719451</v>
      </c>
      <c r="D20" s="12">
        <f>Données!Z14</f>
        <v>7967</v>
      </c>
      <c r="E20" s="8">
        <f>Population!K17</f>
        <v>-3721262.776659959</v>
      </c>
      <c r="F20" s="221">
        <f>Solidarité!I14</f>
        <v>0</v>
      </c>
      <c r="G20" s="8">
        <f>DT!O14</f>
        <v>-3524078.6437839372</v>
      </c>
      <c r="H20" s="221">
        <f>Effort!K14+Aide!I14+Taux!J14</f>
        <v>0</v>
      </c>
      <c r="I20" s="289">
        <f t="shared" si="1"/>
        <v>-7245341.4204438962</v>
      </c>
      <c r="J20" s="357">
        <f t="shared" si="2"/>
        <v>7760924.6958090207</v>
      </c>
      <c r="K20" s="456">
        <f t="shared" si="3"/>
        <v>515583.27536512446</v>
      </c>
    </row>
    <row r="21" spans="1:11" x14ac:dyDescent="0.25">
      <c r="A21" s="38">
        <f>Données!A15</f>
        <v>5410</v>
      </c>
      <c r="B21" s="27" t="str">
        <f>Données!B15</f>
        <v>Ormont-Dessous</v>
      </c>
      <c r="C21" s="26">
        <f>Ecrêtage!C15</f>
        <v>38413.35632034632</v>
      </c>
      <c r="D21" s="12">
        <f>Données!Z15</f>
        <v>1178</v>
      </c>
      <c r="E21" s="8">
        <f>Population!K18</f>
        <v>-193329.77867203215</v>
      </c>
      <c r="F21" s="221">
        <f>Solidarité!I15</f>
        <v>-442776.44624074578</v>
      </c>
      <c r="G21" s="8">
        <f>DT!O15</f>
        <v>-906557.0948376623</v>
      </c>
      <c r="H21" s="221">
        <f>Effort!K15+Aide!I15+Taux!J15</f>
        <v>0</v>
      </c>
      <c r="I21" s="289">
        <f t="shared" si="1"/>
        <v>-1542663.3197504403</v>
      </c>
      <c r="J21" s="357">
        <f t="shared" si="2"/>
        <v>734405.12452063255</v>
      </c>
      <c r="K21" s="456">
        <f t="shared" si="3"/>
        <v>-808258.19522980775</v>
      </c>
    </row>
    <row r="22" spans="1:11" x14ac:dyDescent="0.25">
      <c r="A22" s="38">
        <f>Données!A16</f>
        <v>5411</v>
      </c>
      <c r="B22" s="27" t="str">
        <f>Données!B16</f>
        <v>Ormont-Dessus</v>
      </c>
      <c r="C22" s="26">
        <f>Ecrêtage!C16</f>
        <v>76161.465657894747</v>
      </c>
      <c r="D22" s="12">
        <f>Données!Z16</f>
        <v>1425</v>
      </c>
      <c r="E22" s="8">
        <f>Population!K19</f>
        <v>-282562.87726358144</v>
      </c>
      <c r="F22" s="221">
        <f>Solidarité!I16</f>
        <v>0</v>
      </c>
      <c r="G22" s="8">
        <f>DT!O16</f>
        <v>-690900.60680921038</v>
      </c>
      <c r="H22" s="221">
        <f>Effort!K16+Aide!I16+Taux!J16</f>
        <v>0</v>
      </c>
      <c r="I22" s="289">
        <f t="shared" si="1"/>
        <v>-973463.48407279188</v>
      </c>
      <c r="J22" s="357">
        <f t="shared" si="2"/>
        <v>1456091.7354814415</v>
      </c>
      <c r="K22" s="456">
        <f t="shared" si="3"/>
        <v>482628.25140864961</v>
      </c>
    </row>
    <row r="23" spans="1:11" x14ac:dyDescent="0.25">
      <c r="A23" s="38">
        <f>Données!A17</f>
        <v>5412</v>
      </c>
      <c r="B23" s="27" t="str">
        <f>Données!B17</f>
        <v>Rennaz</v>
      </c>
      <c r="C23" s="26">
        <f>Ecrêtage!C17</f>
        <v>32240.440579710143</v>
      </c>
      <c r="D23" s="12">
        <f>Données!Z17</f>
        <v>929</v>
      </c>
      <c r="E23" s="8">
        <f>Population!K20</f>
        <v>-119863.43058350097</v>
      </c>
      <c r="F23" s="221">
        <f>Solidarité!I17</f>
        <v>-243352.92074885653</v>
      </c>
      <c r="G23" s="8">
        <f>DT!O17</f>
        <v>-60057.026086956539</v>
      </c>
      <c r="H23" s="221">
        <f>Effort!K17+Aide!I17+Taux!J17</f>
        <v>0</v>
      </c>
      <c r="I23" s="289">
        <f t="shared" si="1"/>
        <v>-423273.37741931406</v>
      </c>
      <c r="J23" s="357">
        <f t="shared" si="2"/>
        <v>616388.33589765884</v>
      </c>
      <c r="K23" s="456">
        <f t="shared" si="3"/>
        <v>193114.95847834478</v>
      </c>
    </row>
    <row r="24" spans="1:11" x14ac:dyDescent="0.25">
      <c r="A24" s="38">
        <f>Données!A18</f>
        <v>5413</v>
      </c>
      <c r="B24" s="27" t="str">
        <f>Données!B18</f>
        <v>Roche</v>
      </c>
      <c r="C24" s="26">
        <f>Ecrêtage!C18</f>
        <v>42596.643504901964</v>
      </c>
      <c r="D24" s="12">
        <f>Données!Z18</f>
        <v>1940</v>
      </c>
      <c r="E24" s="8">
        <f>Population!K21</f>
        <v>-468615.69416498987</v>
      </c>
      <c r="F24" s="221">
        <f>Solidarité!I18</f>
        <v>-950595.26024690445</v>
      </c>
      <c r="G24" s="8">
        <f>DT!O18</f>
        <v>-96817.388970588217</v>
      </c>
      <c r="H24" s="221">
        <f>Effort!K18+Aide!I18+Taux!J18</f>
        <v>0</v>
      </c>
      <c r="I24" s="289">
        <f t="shared" si="1"/>
        <v>-1516028.3433824824</v>
      </c>
      <c r="J24" s="357">
        <f t="shared" si="2"/>
        <v>814383.23213659984</v>
      </c>
      <c r="K24" s="456">
        <f t="shared" si="3"/>
        <v>-701645.11124588258</v>
      </c>
    </row>
    <row r="25" spans="1:11" x14ac:dyDescent="0.25">
      <c r="A25" s="38">
        <f>Données!A19</f>
        <v>5414</v>
      </c>
      <c r="B25" s="27" t="str">
        <f>Données!B19</f>
        <v>Villeneuve</v>
      </c>
      <c r="C25" s="26">
        <f>Ecrêtage!C19</f>
        <v>165881.46711111109</v>
      </c>
      <c r="D25" s="12">
        <f>Données!Z19</f>
        <v>5979</v>
      </c>
      <c r="E25" s="8">
        <f>Population!K22</f>
        <v>-2490062.776659959</v>
      </c>
      <c r="F25" s="221">
        <f>Solidarité!I19</f>
        <v>-2256693.1725351554</v>
      </c>
      <c r="G25" s="8">
        <f>DT!O19</f>
        <v>-1915426.6973333335</v>
      </c>
      <c r="H25" s="221">
        <f>Effort!K19+Aide!I19+Taux!J19</f>
        <v>0</v>
      </c>
      <c r="I25" s="289">
        <f t="shared" si="1"/>
        <v>-6662182.6465284489</v>
      </c>
      <c r="J25" s="357">
        <f t="shared" si="2"/>
        <v>3171402.115801956</v>
      </c>
      <c r="K25" s="456">
        <f t="shared" si="3"/>
        <v>-3490780.5307264929</v>
      </c>
    </row>
    <row r="26" spans="1:11" x14ac:dyDescent="0.25">
      <c r="A26" s="38">
        <f>Données!A20</f>
        <v>5415</v>
      </c>
      <c r="B26" s="27" t="str">
        <f>Données!B20</f>
        <v>Yvorne</v>
      </c>
      <c r="C26" s="26">
        <f>Ecrêtage!C20</f>
        <v>33675.515990675995</v>
      </c>
      <c r="D26" s="12">
        <f>Données!Z20</f>
        <v>1088</v>
      </c>
      <c r="E26" s="8">
        <f>Population!K23</f>
        <v>-160815.69416498989</v>
      </c>
      <c r="F26" s="221">
        <f>Solidarité!I20</f>
        <v>-389453.48358094139</v>
      </c>
      <c r="G26" s="8">
        <f>DT!O20</f>
        <v>-363931.76706293708</v>
      </c>
      <c r="H26" s="221">
        <f>Effort!K20+Aide!I20+Taux!J20</f>
        <v>0</v>
      </c>
      <c r="I26" s="289">
        <f t="shared" si="1"/>
        <v>-914200.94480886846</v>
      </c>
      <c r="J26" s="357">
        <f t="shared" si="2"/>
        <v>643824.80167007667</v>
      </c>
      <c r="K26" s="456">
        <f t="shared" si="3"/>
        <v>-270376.14313879178</v>
      </c>
    </row>
    <row r="27" spans="1:11" x14ac:dyDescent="0.25">
      <c r="A27" s="38">
        <f>Données!A21</f>
        <v>5422</v>
      </c>
      <c r="B27" s="27" t="str">
        <f>Données!B21</f>
        <v>Aubonne</v>
      </c>
      <c r="C27" s="26">
        <f>Ecrêtage!C21</f>
        <v>297608.37742857152</v>
      </c>
      <c r="D27" s="12">
        <f>Données!Z21</f>
        <v>3792</v>
      </c>
      <c r="E27" s="8">
        <f>Population!K24</f>
        <v>-1260307.8470824948</v>
      </c>
      <c r="F27" s="221">
        <f>Solidarité!I21</f>
        <v>0</v>
      </c>
      <c r="G27" s="8">
        <f>DT!O21</f>
        <v>0</v>
      </c>
      <c r="H27" s="221">
        <f>Effort!K21+Aide!I21+Taux!J21</f>
        <v>0</v>
      </c>
      <c r="I27" s="289">
        <f t="shared" si="1"/>
        <v>-1260307.8470824948</v>
      </c>
      <c r="J27" s="357">
        <f t="shared" si="2"/>
        <v>5689820.8961773682</v>
      </c>
      <c r="K27" s="456">
        <f t="shared" si="3"/>
        <v>4429513.0490948735</v>
      </c>
    </row>
    <row r="28" spans="1:11" x14ac:dyDescent="0.25">
      <c r="A28" s="38">
        <f>Données!A22</f>
        <v>5423</v>
      </c>
      <c r="B28" s="27" t="str">
        <f>Données!B22</f>
        <v>Ballens</v>
      </c>
      <c r="C28" s="26">
        <f>Ecrêtage!C22</f>
        <v>17345.890547945211</v>
      </c>
      <c r="D28" s="12">
        <f>Données!Z22</f>
        <v>590</v>
      </c>
      <c r="E28" s="8">
        <f>Population!K25</f>
        <v>-76124.245472837007</v>
      </c>
      <c r="F28" s="221">
        <f>Solidarité!I22</f>
        <v>-239648.81094526176</v>
      </c>
      <c r="G28" s="8">
        <f>DT!O22</f>
        <v>-74315.988801369822</v>
      </c>
      <c r="H28" s="221">
        <f>Effort!K22+Aide!I22+Taux!J22</f>
        <v>0</v>
      </c>
      <c r="I28" s="289">
        <f t="shared" si="1"/>
        <v>-390089.04521946853</v>
      </c>
      <c r="J28" s="357">
        <f t="shared" si="2"/>
        <v>331627.12473102944</v>
      </c>
      <c r="K28" s="456">
        <f t="shared" si="3"/>
        <v>-58461.920488439093</v>
      </c>
    </row>
    <row r="29" spans="1:11" x14ac:dyDescent="0.25">
      <c r="A29" s="38">
        <f>Données!A23</f>
        <v>5424</v>
      </c>
      <c r="B29" s="27" t="str">
        <f>Données!B23</f>
        <v>Berolle</v>
      </c>
      <c r="C29" s="26">
        <f>Ecrêtage!C23</f>
        <v>10263.254304635762</v>
      </c>
      <c r="D29" s="12">
        <f>Données!Z23</f>
        <v>303</v>
      </c>
      <c r="E29" s="8">
        <f>Population!K26</f>
        <v>-39094.315895372223</v>
      </c>
      <c r="F29" s="221">
        <f>Solidarité!I23</f>
        <v>-100775.29530313681</v>
      </c>
      <c r="G29" s="8">
        <f>DT!O23</f>
        <v>-84384.533443708598</v>
      </c>
      <c r="H29" s="221">
        <f>Effort!K23+Aide!I23+Taux!J23</f>
        <v>0</v>
      </c>
      <c r="I29" s="289">
        <f t="shared" si="1"/>
        <v>-224254.14464221761</v>
      </c>
      <c r="J29" s="357">
        <f t="shared" si="2"/>
        <v>196217.85955711021</v>
      </c>
      <c r="K29" s="456">
        <f t="shared" si="3"/>
        <v>-28036.285085107404</v>
      </c>
    </row>
    <row r="30" spans="1:11" x14ac:dyDescent="0.25">
      <c r="A30" s="38">
        <f>Données!A24</f>
        <v>5425</v>
      </c>
      <c r="B30" s="27" t="str">
        <f>Données!B24</f>
        <v>Bière</v>
      </c>
      <c r="C30" s="26">
        <f>Ecrêtage!C24</f>
        <v>42247.955252373817</v>
      </c>
      <c r="D30" s="12">
        <f>Données!Z24</f>
        <v>1683</v>
      </c>
      <c r="E30" s="8">
        <f>Population!K27</f>
        <v>-375769.91951710253</v>
      </c>
      <c r="F30" s="221">
        <f>Solidarité!I24</f>
        <v>-748357.36897288833</v>
      </c>
      <c r="G30" s="8">
        <f>DT!O24</f>
        <v>-540515.55204647663</v>
      </c>
      <c r="H30" s="221">
        <f>Effort!K24+Aide!I24+Taux!J24</f>
        <v>0</v>
      </c>
      <c r="I30" s="289">
        <f t="shared" si="1"/>
        <v>-1664642.8405364675</v>
      </c>
      <c r="J30" s="357">
        <f t="shared" si="2"/>
        <v>807716.84148379508</v>
      </c>
      <c r="K30" s="456">
        <f t="shared" si="3"/>
        <v>-856925.99905267241</v>
      </c>
    </row>
    <row r="31" spans="1:11" x14ac:dyDescent="0.25">
      <c r="A31" s="38">
        <f>Données!A25</f>
        <v>5426</v>
      </c>
      <c r="B31" s="27" t="str">
        <f>Données!B25</f>
        <v>Bougy-Villars</v>
      </c>
      <c r="C31" s="26">
        <f>Ecrêtage!C25</f>
        <v>61945.082222222212</v>
      </c>
      <c r="D31" s="12">
        <f>Données!Z25</f>
        <v>506</v>
      </c>
      <c r="E31" s="8">
        <f>Population!K28</f>
        <v>-65286.217303822923</v>
      </c>
      <c r="F31" s="221">
        <f>Solidarité!I25</f>
        <v>0</v>
      </c>
      <c r="G31" s="8">
        <f>DT!O25</f>
        <v>0</v>
      </c>
      <c r="H31" s="221">
        <f>Effort!K25+Aide!I25+Taux!J25</f>
        <v>0</v>
      </c>
      <c r="I31" s="289">
        <f t="shared" si="1"/>
        <v>-65286.217303822923</v>
      </c>
      <c r="J31" s="357">
        <f t="shared" si="2"/>
        <v>1184296.0412900932</v>
      </c>
      <c r="K31" s="456">
        <f t="shared" si="3"/>
        <v>1119009.8239862702</v>
      </c>
    </row>
    <row r="32" spans="1:11" x14ac:dyDescent="0.25">
      <c r="A32" s="38">
        <f>Données!A26</f>
        <v>5427</v>
      </c>
      <c r="B32" s="27" t="str">
        <f>Données!B26</f>
        <v>Féchy</v>
      </c>
      <c r="C32" s="26">
        <f>Ecrêtage!C26</f>
        <v>86922.106418269221</v>
      </c>
      <c r="D32" s="12">
        <f>Données!Z26</f>
        <v>887</v>
      </c>
      <c r="E32" s="8">
        <f>Population!K29</f>
        <v>-114444.41649899395</v>
      </c>
      <c r="F32" s="221">
        <f>Solidarité!I26</f>
        <v>0</v>
      </c>
      <c r="G32" s="8">
        <f>DT!O26</f>
        <v>0</v>
      </c>
      <c r="H32" s="221">
        <f>Effort!K26+Aide!I26+Taux!J26</f>
        <v>0</v>
      </c>
      <c r="I32" s="289">
        <f t="shared" si="1"/>
        <v>-114444.41649899395</v>
      </c>
      <c r="J32" s="357">
        <f t="shared" si="2"/>
        <v>1661818.8698573257</v>
      </c>
      <c r="K32" s="456">
        <f t="shared" si="3"/>
        <v>1547374.4533583317</v>
      </c>
    </row>
    <row r="33" spans="1:11" x14ac:dyDescent="0.25">
      <c r="A33" s="38">
        <f>Données!A27</f>
        <v>5428</v>
      </c>
      <c r="B33" s="27" t="str">
        <f>Données!B27</f>
        <v>Gimel</v>
      </c>
      <c r="C33" s="26">
        <f>Ecrêtage!C27</f>
        <v>71357.587986577171</v>
      </c>
      <c r="D33" s="12">
        <f>Données!Z27</f>
        <v>2414</v>
      </c>
      <c r="E33" s="8">
        <f>Population!K30</f>
        <v>-639856.53923541238</v>
      </c>
      <c r="F33" s="221">
        <f>Solidarité!I27</f>
        <v>-1012666.6637038583</v>
      </c>
      <c r="G33" s="8">
        <f>DT!O27</f>
        <v>-537571.722080537</v>
      </c>
      <c r="H33" s="221">
        <f>Effort!K27+Aide!I27+Taux!J27</f>
        <v>0</v>
      </c>
      <c r="I33" s="289">
        <f t="shared" si="1"/>
        <v>-2190094.9250198076</v>
      </c>
      <c r="J33" s="357">
        <f t="shared" si="2"/>
        <v>1364248.8787947113</v>
      </c>
      <c r="K33" s="456">
        <f t="shared" si="3"/>
        <v>-825846.04622509633</v>
      </c>
    </row>
    <row r="34" spans="1:11" x14ac:dyDescent="0.25">
      <c r="A34" s="38">
        <f>Données!A28</f>
        <v>5429</v>
      </c>
      <c r="B34" s="27" t="str">
        <f>Données!B28</f>
        <v>Longirod</v>
      </c>
      <c r="C34" s="26">
        <f>Ecrêtage!C28</f>
        <v>17142.381290322584</v>
      </c>
      <c r="D34" s="12">
        <f>Données!Z28</f>
        <v>541</v>
      </c>
      <c r="E34" s="8">
        <f>Population!K31</f>
        <v>-69802.062374245463</v>
      </c>
      <c r="F34" s="221">
        <f>Solidarité!I28</f>
        <v>-217976.12381197183</v>
      </c>
      <c r="G34" s="8">
        <f>DT!O28</f>
        <v>-67216.926290322561</v>
      </c>
      <c r="H34" s="221">
        <f>Effort!K28+Aide!I28+Taux!J28</f>
        <v>0</v>
      </c>
      <c r="I34" s="289">
        <f t="shared" si="1"/>
        <v>-354995.11247653986</v>
      </c>
      <c r="J34" s="357">
        <f t="shared" si="2"/>
        <v>327736.33631777426</v>
      </c>
      <c r="K34" s="456">
        <f t="shared" si="3"/>
        <v>-27258.776158765599</v>
      </c>
    </row>
    <row r="35" spans="1:11" x14ac:dyDescent="0.25">
      <c r="A35" s="38">
        <f>Données!A29</f>
        <v>5430</v>
      </c>
      <c r="B35" s="27" t="str">
        <f>Données!B29</f>
        <v>Marchissy</v>
      </c>
      <c r="C35" s="26">
        <f>Ecrêtage!C29</f>
        <v>17121.715483870968</v>
      </c>
      <c r="D35" s="12">
        <f>Données!Z29</f>
        <v>499</v>
      </c>
      <c r="E35" s="8">
        <f>Population!K32</f>
        <v>-64383.048289738414</v>
      </c>
      <c r="F35" s="221">
        <f>Solidarité!I29</f>
        <v>-169602.72408437409</v>
      </c>
      <c r="G35" s="8">
        <f>DT!O29</f>
        <v>-59629.707096774189</v>
      </c>
      <c r="H35" s="221">
        <f>Effort!K29+Aide!I29+Taux!J29</f>
        <v>0</v>
      </c>
      <c r="I35" s="289">
        <f t="shared" si="1"/>
        <v>-293615.4794708867</v>
      </c>
      <c r="J35" s="357">
        <f t="shared" si="2"/>
        <v>327341.23743513948</v>
      </c>
      <c r="K35" s="456">
        <f t="shared" si="3"/>
        <v>33725.757964252785</v>
      </c>
    </row>
    <row r="36" spans="1:11" x14ac:dyDescent="0.25">
      <c r="A36" s="38">
        <f>Données!A30</f>
        <v>5431</v>
      </c>
      <c r="B36" s="27" t="str">
        <f>Données!B30</f>
        <v>Mollens</v>
      </c>
      <c r="C36" s="26">
        <f>Ecrêtage!C30</f>
        <v>9475.049594594595</v>
      </c>
      <c r="D36" s="12">
        <f>Données!Z30</f>
        <v>324</v>
      </c>
      <c r="E36" s="8">
        <f>Population!K33</f>
        <v>-41803.822937625744</v>
      </c>
      <c r="F36" s="221">
        <f>Solidarité!I30</f>
        <v>-136339.06843645306</v>
      </c>
      <c r="G36" s="8">
        <f>DT!O30</f>
        <v>-57215.665236486486</v>
      </c>
      <c r="H36" s="221">
        <f>Effort!K30+Aide!I30+Taux!J30</f>
        <v>0</v>
      </c>
      <c r="I36" s="289">
        <f t="shared" si="1"/>
        <v>-235358.55661056528</v>
      </c>
      <c r="J36" s="357">
        <f t="shared" si="2"/>
        <v>181148.58070008596</v>
      </c>
      <c r="K36" s="456">
        <f t="shared" si="3"/>
        <v>-54209.975910479319</v>
      </c>
    </row>
    <row r="37" spans="1:11" x14ac:dyDescent="0.25">
      <c r="A37" s="38">
        <f>Données!A31</f>
        <v>5434</v>
      </c>
      <c r="B37" s="27" t="str">
        <f>Données!B31</f>
        <v>Saint-George</v>
      </c>
      <c r="C37" s="26">
        <f>Ecrêtage!C31</f>
        <v>40910.448657074339</v>
      </c>
      <c r="D37" s="12">
        <f>Données!Z31</f>
        <v>1069</v>
      </c>
      <c r="E37" s="8">
        <f>Population!K34</f>
        <v>-153951.60965794764</v>
      </c>
      <c r="F37" s="221">
        <f>Solidarité!I31</f>
        <v>-210519.55310592169</v>
      </c>
      <c r="G37" s="8">
        <f>DT!O31</f>
        <v>-156895.05805755395</v>
      </c>
      <c r="H37" s="221">
        <f>Effort!K31+Aide!I31+Taux!J31</f>
        <v>0</v>
      </c>
      <c r="I37" s="289">
        <f t="shared" si="1"/>
        <v>-521366.22082142328</v>
      </c>
      <c r="J37" s="357">
        <f t="shared" si="2"/>
        <v>782145.74351785658</v>
      </c>
      <c r="K37" s="456">
        <f t="shared" si="3"/>
        <v>260779.5226964333</v>
      </c>
    </row>
    <row r="38" spans="1:11" x14ac:dyDescent="0.25">
      <c r="A38" s="38">
        <f>Données!A32</f>
        <v>5435</v>
      </c>
      <c r="B38" s="27" t="str">
        <f>Données!B32</f>
        <v>Saint-Livres</v>
      </c>
      <c r="C38" s="26">
        <f>Ecrêtage!C32</f>
        <v>25462.29188405797</v>
      </c>
      <c r="D38" s="12">
        <f>Données!Z32</f>
        <v>697</v>
      </c>
      <c r="E38" s="8">
        <f>Population!K35</f>
        <v>-89929.828973843032</v>
      </c>
      <c r="F38" s="221">
        <f>Solidarité!I32</f>
        <v>-158351.53043093436</v>
      </c>
      <c r="G38" s="8">
        <f>DT!O32</f>
        <v>-33832.248695652183</v>
      </c>
      <c r="H38" s="221">
        <f>Effort!K32+Aide!I32+Taux!J32</f>
        <v>0</v>
      </c>
      <c r="I38" s="289">
        <f t="shared" si="1"/>
        <v>-282113.60810042958</v>
      </c>
      <c r="J38" s="357">
        <f t="shared" si="2"/>
        <v>486800.41092341853</v>
      </c>
      <c r="K38" s="456">
        <f t="shared" si="3"/>
        <v>204686.80282298895</v>
      </c>
    </row>
    <row r="39" spans="1:11" x14ac:dyDescent="0.25">
      <c r="A39" s="38">
        <f>Données!A33</f>
        <v>5436</v>
      </c>
      <c r="B39" s="27" t="str">
        <f>Données!B33</f>
        <v>Saint-Oyens</v>
      </c>
      <c r="C39" s="26">
        <f>Ecrêtage!C33</f>
        <v>16425.371772151899</v>
      </c>
      <c r="D39" s="12">
        <f>Données!Z33</f>
        <v>456</v>
      </c>
      <c r="E39" s="8">
        <f>Population!K36</f>
        <v>-58835.010060362161</v>
      </c>
      <c r="F39" s="221">
        <f>Solidarité!I33</f>
        <v>-141612.30137078173</v>
      </c>
      <c r="G39" s="8">
        <f>DT!O33</f>
        <v>0</v>
      </c>
      <c r="H39" s="221">
        <f>Effort!K33+Aide!I33+Taux!J33</f>
        <v>0</v>
      </c>
      <c r="I39" s="289">
        <f t="shared" si="1"/>
        <v>-200447.3114311439</v>
      </c>
      <c r="J39" s="357">
        <f t="shared" si="2"/>
        <v>314028.20157205529</v>
      </c>
      <c r="K39" s="456">
        <f t="shared" si="3"/>
        <v>113580.89014091139</v>
      </c>
    </row>
    <row r="40" spans="1:11" x14ac:dyDescent="0.25">
      <c r="A40" s="38">
        <f>Données!A34</f>
        <v>5437</v>
      </c>
      <c r="B40" s="27" t="str">
        <f>Données!B34</f>
        <v>Saubraz</v>
      </c>
      <c r="C40" s="26">
        <f>Ecrêtage!C34</f>
        <v>12127.91725</v>
      </c>
      <c r="D40" s="12">
        <f>Données!Z34</f>
        <v>449</v>
      </c>
      <c r="E40" s="8">
        <f>Population!K37</f>
        <v>-57931.841046277652</v>
      </c>
      <c r="F40" s="221">
        <f>Solidarité!I34</f>
        <v>-246466.25755718374</v>
      </c>
      <c r="G40" s="8">
        <f>DT!O34</f>
        <v>-3629.7464999999975</v>
      </c>
      <c r="H40" s="221">
        <f>Effort!K34+Aide!I34+Taux!J34</f>
        <v>0</v>
      </c>
      <c r="I40" s="289">
        <f t="shared" si="1"/>
        <v>-308027.84510346141</v>
      </c>
      <c r="J40" s="357">
        <f t="shared" si="2"/>
        <v>231867.38757957815</v>
      </c>
      <c r="K40" s="456">
        <f t="shared" si="3"/>
        <v>-76160.457523883262</v>
      </c>
    </row>
    <row r="41" spans="1:11" x14ac:dyDescent="0.25">
      <c r="A41" s="38">
        <f>Données!A35</f>
        <v>5451</v>
      </c>
      <c r="B41" s="27" t="str">
        <f>Données!B35</f>
        <v>Avenches</v>
      </c>
      <c r="C41" s="26">
        <f>Ecrêtage!C35</f>
        <v>142633.11649122802</v>
      </c>
      <c r="D41" s="12">
        <f>Données!Z35</f>
        <v>4696</v>
      </c>
      <c r="E41" s="8">
        <f>Population!K38</f>
        <v>-1726859.1549295771</v>
      </c>
      <c r="F41" s="221">
        <f>Solidarité!I35</f>
        <v>-1502082.6138295324</v>
      </c>
      <c r="G41" s="8">
        <f>DT!O35</f>
        <v>-1251546.8010526318</v>
      </c>
      <c r="H41" s="221">
        <f>Effort!K35+Aide!I35+Taux!J35</f>
        <v>0</v>
      </c>
      <c r="I41" s="289">
        <f t="shared" si="1"/>
        <v>-4480488.5698117409</v>
      </c>
      <c r="J41" s="357">
        <f t="shared" si="2"/>
        <v>2726928.9047263814</v>
      </c>
      <c r="K41" s="456">
        <f t="shared" si="3"/>
        <v>-1753559.6650853595</v>
      </c>
    </row>
    <row r="42" spans="1:11" x14ac:dyDescent="0.25">
      <c r="A42" s="38">
        <f>Données!A36</f>
        <v>5456</v>
      </c>
      <c r="B42" s="27" t="str">
        <f>Données!B36</f>
        <v>Cudrefin</v>
      </c>
      <c r="C42" s="26">
        <f>Ecrêtage!C36</f>
        <v>64060.385932203382</v>
      </c>
      <c r="D42" s="12">
        <f>Données!Z36</f>
        <v>1876</v>
      </c>
      <c r="E42" s="8">
        <f>Population!K39</f>
        <v>-445494.56740442646</v>
      </c>
      <c r="F42" s="221">
        <f>Solidarité!I36</f>
        <v>-373843.05025803519</v>
      </c>
      <c r="G42" s="8">
        <f>DT!O36</f>
        <v>-153275.18440677971</v>
      </c>
      <c r="H42" s="221">
        <f>Effort!K36+Aide!I36+Taux!J36</f>
        <v>0</v>
      </c>
      <c r="I42" s="289">
        <f t="shared" si="1"/>
        <v>-972612.80206924141</v>
      </c>
      <c r="J42" s="357">
        <f t="shared" si="2"/>
        <v>1224737.4406714027</v>
      </c>
      <c r="K42" s="456">
        <f t="shared" si="3"/>
        <v>252124.63860216131</v>
      </c>
    </row>
    <row r="43" spans="1:11" x14ac:dyDescent="0.25">
      <c r="A43" s="38">
        <f>Données!A37</f>
        <v>5458</v>
      </c>
      <c r="B43" s="27" t="str">
        <f>Données!B37</f>
        <v>Faoug</v>
      </c>
      <c r="C43" s="26">
        <f>Ecrêtage!C37</f>
        <v>32630.920512820507</v>
      </c>
      <c r="D43" s="12">
        <f>Données!Z37</f>
        <v>903</v>
      </c>
      <c r="E43" s="8">
        <f>Population!K40</f>
        <v>-116508.80281690139</v>
      </c>
      <c r="F43" s="221">
        <f>Solidarité!I37</f>
        <v>-188081.52355375103</v>
      </c>
      <c r="G43" s="8">
        <f>DT!O37</f>
        <v>-111279.47692307696</v>
      </c>
      <c r="H43" s="221">
        <f>Effort!K37+Aide!I37+Taux!J37</f>
        <v>0</v>
      </c>
      <c r="I43" s="289">
        <f t="shared" si="1"/>
        <v>-415869.80329372938</v>
      </c>
      <c r="J43" s="357">
        <f t="shared" si="2"/>
        <v>623853.72011212888</v>
      </c>
      <c r="K43" s="456">
        <f t="shared" si="3"/>
        <v>207983.91681839951</v>
      </c>
    </row>
    <row r="44" spans="1:11" x14ac:dyDescent="0.25">
      <c r="A44" s="38">
        <f>Données!A38</f>
        <v>5464</v>
      </c>
      <c r="B44" s="27" t="str">
        <f>Données!B38</f>
        <v>Vully-les-Lacs</v>
      </c>
      <c r="C44" s="26">
        <f>Ecrêtage!C38</f>
        <v>117933.44731343284</v>
      </c>
      <c r="D44" s="12">
        <f>Données!Z38</f>
        <v>3540</v>
      </c>
      <c r="E44" s="8">
        <f>Population!K41</f>
        <v>-1130251.5090543258</v>
      </c>
      <c r="F44" s="221">
        <f>Solidarité!I38</f>
        <v>-962607.63355076895</v>
      </c>
      <c r="G44" s="8">
        <f>DT!O38</f>
        <v>-390132.31611940294</v>
      </c>
      <c r="H44" s="221">
        <f>Effort!K38+Aide!I38+Taux!J38</f>
        <v>0</v>
      </c>
      <c r="I44" s="289">
        <f t="shared" si="1"/>
        <v>-2482991.4587244978</v>
      </c>
      <c r="J44" s="357">
        <f t="shared" si="2"/>
        <v>2254708.6835391703</v>
      </c>
      <c r="K44" s="456">
        <f t="shared" si="3"/>
        <v>-228282.77518532751</v>
      </c>
    </row>
    <row r="45" spans="1:11" x14ac:dyDescent="0.25">
      <c r="A45" s="38">
        <f>Données!A39</f>
        <v>5471</v>
      </c>
      <c r="B45" s="27" t="str">
        <f>Données!B39</f>
        <v>Bettens</v>
      </c>
      <c r="C45" s="26">
        <f>Ecrêtage!C39</f>
        <v>22692.287412698413</v>
      </c>
      <c r="D45" s="12">
        <f>Données!Z39</f>
        <v>650</v>
      </c>
      <c r="E45" s="8">
        <f>Population!K42</f>
        <v>-83865.694164989924</v>
      </c>
      <c r="F45" s="221">
        <f>Solidarité!I39</f>
        <v>-172607.6397656991</v>
      </c>
      <c r="G45" s="8">
        <f>DT!O39</f>
        <v>0</v>
      </c>
      <c r="H45" s="221">
        <f>Effort!K39+Aide!I39+Taux!J39</f>
        <v>0</v>
      </c>
      <c r="I45" s="289">
        <f t="shared" si="1"/>
        <v>-256473.33393068903</v>
      </c>
      <c r="J45" s="357">
        <f t="shared" si="2"/>
        <v>433842.1257439999</v>
      </c>
      <c r="K45" s="456">
        <f t="shared" si="3"/>
        <v>177368.79181331088</v>
      </c>
    </row>
    <row r="46" spans="1:11" x14ac:dyDescent="0.25">
      <c r="A46" s="38">
        <f>Données!A40</f>
        <v>5472</v>
      </c>
      <c r="B46" s="27" t="str">
        <f>Données!B40</f>
        <v>Bournens</v>
      </c>
      <c r="C46" s="26">
        <f>Ecrêtage!C40</f>
        <v>19974.836617647059</v>
      </c>
      <c r="D46" s="12">
        <f>Données!Z40</f>
        <v>514</v>
      </c>
      <c r="E46" s="8">
        <f>Population!K43</f>
        <v>-66318.41046277665</v>
      </c>
      <c r="F46" s="221">
        <f>Solidarité!I40</f>
        <v>-91279.660499762249</v>
      </c>
      <c r="G46" s="8">
        <f>DT!O40</f>
        <v>-7680.1225367647057</v>
      </c>
      <c r="H46" s="221">
        <f>Effort!K40+Aide!I40+Taux!J40</f>
        <v>0</v>
      </c>
      <c r="I46" s="289">
        <f t="shared" si="1"/>
        <v>-165278.1934993036</v>
      </c>
      <c r="J46" s="357">
        <f t="shared" si="2"/>
        <v>381888.58716551022</v>
      </c>
      <c r="K46" s="456">
        <f t="shared" si="3"/>
        <v>216610.39366620663</v>
      </c>
    </row>
    <row r="47" spans="1:11" x14ac:dyDescent="0.25">
      <c r="A47" s="38">
        <f>Données!A41</f>
        <v>5473</v>
      </c>
      <c r="B47" s="27" t="str">
        <f>Données!B41</f>
        <v>Boussens</v>
      </c>
      <c r="C47" s="26">
        <f>Ecrêtage!C41</f>
        <v>40043.184999999998</v>
      </c>
      <c r="D47" s="12">
        <f>Données!Z41</f>
        <v>1009</v>
      </c>
      <c r="E47" s="8">
        <f>Population!K44</f>
        <v>-132275.55331991948</v>
      </c>
      <c r="F47" s="221">
        <f>Solidarité!I41</f>
        <v>-154317.00660229981</v>
      </c>
      <c r="G47" s="8">
        <f>DT!O41</f>
        <v>0</v>
      </c>
      <c r="H47" s="221">
        <f>Effort!K41+Aide!I41+Taux!J41</f>
        <v>0</v>
      </c>
      <c r="I47" s="289">
        <f t="shared" si="1"/>
        <v>-286592.55992221925</v>
      </c>
      <c r="J47" s="357">
        <f t="shared" si="2"/>
        <v>765564.97747506888</v>
      </c>
      <c r="K47" s="456">
        <f t="shared" si="3"/>
        <v>478972.41755284963</v>
      </c>
    </row>
    <row r="48" spans="1:11" x14ac:dyDescent="0.25">
      <c r="A48" s="38">
        <f>Données!A42</f>
        <v>5474</v>
      </c>
      <c r="B48" s="27" t="str">
        <f>Données!B42</f>
        <v>La Chaux (Cossonay)</v>
      </c>
      <c r="C48" s="26">
        <f>Ecrêtage!C42</f>
        <v>13862.516425438596</v>
      </c>
      <c r="D48" s="12">
        <f>Données!Z42</f>
        <v>412</v>
      </c>
      <c r="E48" s="8">
        <f>Population!K45</f>
        <v>-53157.947686116691</v>
      </c>
      <c r="F48" s="221">
        <f>Solidarité!I42</f>
        <v>-140991.03446064002</v>
      </c>
      <c r="G48" s="8">
        <f>DT!O42</f>
        <v>-174642.65144736844</v>
      </c>
      <c r="H48" s="221">
        <f>Effort!K42+Aide!I42+Taux!J42</f>
        <v>0</v>
      </c>
      <c r="I48" s="289">
        <f t="shared" si="1"/>
        <v>-368791.63359412516</v>
      </c>
      <c r="J48" s="357">
        <f t="shared" si="2"/>
        <v>265030.29354404932</v>
      </c>
      <c r="K48" s="456">
        <f t="shared" si="3"/>
        <v>-103761.34005007584</v>
      </c>
    </row>
    <row r="49" spans="1:11" x14ac:dyDescent="0.25">
      <c r="A49" s="38">
        <f>Données!A43</f>
        <v>5475</v>
      </c>
      <c r="B49" s="27" t="str">
        <f>Données!B43</f>
        <v>Chavannes-le-Veyron</v>
      </c>
      <c r="C49" s="26">
        <f>Ecrêtage!C43</f>
        <v>4297.2048000000004</v>
      </c>
      <c r="D49" s="12">
        <f>Données!Z43</f>
        <v>163</v>
      </c>
      <c r="E49" s="8">
        <f>Population!K46</f>
        <v>-21030.935613682086</v>
      </c>
      <c r="F49" s="221">
        <f>Solidarité!I43</f>
        <v>-81013.215669756813</v>
      </c>
      <c r="G49" s="8">
        <f>DT!O43</f>
        <v>-49854.117599999998</v>
      </c>
      <c r="H49" s="221">
        <f>Effort!K43+Aide!I43+Taux!J43</f>
        <v>0</v>
      </c>
      <c r="I49" s="289">
        <f t="shared" si="1"/>
        <v>-151898.2688834389</v>
      </c>
      <c r="J49" s="357">
        <f t="shared" si="2"/>
        <v>82156.039683600553</v>
      </c>
      <c r="K49" s="456">
        <f t="shared" si="3"/>
        <v>-69742.229199838344</v>
      </c>
    </row>
    <row r="50" spans="1:11" x14ac:dyDescent="0.25">
      <c r="A50" s="38">
        <f>Données!A44</f>
        <v>5476</v>
      </c>
      <c r="B50" s="27" t="str">
        <f>Données!B44</f>
        <v>Chevilly</v>
      </c>
      <c r="C50" s="26">
        <f>Ecrêtage!C44</f>
        <v>13558.452965517243</v>
      </c>
      <c r="D50" s="12">
        <f>Données!Z44</f>
        <v>331</v>
      </c>
      <c r="E50" s="8">
        <f>Population!K47</f>
        <v>-42706.991951710253</v>
      </c>
      <c r="F50" s="221">
        <f>Solidarité!I44</f>
        <v>-52212.228779115852</v>
      </c>
      <c r="G50" s="8">
        <f>DT!O44</f>
        <v>0</v>
      </c>
      <c r="H50" s="221">
        <f>Effort!K44+Aide!I44+Taux!J44</f>
        <v>0</v>
      </c>
      <c r="I50" s="289">
        <f t="shared" si="1"/>
        <v>-94919.220730826113</v>
      </c>
      <c r="J50" s="357">
        <f t="shared" si="2"/>
        <v>259217.06125881319</v>
      </c>
      <c r="K50" s="456">
        <f t="shared" si="3"/>
        <v>164297.84052798708</v>
      </c>
    </row>
    <row r="51" spans="1:11" x14ac:dyDescent="0.25">
      <c r="A51" s="38">
        <f>Données!A45</f>
        <v>5477</v>
      </c>
      <c r="B51" s="27" t="str">
        <f>Données!B45</f>
        <v>Cossonay</v>
      </c>
      <c r="C51" s="26">
        <f>Ecrêtage!C45</f>
        <v>151490.5288235294</v>
      </c>
      <c r="D51" s="12">
        <f>Données!Z45</f>
        <v>4389</v>
      </c>
      <c r="E51" s="8">
        <f>Population!K48</f>
        <v>-1568417.5050301808</v>
      </c>
      <c r="F51" s="221">
        <f>Solidarité!I45</f>
        <v>-1131911.585375373</v>
      </c>
      <c r="G51" s="8">
        <f>DT!O45</f>
        <v>-938459.07705882355</v>
      </c>
      <c r="H51" s="221">
        <f>Effort!K45+Aide!I45+Taux!J45</f>
        <v>0</v>
      </c>
      <c r="I51" s="289">
        <f t="shared" si="1"/>
        <v>-3638788.1674643774</v>
      </c>
      <c r="J51" s="357">
        <f t="shared" si="2"/>
        <v>2896269.1975294063</v>
      </c>
      <c r="K51" s="456">
        <f t="shared" si="3"/>
        <v>-742518.96993497107</v>
      </c>
    </row>
    <row r="52" spans="1:11" x14ac:dyDescent="0.25">
      <c r="A52" s="38">
        <f>Données!A46</f>
        <v>5479</v>
      </c>
      <c r="B52" s="27" t="str">
        <f>Données!B46</f>
        <v>Cuarnens</v>
      </c>
      <c r="C52" s="26">
        <f>Ecrêtage!C46</f>
        <v>14331.337792207793</v>
      </c>
      <c r="D52" s="12">
        <f>Données!Z46</f>
        <v>545</v>
      </c>
      <c r="E52" s="8">
        <f>Population!K49</f>
        <v>-70318.158953722319</v>
      </c>
      <c r="F52" s="221">
        <f>Solidarité!I46</f>
        <v>-286379.25458878867</v>
      </c>
      <c r="G52" s="8">
        <f>DT!O46</f>
        <v>-245191.4699025974</v>
      </c>
      <c r="H52" s="221">
        <f>Effort!K46+Aide!I46+Taux!J46</f>
        <v>0</v>
      </c>
      <c r="I52" s="289">
        <f t="shared" si="1"/>
        <v>-601888.88344510843</v>
      </c>
      <c r="J52" s="357">
        <f t="shared" si="2"/>
        <v>273993.44717657106</v>
      </c>
      <c r="K52" s="456">
        <f t="shared" si="3"/>
        <v>-327895.43626853736</v>
      </c>
    </row>
    <row r="53" spans="1:11" x14ac:dyDescent="0.25">
      <c r="A53" s="38">
        <f>Données!A47</f>
        <v>5480</v>
      </c>
      <c r="B53" s="27" t="str">
        <f>Données!B47</f>
        <v>Daillens</v>
      </c>
      <c r="C53" s="26">
        <f>Ecrêtage!C47</f>
        <v>42720.265505050505</v>
      </c>
      <c r="D53" s="12">
        <f>Données!Z47</f>
        <v>1057</v>
      </c>
      <c r="E53" s="8">
        <f>Population!K50</f>
        <v>-149616.39839034202</v>
      </c>
      <c r="F53" s="221">
        <f>Solidarité!I47</f>
        <v>-148215.16112740294</v>
      </c>
      <c r="G53" s="8">
        <f>DT!O47</f>
        <v>-97647.45784090909</v>
      </c>
      <c r="H53" s="221">
        <f>Effort!K47+Aide!I47+Taux!J47</f>
        <v>0</v>
      </c>
      <c r="I53" s="289">
        <f t="shared" si="1"/>
        <v>-395479.017358654</v>
      </c>
      <c r="J53" s="357">
        <f t="shared" si="2"/>
        <v>816746.69732447492</v>
      </c>
      <c r="K53" s="456">
        <f t="shared" si="3"/>
        <v>421267.67996582092</v>
      </c>
    </row>
    <row r="54" spans="1:11" x14ac:dyDescent="0.25">
      <c r="A54" s="38">
        <f>Données!A48</f>
        <v>5481</v>
      </c>
      <c r="B54" s="27" t="str">
        <f>Données!B48</f>
        <v>Dizy</v>
      </c>
      <c r="C54" s="26">
        <f>Ecrêtage!C48</f>
        <v>8552.7156000000014</v>
      </c>
      <c r="D54" s="12">
        <f>Données!Z48</f>
        <v>232</v>
      </c>
      <c r="E54" s="8">
        <f>Population!K51</f>
        <v>-29933.601609657941</v>
      </c>
      <c r="F54" s="221">
        <f>Solidarité!I48</f>
        <v>-60531.817561856187</v>
      </c>
      <c r="G54" s="8">
        <f>DT!O48</f>
        <v>-31827.956399999992</v>
      </c>
      <c r="H54" s="221">
        <f>Effort!K48+Aide!I48+Taux!J48</f>
        <v>0</v>
      </c>
      <c r="I54" s="289">
        <f t="shared" si="1"/>
        <v>-122293.37557151413</v>
      </c>
      <c r="J54" s="357">
        <f t="shared" si="2"/>
        <v>163514.95331014931</v>
      </c>
      <c r="K54" s="456">
        <f t="shared" si="3"/>
        <v>41221.577738635184</v>
      </c>
    </row>
    <row r="55" spans="1:11" x14ac:dyDescent="0.25">
      <c r="A55" s="38">
        <f>Données!A49</f>
        <v>5482</v>
      </c>
      <c r="B55" s="27" t="str">
        <f>Données!B49</f>
        <v>Eclépens</v>
      </c>
      <c r="C55" s="26">
        <f>Ecrêtage!C49</f>
        <v>48314.544130434791</v>
      </c>
      <c r="D55" s="12">
        <f>Données!Z49</f>
        <v>1199</v>
      </c>
      <c r="E55" s="8">
        <f>Population!K52</f>
        <v>-200916.39839034202</v>
      </c>
      <c r="F55" s="221">
        <f>Solidarité!I49</f>
        <v>-82895.547331989059</v>
      </c>
      <c r="G55" s="8">
        <f>DT!O49</f>
        <v>-143813.32711956516</v>
      </c>
      <c r="H55" s="221">
        <f>Effort!K49+Aide!I49+Taux!J49</f>
        <v>0</v>
      </c>
      <c r="I55" s="289">
        <f t="shared" si="1"/>
        <v>-427625.27284189622</v>
      </c>
      <c r="J55" s="357">
        <f t="shared" si="2"/>
        <v>923700.82172370993</v>
      </c>
      <c r="K55" s="456">
        <f t="shared" si="3"/>
        <v>496075.54888181371</v>
      </c>
    </row>
    <row r="56" spans="1:11" x14ac:dyDescent="0.25">
      <c r="A56" s="38">
        <f>Données!A50</f>
        <v>5483</v>
      </c>
      <c r="B56" s="27" t="str">
        <f>Données!B50</f>
        <v>Ferreyres</v>
      </c>
      <c r="C56" s="26">
        <f>Ecrêtage!C50</f>
        <v>10284.283289473684</v>
      </c>
      <c r="D56" s="12">
        <f>Données!Z50</f>
        <v>308</v>
      </c>
      <c r="E56" s="8">
        <f>Population!K53</f>
        <v>-39739.436619718304</v>
      </c>
      <c r="F56" s="221">
        <f>Solidarité!I50</f>
        <v>-107223.80106661405</v>
      </c>
      <c r="G56" s="8">
        <f>DT!O50</f>
        <v>-452.05026315789655</v>
      </c>
      <c r="H56" s="221">
        <f>Effort!K50+Aide!I50+Taux!J50</f>
        <v>0</v>
      </c>
      <c r="I56" s="289">
        <f t="shared" si="1"/>
        <v>-147415.28794949024</v>
      </c>
      <c r="J56" s="357">
        <f t="shared" si="2"/>
        <v>196619.90185978333</v>
      </c>
      <c r="K56" s="456">
        <f t="shared" si="3"/>
        <v>49204.61391029309</v>
      </c>
    </row>
    <row r="57" spans="1:11" x14ac:dyDescent="0.25">
      <c r="A57" s="38">
        <f>Données!A51</f>
        <v>5484</v>
      </c>
      <c r="B57" s="27" t="str">
        <f>Données!B51</f>
        <v>Gollion</v>
      </c>
      <c r="C57" s="26">
        <f>Ecrêtage!C51</f>
        <v>32601.670945945945</v>
      </c>
      <c r="D57" s="12">
        <f>Données!Z51</f>
        <v>1033</v>
      </c>
      <c r="E57" s="8">
        <f>Population!K54</f>
        <v>-140945.97585513076</v>
      </c>
      <c r="F57" s="221">
        <f>Solidarité!I51</f>
        <v>-382320.39723463968</v>
      </c>
      <c r="G57" s="8">
        <f>DT!O51</f>
        <v>-279119.22111486486</v>
      </c>
      <c r="H57" s="221">
        <f>Effort!K51+Aide!I51+Taux!J51</f>
        <v>0</v>
      </c>
      <c r="I57" s="289">
        <f t="shared" si="1"/>
        <v>-802385.59420463536</v>
      </c>
      <c r="J57" s="357">
        <f t="shared" si="2"/>
        <v>623294.5127462442</v>
      </c>
      <c r="K57" s="456">
        <f t="shared" si="3"/>
        <v>-179091.08145839116</v>
      </c>
    </row>
    <row r="58" spans="1:11" x14ac:dyDescent="0.25">
      <c r="A58" s="38">
        <f>Données!A52</f>
        <v>5485</v>
      </c>
      <c r="B58" s="27" t="str">
        <f>Données!B52</f>
        <v>Grancy</v>
      </c>
      <c r="C58" s="26">
        <f>Ecrêtage!C52</f>
        <v>18961.380428571429</v>
      </c>
      <c r="D58" s="12">
        <f>Données!Z52</f>
        <v>489</v>
      </c>
      <c r="E58" s="8">
        <f>Population!K55</f>
        <v>-63092.806841046266</v>
      </c>
      <c r="F58" s="221">
        <f>Solidarité!I52</f>
        <v>-92844.255093764252</v>
      </c>
      <c r="G58" s="8">
        <f>DT!O52</f>
        <v>-74136.432107142857</v>
      </c>
      <c r="H58" s="221">
        <f>Effort!K52+Aide!I52+Taux!J52</f>
        <v>0</v>
      </c>
      <c r="I58" s="289">
        <f t="shared" si="1"/>
        <v>-230073.49404195335</v>
      </c>
      <c r="J58" s="357">
        <f t="shared" si="2"/>
        <v>362512.84159078501</v>
      </c>
      <c r="K58" s="456">
        <f t="shared" si="3"/>
        <v>132439.34754883166</v>
      </c>
    </row>
    <row r="59" spans="1:11" x14ac:dyDescent="0.25">
      <c r="A59" s="38">
        <f>Données!A53</f>
        <v>5486</v>
      </c>
      <c r="B59" s="27" t="str">
        <f>Données!B53</f>
        <v>L'Isle</v>
      </c>
      <c r="C59" s="26">
        <f>Ecrêtage!C53</f>
        <v>34756.215466666676</v>
      </c>
      <c r="D59" s="12">
        <f>Données!Z53</f>
        <v>1095</v>
      </c>
      <c r="E59" s="8">
        <f>Population!K56</f>
        <v>-163344.56740442652</v>
      </c>
      <c r="F59" s="221">
        <f>Solidarité!I53</f>
        <v>-411847.03389761475</v>
      </c>
      <c r="G59" s="8">
        <f>DT!O53</f>
        <v>-355885.54559999995</v>
      </c>
      <c r="H59" s="221">
        <f>Effort!K53+Aide!I53+Taux!J53</f>
        <v>0</v>
      </c>
      <c r="I59" s="289">
        <f t="shared" si="1"/>
        <v>-931077.14690204116</v>
      </c>
      <c r="J59" s="357">
        <f t="shared" si="2"/>
        <v>664486.13692585437</v>
      </c>
      <c r="K59" s="456">
        <f t="shared" si="3"/>
        <v>-266591.00997618679</v>
      </c>
    </row>
    <row r="60" spans="1:11" x14ac:dyDescent="0.25">
      <c r="A60" s="38">
        <f>Données!A54</f>
        <v>5487</v>
      </c>
      <c r="B60" s="27" t="str">
        <f>Données!B54</f>
        <v>Lussery-Villars</v>
      </c>
      <c r="C60" s="26">
        <f>Ecrêtage!C54</f>
        <v>12042.619866666666</v>
      </c>
      <c r="D60" s="12">
        <f>Données!Z54</f>
        <v>482</v>
      </c>
      <c r="E60" s="8">
        <f>Population!K57</f>
        <v>-62189.637826961756</v>
      </c>
      <c r="F60" s="221">
        <f>Solidarité!I54</f>
        <v>-254498.51552888603</v>
      </c>
      <c r="G60" s="8">
        <f>DT!O54</f>
        <v>-4590.0308000000041</v>
      </c>
      <c r="H60" s="221">
        <f>Effort!K54+Aide!I54+Taux!J54</f>
        <v>0</v>
      </c>
      <c r="I60" s="289">
        <f t="shared" si="1"/>
        <v>-321278.18415584782</v>
      </c>
      <c r="J60" s="357">
        <f t="shared" si="2"/>
        <v>230236.63095144613</v>
      </c>
      <c r="K60" s="456">
        <f t="shared" si="3"/>
        <v>-91041.553204401687</v>
      </c>
    </row>
    <row r="61" spans="1:11" x14ac:dyDescent="0.25">
      <c r="A61" s="38">
        <f>Données!A55</f>
        <v>5488</v>
      </c>
      <c r="B61" s="27" t="str">
        <f>Données!B55</f>
        <v>Mauraz</v>
      </c>
      <c r="C61" s="26">
        <f>Ecrêtage!C55</f>
        <v>2131.6062337662343</v>
      </c>
      <c r="D61" s="12">
        <f>Données!Z55</f>
        <v>65</v>
      </c>
      <c r="E61" s="8">
        <f>Population!K58</f>
        <v>-8386.5694164989927</v>
      </c>
      <c r="F61" s="221">
        <f>Solidarité!I55</f>
        <v>-24146.714987612268</v>
      </c>
      <c r="G61" s="8">
        <f>DT!O55</f>
        <v>0</v>
      </c>
      <c r="H61" s="221">
        <f>Effort!K55+Aide!I55+Taux!J55</f>
        <v>0</v>
      </c>
      <c r="I61" s="289">
        <f t="shared" si="1"/>
        <v>-32533.284404111262</v>
      </c>
      <c r="J61" s="357">
        <f t="shared" si="2"/>
        <v>40753.078915649785</v>
      </c>
      <c r="K61" s="456">
        <f t="shared" si="3"/>
        <v>8219.7945115385228</v>
      </c>
    </row>
    <row r="62" spans="1:11" x14ac:dyDescent="0.25">
      <c r="A62" s="38">
        <f>Données!A56</f>
        <v>5489</v>
      </c>
      <c r="B62" s="27" t="str">
        <f>Données!B56</f>
        <v>Mex</v>
      </c>
      <c r="C62" s="26">
        <f>Ecrêtage!C56</f>
        <v>60740.368067226897</v>
      </c>
      <c r="D62" s="12">
        <f>Données!Z56</f>
        <v>817</v>
      </c>
      <c r="E62" s="8">
        <f>Population!K59</f>
        <v>-105412.72635814887</v>
      </c>
      <c r="F62" s="221">
        <f>Solidarité!I56</f>
        <v>0</v>
      </c>
      <c r="G62" s="8">
        <f>DT!O56</f>
        <v>0</v>
      </c>
      <c r="H62" s="221">
        <f>Effort!K56+Aide!I56+Taux!J56</f>
        <v>0</v>
      </c>
      <c r="I62" s="289">
        <f t="shared" si="1"/>
        <v>-105412.72635814887</v>
      </c>
      <c r="J62" s="357">
        <f t="shared" si="2"/>
        <v>1161263.7334221529</v>
      </c>
      <c r="K62" s="456">
        <f t="shared" si="3"/>
        <v>1055851.007064004</v>
      </c>
    </row>
    <row r="63" spans="1:11" x14ac:dyDescent="0.25">
      <c r="A63" s="38">
        <f>Données!A57</f>
        <v>5490</v>
      </c>
      <c r="B63" s="27" t="str">
        <f>Données!B57</f>
        <v>Moiry</v>
      </c>
      <c r="C63" s="26">
        <f>Ecrêtage!C57</f>
        <v>8460.9523376623383</v>
      </c>
      <c r="D63" s="12">
        <f>Données!Z57</f>
        <v>296</v>
      </c>
      <c r="E63" s="8">
        <f>Population!K60</f>
        <v>-38191.146881287721</v>
      </c>
      <c r="F63" s="221">
        <f>Solidarité!I57</f>
        <v>-139487.72636740986</v>
      </c>
      <c r="G63" s="8">
        <f>DT!O57</f>
        <v>-37452.285974025974</v>
      </c>
      <c r="H63" s="221">
        <f>Effort!K57+Aide!I57+Taux!J57</f>
        <v>0</v>
      </c>
      <c r="I63" s="289">
        <f t="shared" si="1"/>
        <v>-215131.15922272357</v>
      </c>
      <c r="J63" s="357">
        <f t="shared" si="2"/>
        <v>161760.57888002915</v>
      </c>
      <c r="K63" s="456">
        <f t="shared" si="3"/>
        <v>-53370.580342694419</v>
      </c>
    </row>
    <row r="64" spans="1:11" x14ac:dyDescent="0.25">
      <c r="A64" s="38">
        <f>Données!A58</f>
        <v>5491</v>
      </c>
      <c r="B64" s="27" t="str">
        <f>Données!B58</f>
        <v>Mont-la-Ville</v>
      </c>
      <c r="C64" s="26">
        <f>Ecrêtage!C58</f>
        <v>13842.217236842105</v>
      </c>
      <c r="D64" s="12">
        <f>Données!Z58</f>
        <v>502</v>
      </c>
      <c r="E64" s="8">
        <f>Population!K61</f>
        <v>-64770.120724346059</v>
      </c>
      <c r="F64" s="221">
        <f>Solidarité!I58</f>
        <v>-242165.5192986094</v>
      </c>
      <c r="G64" s="8">
        <f>DT!O58</f>
        <v>-687237.19657894736</v>
      </c>
      <c r="H64" s="221">
        <f>Effort!K58+Aide!I58+Taux!J58</f>
        <v>0</v>
      </c>
      <c r="I64" s="289">
        <f t="shared" si="1"/>
        <v>-994172.83660190285</v>
      </c>
      <c r="J64" s="357">
        <f t="shared" si="2"/>
        <v>264642.2038388814</v>
      </c>
      <c r="K64" s="456">
        <f t="shared" si="3"/>
        <v>-729530.63276302139</v>
      </c>
    </row>
    <row r="65" spans="1:11" x14ac:dyDescent="0.25">
      <c r="A65" s="38">
        <f>Données!A59</f>
        <v>5492</v>
      </c>
      <c r="B65" s="27" t="str">
        <f>Données!B59</f>
        <v>Montricher</v>
      </c>
      <c r="C65" s="26">
        <f>Ecrêtage!C59</f>
        <v>149907.58062499994</v>
      </c>
      <c r="D65" s="12">
        <f>Données!Z59</f>
        <v>978</v>
      </c>
      <c r="E65" s="8">
        <f>Population!K62</f>
        <v>-126185.61368209253</v>
      </c>
      <c r="F65" s="221">
        <f>Solidarité!I59</f>
        <v>0</v>
      </c>
      <c r="G65" s="8">
        <f>DT!O59</f>
        <v>-41408.564531250042</v>
      </c>
      <c r="H65" s="221">
        <f>Effort!K59+Aide!I59+Taux!J59</f>
        <v>-63981.772146528696</v>
      </c>
      <c r="I65" s="289">
        <f t="shared" si="1"/>
        <v>-231575.95035987126</v>
      </c>
      <c r="J65" s="357">
        <f t="shared" si="2"/>
        <v>2866005.6282865652</v>
      </c>
      <c r="K65" s="456">
        <f t="shared" si="3"/>
        <v>2634429.677926694</v>
      </c>
    </row>
    <row r="66" spans="1:11" x14ac:dyDescent="0.25">
      <c r="A66" s="38">
        <f>Données!A60</f>
        <v>5493</v>
      </c>
      <c r="B66" s="27" t="str">
        <f>Données!B60</f>
        <v>Orny</v>
      </c>
      <c r="C66" s="26">
        <f>Ecrêtage!C60</f>
        <v>14635.830579557431</v>
      </c>
      <c r="D66" s="12">
        <f>Données!Z60</f>
        <v>484</v>
      </c>
      <c r="E66" s="8">
        <f>Population!K63</f>
        <v>-62447.686116700184</v>
      </c>
      <c r="F66" s="221">
        <f>Solidarité!I60</f>
        <v>-187939.20838420445</v>
      </c>
      <c r="G66" s="8">
        <f>DT!O60</f>
        <v>-71842.766522655409</v>
      </c>
      <c r="H66" s="221">
        <f>Effort!K60+Aide!I60+Taux!J60</f>
        <v>0</v>
      </c>
      <c r="I66" s="289">
        <f t="shared" si="1"/>
        <v>-322229.66102356004</v>
      </c>
      <c r="J66" s="357">
        <f t="shared" si="2"/>
        <v>279814.88755122275</v>
      </c>
      <c r="K66" s="456">
        <f t="shared" si="3"/>
        <v>-42414.773472337285</v>
      </c>
    </row>
    <row r="67" spans="1:11" x14ac:dyDescent="0.25">
      <c r="A67" s="38">
        <f>Données!A61</f>
        <v>5495</v>
      </c>
      <c r="B67" s="27" t="str">
        <f>Données!B61</f>
        <v>Penthalaz</v>
      </c>
      <c r="C67" s="26">
        <f>Ecrêtage!C61</f>
        <v>103056.57202702702</v>
      </c>
      <c r="D67" s="12">
        <f>Données!Z61</f>
        <v>3214</v>
      </c>
      <c r="E67" s="8">
        <f>Population!K64</f>
        <v>-962004.02414486906</v>
      </c>
      <c r="F67" s="221">
        <f>Solidarité!I61</f>
        <v>-1154021.1824951575</v>
      </c>
      <c r="G67" s="8">
        <f>DT!O61</f>
        <v>-602634.31783783785</v>
      </c>
      <c r="H67" s="221">
        <f>Effort!K61+Aide!I61+Taux!J61</f>
        <v>0</v>
      </c>
      <c r="I67" s="289">
        <f t="shared" si="1"/>
        <v>-2718659.5244778646</v>
      </c>
      <c r="J67" s="357">
        <f t="shared" si="2"/>
        <v>1970285.3867026002</v>
      </c>
      <c r="K67" s="456">
        <f t="shared" si="3"/>
        <v>-748374.13777526445</v>
      </c>
    </row>
    <row r="68" spans="1:11" x14ac:dyDescent="0.25">
      <c r="A68" s="38">
        <f>Données!A62</f>
        <v>5496</v>
      </c>
      <c r="B68" s="27" t="str">
        <f>Données!B62</f>
        <v>Penthaz</v>
      </c>
      <c r="C68" s="26">
        <f>Ecrêtage!C62</f>
        <v>61651.518705035967</v>
      </c>
      <c r="D68" s="12">
        <f>Données!Z62</f>
        <v>1923</v>
      </c>
      <c r="E68" s="8">
        <f>Population!K65</f>
        <v>-462474.1448692152</v>
      </c>
      <c r="F68" s="221">
        <f>Solidarité!I62</f>
        <v>-609229.61951795069</v>
      </c>
      <c r="G68" s="8">
        <f>DT!O62</f>
        <v>-160730.8877697842</v>
      </c>
      <c r="H68" s="221">
        <f>Effort!K62+Aide!I62+Taux!J62</f>
        <v>0</v>
      </c>
      <c r="I68" s="289">
        <f t="shared" si="1"/>
        <v>-1232434.65215695</v>
      </c>
      <c r="J68" s="357">
        <f t="shared" si="2"/>
        <v>1178683.5519883009</v>
      </c>
      <c r="K68" s="456">
        <f t="shared" si="3"/>
        <v>-53751.100168649107</v>
      </c>
    </row>
    <row r="69" spans="1:11" x14ac:dyDescent="0.25">
      <c r="A69" s="38">
        <f>Données!A63</f>
        <v>5497</v>
      </c>
      <c r="B69" s="27" t="str">
        <f>Données!B63</f>
        <v>Pompaples</v>
      </c>
      <c r="C69" s="26">
        <f>Ecrêtage!C63</f>
        <v>22949.830606060608</v>
      </c>
      <c r="D69" s="12">
        <f>Données!Z63</f>
        <v>860</v>
      </c>
      <c r="E69" s="8">
        <f>Population!K66</f>
        <v>-110960.76458752513</v>
      </c>
      <c r="F69" s="221">
        <f>Solidarité!I63</f>
        <v>-326172.55488649081</v>
      </c>
      <c r="G69" s="8">
        <f>DT!O63</f>
        <v>-131293.01636363636</v>
      </c>
      <c r="H69" s="221">
        <f>Effort!K63+Aide!I63+Taux!J63</f>
        <v>0</v>
      </c>
      <c r="I69" s="289">
        <f t="shared" si="1"/>
        <v>-568426.33583765232</v>
      </c>
      <c r="J69" s="357">
        <f t="shared" si="2"/>
        <v>438765.96107391152</v>
      </c>
      <c r="K69" s="456">
        <f t="shared" si="3"/>
        <v>-129660.37476374081</v>
      </c>
    </row>
    <row r="70" spans="1:11" x14ac:dyDescent="0.25">
      <c r="A70" s="38">
        <f>Données!A64</f>
        <v>5498</v>
      </c>
      <c r="B70" s="27" t="str">
        <f>Données!B64</f>
        <v>La Sarraz</v>
      </c>
      <c r="C70" s="26">
        <f>Ecrêtage!C64</f>
        <v>73743.655606060609</v>
      </c>
      <c r="D70" s="12">
        <f>Données!Z64</f>
        <v>2608</v>
      </c>
      <c r="E70" s="8">
        <f>Population!K67</f>
        <v>-709942.45472837007</v>
      </c>
      <c r="F70" s="221">
        <f>Solidarité!I64</f>
        <v>-916939.59991296811</v>
      </c>
      <c r="G70" s="8">
        <f>DT!O64</f>
        <v>-494450.06636363635</v>
      </c>
      <c r="H70" s="221">
        <f>Effort!K64+Aide!I64+Taux!J64</f>
        <v>0</v>
      </c>
      <c r="I70" s="289">
        <f t="shared" si="1"/>
        <v>-2121332.1210049745</v>
      </c>
      <c r="J70" s="357">
        <f t="shared" si="2"/>
        <v>1409866.8735512181</v>
      </c>
      <c r="K70" s="456">
        <f t="shared" si="3"/>
        <v>-711465.2474537564</v>
      </c>
    </row>
    <row r="71" spans="1:11" x14ac:dyDescent="0.25">
      <c r="A71" s="38">
        <f>Données!A65</f>
        <v>5499</v>
      </c>
      <c r="B71" s="27" t="str">
        <f>Données!B65</f>
        <v>Senarclens</v>
      </c>
      <c r="C71" s="26">
        <f>Ecrêtage!C65</f>
        <v>20491.103065693427</v>
      </c>
      <c r="D71" s="12">
        <f>Données!Z65</f>
        <v>496</v>
      </c>
      <c r="E71" s="8">
        <f>Population!K68</f>
        <v>-63995.975855130768</v>
      </c>
      <c r="F71" s="221">
        <f>Solidarité!I65</f>
        <v>-66582.960487632445</v>
      </c>
      <c r="G71" s="8">
        <f>DT!O65</f>
        <v>-32881.631605839437</v>
      </c>
      <c r="H71" s="221">
        <f>Effort!K65+Aide!I65+Taux!J65</f>
        <v>0</v>
      </c>
      <c r="I71" s="289">
        <f t="shared" si="1"/>
        <v>-163460.56794860266</v>
      </c>
      <c r="J71" s="357">
        <f t="shared" si="2"/>
        <v>391758.81880841654</v>
      </c>
      <c r="K71" s="456">
        <f t="shared" si="3"/>
        <v>228298.25085981388</v>
      </c>
    </row>
    <row r="72" spans="1:11" x14ac:dyDescent="0.25">
      <c r="A72" s="38">
        <f>Données!A66</f>
        <v>5501</v>
      </c>
      <c r="B72" s="27" t="str">
        <f>Données!B66</f>
        <v>Sullens</v>
      </c>
      <c r="C72" s="26">
        <f>Ecrêtage!C66</f>
        <v>53840.673124999994</v>
      </c>
      <c r="D72" s="12">
        <f>Données!Z66</f>
        <v>1169</v>
      </c>
      <c r="E72" s="8">
        <f>Population!K69</f>
        <v>-190078.37022132793</v>
      </c>
      <c r="F72" s="221">
        <f>Solidarité!I66</f>
        <v>-46192.141966861178</v>
      </c>
      <c r="G72" s="8">
        <f>DT!O66</f>
        <v>0</v>
      </c>
      <c r="H72" s="221">
        <f>Effort!K66+Aide!I66+Taux!J66</f>
        <v>0</v>
      </c>
      <c r="I72" s="289">
        <f t="shared" si="1"/>
        <v>-236270.51218818911</v>
      </c>
      <c r="J72" s="357">
        <f t="shared" si="2"/>
        <v>1029352.0285207875</v>
      </c>
      <c r="K72" s="456">
        <f t="shared" si="3"/>
        <v>793081.5163325984</v>
      </c>
    </row>
    <row r="73" spans="1:11" x14ac:dyDescent="0.25">
      <c r="A73" s="38">
        <f>Données!A67</f>
        <v>5503</v>
      </c>
      <c r="B73" s="27" t="str">
        <f>Données!B67</f>
        <v>Vufflens-la-Ville</v>
      </c>
      <c r="C73" s="26">
        <f>Ecrêtage!C67</f>
        <v>75222.663980099518</v>
      </c>
      <c r="D73" s="12">
        <f>Données!Z67</f>
        <v>1334</v>
      </c>
      <c r="E73" s="8">
        <f>Population!K70</f>
        <v>-249687.52515090536</v>
      </c>
      <c r="F73" s="221">
        <f>Solidarité!I67</f>
        <v>0</v>
      </c>
      <c r="G73" s="8">
        <f>DT!O67</f>
        <v>0</v>
      </c>
      <c r="H73" s="221">
        <f>Effort!K67+Aide!I67+Taux!J67</f>
        <v>0</v>
      </c>
      <c r="I73" s="289">
        <f t="shared" si="1"/>
        <v>-249687.52515090536</v>
      </c>
      <c r="J73" s="357">
        <f t="shared" si="2"/>
        <v>1438143.2709595794</v>
      </c>
      <c r="K73" s="456">
        <f t="shared" si="3"/>
        <v>1188455.745808674</v>
      </c>
    </row>
    <row r="74" spans="1:11" x14ac:dyDescent="0.25">
      <c r="A74" s="38">
        <f>Données!A68</f>
        <v>5511</v>
      </c>
      <c r="B74" s="27" t="str">
        <f>Données!B68</f>
        <v>Assens</v>
      </c>
      <c r="C74" s="26">
        <f>Ecrêtage!C68</f>
        <v>72835.778857142868</v>
      </c>
      <c r="D74" s="12">
        <f>Données!Z68</f>
        <v>1669</v>
      </c>
      <c r="E74" s="8">
        <f>Population!K71</f>
        <v>-370712.17303822935</v>
      </c>
      <c r="F74" s="221">
        <f>Solidarité!I68</f>
        <v>-157884.69720171377</v>
      </c>
      <c r="G74" s="8">
        <f>DT!O68</f>
        <v>-250533.57685714279</v>
      </c>
      <c r="H74" s="221">
        <f>Effort!K68+Aide!I68+Taux!J68</f>
        <v>0</v>
      </c>
      <c r="I74" s="289">
        <f t="shared" si="1"/>
        <v>-779130.44709708588</v>
      </c>
      <c r="J74" s="357">
        <f t="shared" si="2"/>
        <v>1392509.6467762911</v>
      </c>
      <c r="K74" s="456">
        <f t="shared" si="3"/>
        <v>613379.19967920519</v>
      </c>
    </row>
    <row r="75" spans="1:11" x14ac:dyDescent="0.25">
      <c r="A75" s="38">
        <f>Données!A69</f>
        <v>5512</v>
      </c>
      <c r="B75" s="27" t="str">
        <f>Données!B69</f>
        <v>Bercher</v>
      </c>
      <c r="C75" s="26">
        <f>Ecrêtage!C69</f>
        <v>41198.7282278481</v>
      </c>
      <c r="D75" s="12">
        <f>Données!Z69</f>
        <v>1359</v>
      </c>
      <c r="E75" s="8">
        <f>Population!K72</f>
        <v>-258719.21529175044</v>
      </c>
      <c r="F75" s="221">
        <f>Solidarité!I69</f>
        <v>-615434.8353164969</v>
      </c>
      <c r="G75" s="8">
        <f>DT!O69</f>
        <v>-243584.3806329114</v>
      </c>
      <c r="H75" s="221">
        <f>Effort!K69+Aide!I69+Taux!J69</f>
        <v>0</v>
      </c>
      <c r="I75" s="289">
        <f t="shared" si="1"/>
        <v>-1117738.4312411586</v>
      </c>
      <c r="J75" s="357">
        <f t="shared" si="2"/>
        <v>787657.21177658613</v>
      </c>
      <c r="K75" s="456">
        <f t="shared" si="3"/>
        <v>-330081.2194645725</v>
      </c>
    </row>
    <row r="76" spans="1:11" x14ac:dyDescent="0.25">
      <c r="A76" s="38">
        <f>Données!A70</f>
        <v>5514</v>
      </c>
      <c r="B76" s="27" t="str">
        <f>Données!B70</f>
        <v>Bottens</v>
      </c>
      <c r="C76" s="26">
        <f>Ecrêtage!C70</f>
        <v>45712.235586206894</v>
      </c>
      <c r="D76" s="12">
        <f>Données!Z70</f>
        <v>1356</v>
      </c>
      <c r="E76" s="8">
        <f>Population!K73</f>
        <v>-257635.41247484903</v>
      </c>
      <c r="F76" s="221">
        <f>Solidarité!I70</f>
        <v>-420453.27743237908</v>
      </c>
      <c r="G76" s="8">
        <f>DT!O70</f>
        <v>-42379.409793103463</v>
      </c>
      <c r="H76" s="221">
        <f>Effort!K70+Aide!I70+Taux!J70</f>
        <v>0</v>
      </c>
      <c r="I76" s="289">
        <f t="shared" si="1"/>
        <v>-720468.09970033157</v>
      </c>
      <c r="J76" s="357">
        <f t="shared" si="2"/>
        <v>873948.62838431867</v>
      </c>
      <c r="K76" s="456">
        <f t="shared" si="3"/>
        <v>153480.5286839871</v>
      </c>
    </row>
    <row r="77" spans="1:11" x14ac:dyDescent="0.25">
      <c r="A77" s="38">
        <f>Données!A71</f>
        <v>5515</v>
      </c>
      <c r="B77" s="27" t="str">
        <f>Données!B71</f>
        <v>Bretigny-sur-Morrens</v>
      </c>
      <c r="C77" s="26">
        <f>Ecrêtage!C71</f>
        <v>29285.295897435899</v>
      </c>
      <c r="D77" s="12">
        <f>Données!Z71</f>
        <v>878</v>
      </c>
      <c r="E77" s="8">
        <f>Population!K74</f>
        <v>-113283.19919517101</v>
      </c>
      <c r="F77" s="221">
        <f>Solidarité!I71</f>
        <v>-322724.50414350897</v>
      </c>
      <c r="G77" s="8">
        <f>DT!O71</f>
        <v>-43833.474615384606</v>
      </c>
      <c r="H77" s="221">
        <f>Effort!K71+Aide!I71+Taux!J71</f>
        <v>0</v>
      </c>
      <c r="I77" s="289">
        <f t="shared" ref="I77:I140" si="4">SUM(E77:H77)</f>
        <v>-479841.17795406457</v>
      </c>
      <c r="J77" s="357">
        <f t="shared" ref="J77:J140" si="5">C77*$J$11</f>
        <v>559890.45062402613</v>
      </c>
      <c r="K77" s="456">
        <f t="shared" ref="K77:K140" si="6">I77+J77</f>
        <v>80049.27266996156</v>
      </c>
    </row>
    <row r="78" spans="1:11" x14ac:dyDescent="0.25">
      <c r="A78" s="38">
        <f>Données!A72</f>
        <v>5516</v>
      </c>
      <c r="B78" s="27" t="str">
        <f>Données!B72</f>
        <v>Cugy</v>
      </c>
      <c r="C78" s="26">
        <f>Ecrêtage!C72</f>
        <v>110290.24758771928</v>
      </c>
      <c r="D78" s="12">
        <f>Données!Z72</f>
        <v>2697</v>
      </c>
      <c r="E78" s="8">
        <f>Population!K75</f>
        <v>-742095.27162977844</v>
      </c>
      <c r="F78" s="221">
        <f>Solidarité!I72</f>
        <v>-471753.9789842426</v>
      </c>
      <c r="G78" s="8">
        <f>DT!O72</f>
        <v>-190385.26447368434</v>
      </c>
      <c r="H78" s="221">
        <f>Effort!K72+Aide!I72+Taux!J72</f>
        <v>0</v>
      </c>
      <c r="I78" s="289">
        <f t="shared" si="4"/>
        <v>-1404234.5150877053</v>
      </c>
      <c r="J78" s="357">
        <f t="shared" si="5"/>
        <v>2108582.2945954995</v>
      </c>
      <c r="K78" s="456">
        <f t="shared" si="6"/>
        <v>704347.77950779418</v>
      </c>
    </row>
    <row r="79" spans="1:11" x14ac:dyDescent="0.25">
      <c r="A79" s="38">
        <f>Données!A73</f>
        <v>5518</v>
      </c>
      <c r="B79" s="27" t="str">
        <f>Données!B73</f>
        <v>Echallens</v>
      </c>
      <c r="C79" s="26">
        <f>Ecrêtage!C73</f>
        <v>193282.28662068967</v>
      </c>
      <c r="D79" s="12">
        <f>Données!Z73</f>
        <v>5816</v>
      </c>
      <c r="E79" s="8">
        <f>Population!K76</f>
        <v>-2389114.2857142854</v>
      </c>
      <c r="F79" s="221">
        <f>Solidarité!I73</f>
        <v>-1861791.312301256</v>
      </c>
      <c r="G79" s="8">
        <f>DT!O73</f>
        <v>-1441518.530275862</v>
      </c>
      <c r="H79" s="221">
        <f>Effort!K73+Aide!I73+Taux!J73</f>
        <v>0</v>
      </c>
      <c r="I79" s="289">
        <f t="shared" si="4"/>
        <v>-5692424.1282914029</v>
      </c>
      <c r="J79" s="357">
        <f t="shared" si="5"/>
        <v>3695264.2354272795</v>
      </c>
      <c r="K79" s="456">
        <f t="shared" si="6"/>
        <v>-1997159.8928641235</v>
      </c>
    </row>
    <row r="80" spans="1:11" x14ac:dyDescent="0.25">
      <c r="A80" s="38">
        <f>Données!A74</f>
        <v>5520</v>
      </c>
      <c r="B80" s="27" t="str">
        <f>Données!B74</f>
        <v>Essertines-sur-Yverdon</v>
      </c>
      <c r="C80" s="26">
        <f>Ecrêtage!C74</f>
        <v>31422.035945945943</v>
      </c>
      <c r="D80" s="12">
        <f>Données!Z74</f>
        <v>1081</v>
      </c>
      <c r="E80" s="8">
        <f>Population!K77</f>
        <v>-158286.82092555327</v>
      </c>
      <c r="F80" s="221">
        <f>Solidarité!I74</f>
        <v>-459058.18967712641</v>
      </c>
      <c r="G80" s="8">
        <f>DT!O74</f>
        <v>-394364.00736486487</v>
      </c>
      <c r="H80" s="221">
        <f>Effort!K74+Aide!I74+Taux!J74</f>
        <v>0</v>
      </c>
      <c r="I80" s="289">
        <f t="shared" si="4"/>
        <v>-1011709.0179675445</v>
      </c>
      <c r="J80" s="357">
        <f t="shared" si="5"/>
        <v>600741.68029288657</v>
      </c>
      <c r="K80" s="456">
        <f t="shared" si="6"/>
        <v>-410967.33767465793</v>
      </c>
    </row>
    <row r="81" spans="1:11" x14ac:dyDescent="0.25">
      <c r="A81" s="38">
        <f>Données!A75</f>
        <v>5521</v>
      </c>
      <c r="B81" s="27" t="str">
        <f>Données!B75</f>
        <v>Etagnières</v>
      </c>
      <c r="C81" s="26">
        <f>Ecrêtage!C75</f>
        <v>47189.665890410972</v>
      </c>
      <c r="D81" s="12">
        <f>Données!Z75</f>
        <v>1154</v>
      </c>
      <c r="E81" s="8">
        <f>Population!K78</f>
        <v>-184659.35613682089</v>
      </c>
      <c r="F81" s="221">
        <f>Solidarité!I75</f>
        <v>-186268.87959549893</v>
      </c>
      <c r="G81" s="8">
        <f>DT!O75</f>
        <v>-65455.254657534169</v>
      </c>
      <c r="H81" s="221">
        <f>Effort!K75+Aide!I75+Taux!J75</f>
        <v>0</v>
      </c>
      <c r="I81" s="289">
        <f t="shared" si="4"/>
        <v>-436383.49038985401</v>
      </c>
      <c r="J81" s="357">
        <f t="shared" si="5"/>
        <v>902194.85549035377</v>
      </c>
      <c r="K81" s="456">
        <f t="shared" si="6"/>
        <v>465811.36510049977</v>
      </c>
    </row>
    <row r="82" spans="1:11" x14ac:dyDescent="0.25">
      <c r="A82" s="38">
        <f>Données!A76</f>
        <v>5522</v>
      </c>
      <c r="B82" s="27" t="str">
        <f>Données!B76</f>
        <v>Fey</v>
      </c>
      <c r="C82" s="26">
        <f>Ecrêtage!C76</f>
        <v>24172.463733333334</v>
      </c>
      <c r="D82" s="12">
        <f>Données!Z76</f>
        <v>736</v>
      </c>
      <c r="E82" s="8">
        <f>Population!K79</f>
        <v>-94961.770623742428</v>
      </c>
      <c r="F82" s="221">
        <f>Solidarité!I76</f>
        <v>-258584.09841517371</v>
      </c>
      <c r="G82" s="8">
        <f>DT!O76</f>
        <v>-128748.9676</v>
      </c>
      <c r="H82" s="221">
        <f>Effort!K76+Aide!I76+Taux!J76</f>
        <v>0</v>
      </c>
      <c r="I82" s="289">
        <f t="shared" si="4"/>
        <v>-482294.83663891617</v>
      </c>
      <c r="J82" s="357">
        <f t="shared" si="5"/>
        <v>462140.85252025415</v>
      </c>
      <c r="K82" s="456">
        <f t="shared" si="6"/>
        <v>-20153.984118662018</v>
      </c>
    </row>
    <row r="83" spans="1:11" x14ac:dyDescent="0.25">
      <c r="A83" s="38">
        <f>Données!A77</f>
        <v>5523</v>
      </c>
      <c r="B83" s="27" t="str">
        <f>Données!B77</f>
        <v>Froideville</v>
      </c>
      <c r="C83" s="26">
        <f>Ecrêtage!C77</f>
        <v>92224.237222222204</v>
      </c>
      <c r="D83" s="12">
        <f>Données!Z77</f>
        <v>2720</v>
      </c>
      <c r="E83" s="8">
        <f>Population!K80</f>
        <v>-750404.42655935604</v>
      </c>
      <c r="F83" s="221">
        <f>Solidarité!I77</f>
        <v>-820811.58359663526</v>
      </c>
      <c r="G83" s="8">
        <f>DT!O77</f>
        <v>-102219.82666666678</v>
      </c>
      <c r="H83" s="221">
        <f>Effort!K77+Aide!I77+Taux!J77</f>
        <v>0</v>
      </c>
      <c r="I83" s="289">
        <f t="shared" si="4"/>
        <v>-1673435.8368226578</v>
      </c>
      <c r="J83" s="357">
        <f t="shared" si="5"/>
        <v>1763187.5709109041</v>
      </c>
      <c r="K83" s="456">
        <f t="shared" si="6"/>
        <v>89751.734088246245</v>
      </c>
    </row>
    <row r="84" spans="1:11" x14ac:dyDescent="0.25">
      <c r="A84" s="38">
        <f>Données!A78</f>
        <v>5527</v>
      </c>
      <c r="B84" s="27" t="str">
        <f>Données!B78</f>
        <v>Morrens</v>
      </c>
      <c r="C84" s="26">
        <f>Ecrêtage!C78</f>
        <v>40722.505675675682</v>
      </c>
      <c r="D84" s="12">
        <f>Données!Z78</f>
        <v>1172</v>
      </c>
      <c r="E84" s="8">
        <f>Population!K81</f>
        <v>-191162.17303822935</v>
      </c>
      <c r="F84" s="221">
        <f>Solidarité!I78</f>
        <v>-352043.17191445577</v>
      </c>
      <c r="G84" s="8">
        <f>DT!O78</f>
        <v>-7808.9659459459072</v>
      </c>
      <c r="H84" s="221">
        <f>Effort!K78+Aide!I78+Taux!J78</f>
        <v>0</v>
      </c>
      <c r="I84" s="289">
        <f t="shared" si="4"/>
        <v>-551014.310898631</v>
      </c>
      <c r="J84" s="357">
        <f t="shared" si="5"/>
        <v>778552.55870198691</v>
      </c>
      <c r="K84" s="456">
        <f t="shared" si="6"/>
        <v>227538.24780335592</v>
      </c>
    </row>
    <row r="85" spans="1:11" x14ac:dyDescent="0.25">
      <c r="A85" s="38">
        <f>Données!A79</f>
        <v>5529</v>
      </c>
      <c r="B85" s="27" t="str">
        <f>Données!B79</f>
        <v>Oulens-sous-Echallens</v>
      </c>
      <c r="C85" s="26">
        <f>Ecrêtage!C79</f>
        <v>22677.013380281693</v>
      </c>
      <c r="D85" s="12">
        <f>Données!Z79</f>
        <v>606</v>
      </c>
      <c r="E85" s="8">
        <f>Population!K82</f>
        <v>-78188.631790744446</v>
      </c>
      <c r="F85" s="221">
        <f>Solidarité!I79</f>
        <v>-134913.32181024423</v>
      </c>
      <c r="G85" s="8">
        <f>DT!O79</f>
        <v>-92638.419718309844</v>
      </c>
      <c r="H85" s="221">
        <f>Effort!K79+Aide!I79+Taux!J79</f>
        <v>0</v>
      </c>
      <c r="I85" s="289">
        <f t="shared" si="4"/>
        <v>-305740.37331929849</v>
      </c>
      <c r="J85" s="357">
        <f t="shared" si="5"/>
        <v>433550.10940506333</v>
      </c>
      <c r="K85" s="456">
        <f t="shared" si="6"/>
        <v>127809.73608576483</v>
      </c>
    </row>
    <row r="86" spans="1:11" x14ac:dyDescent="0.25">
      <c r="A86" s="38">
        <f>Données!A80</f>
        <v>5530</v>
      </c>
      <c r="B86" s="27" t="str">
        <f>Données!B80</f>
        <v>Pailly</v>
      </c>
      <c r="C86" s="26">
        <f>Ecrêtage!C80</f>
        <v>20359.246820175435</v>
      </c>
      <c r="D86" s="12">
        <f>Données!Z80</f>
        <v>566</v>
      </c>
      <c r="E86" s="8">
        <f>Population!K83</f>
        <v>-73027.66599597584</v>
      </c>
      <c r="F86" s="221">
        <f>Solidarité!I80</f>
        <v>-163332.06883210651</v>
      </c>
      <c r="G86" s="8">
        <f>DT!O80</f>
        <v>-80561.833963815821</v>
      </c>
      <c r="H86" s="221">
        <f>Effort!K80+Aide!I80+Taux!J80</f>
        <v>0</v>
      </c>
      <c r="I86" s="289">
        <f t="shared" si="4"/>
        <v>-316921.5687918982</v>
      </c>
      <c r="J86" s="357">
        <f t="shared" si="5"/>
        <v>389237.92733512522</v>
      </c>
      <c r="K86" s="456">
        <f t="shared" si="6"/>
        <v>72316.358543227019</v>
      </c>
    </row>
    <row r="87" spans="1:11" x14ac:dyDescent="0.25">
      <c r="A87" s="38">
        <f>Données!A81</f>
        <v>5531</v>
      </c>
      <c r="B87" s="27" t="str">
        <f>Données!B81</f>
        <v>Penthéréaz</v>
      </c>
      <c r="C87" s="26">
        <f>Ecrêtage!C81</f>
        <v>17299.306216216217</v>
      </c>
      <c r="D87" s="12">
        <f>Données!Z81</f>
        <v>433</v>
      </c>
      <c r="E87" s="8">
        <f>Population!K84</f>
        <v>-55867.454728370212</v>
      </c>
      <c r="F87" s="221">
        <f>Solidarité!I81</f>
        <v>-80727.683733509402</v>
      </c>
      <c r="G87" s="8">
        <f>DT!O81</f>
        <v>-48623.433040540534</v>
      </c>
      <c r="H87" s="221">
        <f>Effort!K81+Aide!I81+Taux!J81</f>
        <v>0</v>
      </c>
      <c r="I87" s="289">
        <f t="shared" si="4"/>
        <v>-185218.57150242018</v>
      </c>
      <c r="J87" s="357">
        <f t="shared" si="5"/>
        <v>330736.50294680323</v>
      </c>
      <c r="K87" s="456">
        <f t="shared" si="6"/>
        <v>145517.93144438305</v>
      </c>
    </row>
    <row r="88" spans="1:11" x14ac:dyDescent="0.25">
      <c r="A88" s="38">
        <f>Données!A82</f>
        <v>5533</v>
      </c>
      <c r="B88" s="27" t="str">
        <f>Données!B82</f>
        <v>Poliez-Pittet</v>
      </c>
      <c r="C88" s="26">
        <f>Ecrêtage!C82</f>
        <v>28012.381095890411</v>
      </c>
      <c r="D88" s="12">
        <f>Données!Z82</f>
        <v>848</v>
      </c>
      <c r="E88" s="8">
        <f>Population!K85</f>
        <v>-109412.47484909455</v>
      </c>
      <c r="F88" s="221">
        <f>Solidarité!I82</f>
        <v>-278816.20979569742</v>
      </c>
      <c r="G88" s="8">
        <f>DT!O82</f>
        <v>-75643.927602739714</v>
      </c>
      <c r="H88" s="221">
        <f>Effort!K82+Aide!I82+Taux!J82</f>
        <v>0</v>
      </c>
      <c r="I88" s="289">
        <f t="shared" si="4"/>
        <v>-463872.61224753171</v>
      </c>
      <c r="J88" s="357">
        <f t="shared" si="5"/>
        <v>535554.2498105081</v>
      </c>
      <c r="K88" s="456">
        <f t="shared" si="6"/>
        <v>71681.637562976393</v>
      </c>
    </row>
    <row r="89" spans="1:11" x14ac:dyDescent="0.25">
      <c r="A89" s="38">
        <f>Données!A83</f>
        <v>5534</v>
      </c>
      <c r="B89" s="27" t="str">
        <f>Données!B83</f>
        <v>Rueyres</v>
      </c>
      <c r="C89" s="26">
        <f>Ecrêtage!C83</f>
        <v>15042.055228310503</v>
      </c>
      <c r="D89" s="12">
        <f>Données!Z83</f>
        <v>303</v>
      </c>
      <c r="E89" s="8">
        <f>Population!K86</f>
        <v>-39094.315895372223</v>
      </c>
      <c r="F89" s="221">
        <f>Solidarité!I83</f>
        <v>0</v>
      </c>
      <c r="G89" s="8">
        <f>DT!O83</f>
        <v>0</v>
      </c>
      <c r="H89" s="221">
        <f>Effort!K83+Aide!I83+Taux!J83</f>
        <v>0</v>
      </c>
      <c r="I89" s="289">
        <f t="shared" si="4"/>
        <v>-39094.315895372223</v>
      </c>
      <c r="J89" s="357">
        <f t="shared" si="5"/>
        <v>287581.28685418685</v>
      </c>
      <c r="K89" s="456">
        <f t="shared" si="6"/>
        <v>248486.97095881464</v>
      </c>
    </row>
    <row r="90" spans="1:11" x14ac:dyDescent="0.25">
      <c r="A90" s="38">
        <f>Données!A84</f>
        <v>5535</v>
      </c>
      <c r="B90" s="27" t="str">
        <f>Données!B84</f>
        <v>Saint-Barthélemy</v>
      </c>
      <c r="C90" s="26">
        <f>Ecrêtage!C84</f>
        <v>25492.610399999998</v>
      </c>
      <c r="D90" s="12">
        <f>Données!Z84</f>
        <v>814</v>
      </c>
      <c r="E90" s="8">
        <f>Population!K87</f>
        <v>-105025.65392354122</v>
      </c>
      <c r="F90" s="221">
        <f>Solidarité!I84</f>
        <v>-313901.78513856832</v>
      </c>
      <c r="G90" s="8">
        <f>DT!O84</f>
        <v>0</v>
      </c>
      <c r="H90" s="221">
        <f>Effort!K84+Aide!I84+Taux!J84</f>
        <v>0</v>
      </c>
      <c r="I90" s="289">
        <f t="shared" si="4"/>
        <v>-418927.43906210957</v>
      </c>
      <c r="J90" s="357">
        <f t="shared" si="5"/>
        <v>487380.05497456575</v>
      </c>
      <c r="K90" s="456">
        <f t="shared" si="6"/>
        <v>68452.615912456182</v>
      </c>
    </row>
    <row r="91" spans="1:11" x14ac:dyDescent="0.25">
      <c r="A91" s="38">
        <f>Données!A85</f>
        <v>5537</v>
      </c>
      <c r="B91" s="27" t="str">
        <f>Données!B85</f>
        <v>Villars-le-Terroir</v>
      </c>
      <c r="C91" s="26">
        <f>Ecrêtage!C85</f>
        <v>39162.728026315795</v>
      </c>
      <c r="D91" s="12">
        <f>Données!Z85</f>
        <v>1308</v>
      </c>
      <c r="E91" s="8">
        <f>Population!K88</f>
        <v>-240294.56740442652</v>
      </c>
      <c r="F91" s="221">
        <f>Solidarité!I85</f>
        <v>-559515.13310581085</v>
      </c>
      <c r="G91" s="8">
        <f>DT!O85</f>
        <v>-77767.631842105227</v>
      </c>
      <c r="H91" s="221">
        <f>Effort!K85+Aide!I85+Taux!J85</f>
        <v>0</v>
      </c>
      <c r="I91" s="289">
        <f t="shared" si="4"/>
        <v>-877577.33235234255</v>
      </c>
      <c r="J91" s="357">
        <f t="shared" si="5"/>
        <v>748731.97522446583</v>
      </c>
      <c r="K91" s="456">
        <f t="shared" si="6"/>
        <v>-128845.35712787672</v>
      </c>
    </row>
    <row r="92" spans="1:11" x14ac:dyDescent="0.25">
      <c r="A92" s="38">
        <f>Données!A86</f>
        <v>5539</v>
      </c>
      <c r="B92" s="27" t="str">
        <f>Données!B86</f>
        <v>Vuarrens</v>
      </c>
      <c r="C92" s="26">
        <f>Ecrêtage!C86</f>
        <v>34442.458945578233</v>
      </c>
      <c r="D92" s="12">
        <f>Données!Z86</f>
        <v>1106</v>
      </c>
      <c r="E92" s="8">
        <f>Population!K89</f>
        <v>-167318.51106639835</v>
      </c>
      <c r="F92" s="221">
        <f>Solidarité!I86</f>
        <v>-413824.36542138603</v>
      </c>
      <c r="G92" s="8">
        <f>DT!O86</f>
        <v>-15797.902117346925</v>
      </c>
      <c r="H92" s="221">
        <f>Effort!K86+Aide!I86+Taux!J86</f>
        <v>0</v>
      </c>
      <c r="I92" s="289">
        <f t="shared" si="4"/>
        <v>-596940.7786051312</v>
      </c>
      <c r="J92" s="357">
        <f t="shared" si="5"/>
        <v>658487.58800923522</v>
      </c>
      <c r="K92" s="456">
        <f t="shared" si="6"/>
        <v>61546.809404104017</v>
      </c>
    </row>
    <row r="93" spans="1:11" x14ac:dyDescent="0.25">
      <c r="A93" s="38">
        <f>Données!A87</f>
        <v>5540</v>
      </c>
      <c r="B93" s="27" t="str">
        <f>Données!B87</f>
        <v>Montilliez</v>
      </c>
      <c r="C93" s="26">
        <f>Ecrêtage!C87</f>
        <v>67464.467689655183</v>
      </c>
      <c r="D93" s="12">
        <f>Données!Z87</f>
        <v>1895</v>
      </c>
      <c r="E93" s="8">
        <f>Population!K90</f>
        <v>-452358.65191146871</v>
      </c>
      <c r="F93" s="221">
        <f>Solidarité!I87</f>
        <v>-512331.22690164216</v>
      </c>
      <c r="G93" s="8">
        <f>DT!O87</f>
        <v>-99356.09309482752</v>
      </c>
      <c r="H93" s="221">
        <f>Effort!K87+Aide!I87+Taux!J87</f>
        <v>0</v>
      </c>
      <c r="I93" s="289">
        <f t="shared" si="4"/>
        <v>-1064045.9719079384</v>
      </c>
      <c r="J93" s="357">
        <f t="shared" si="5"/>
        <v>1289818.3220739905</v>
      </c>
      <c r="K93" s="456">
        <f t="shared" si="6"/>
        <v>225772.35016605211</v>
      </c>
    </row>
    <row r="94" spans="1:11" x14ac:dyDescent="0.25">
      <c r="A94" s="38">
        <f>Données!A88</f>
        <v>5541</v>
      </c>
      <c r="B94" s="27" t="str">
        <f>Données!B88</f>
        <v>Goumoëns</v>
      </c>
      <c r="C94" s="26">
        <f>Ecrêtage!C88</f>
        <v>41726.211258278148</v>
      </c>
      <c r="D94" s="12">
        <f>Données!Z88</f>
        <v>1175</v>
      </c>
      <c r="E94" s="8">
        <f>Population!K91</f>
        <v>-192245.97585513076</v>
      </c>
      <c r="F94" s="221">
        <f>Solidarité!I88</f>
        <v>-346905.8739451642</v>
      </c>
      <c r="G94" s="8">
        <f>DT!O88</f>
        <v>-11022.98245033111</v>
      </c>
      <c r="H94" s="221">
        <f>Effort!K88+Aide!I88+Taux!J88</f>
        <v>0</v>
      </c>
      <c r="I94" s="289">
        <f t="shared" si="4"/>
        <v>-550174.83225062606</v>
      </c>
      <c r="J94" s="357">
        <f t="shared" si="5"/>
        <v>797741.88746633613</v>
      </c>
      <c r="K94" s="456">
        <f t="shared" si="6"/>
        <v>247567.05521571008</v>
      </c>
    </row>
    <row r="95" spans="1:11" x14ac:dyDescent="0.25">
      <c r="A95" s="38">
        <f>Données!A89</f>
        <v>5551</v>
      </c>
      <c r="B95" s="27" t="str">
        <f>Données!B89</f>
        <v>Bonvillars</v>
      </c>
      <c r="C95" s="26">
        <f>Ecrêtage!C89</f>
        <v>18575.023035714283</v>
      </c>
      <c r="D95" s="12">
        <f>Données!Z89</f>
        <v>501</v>
      </c>
      <c r="E95" s="8">
        <f>Population!K92</f>
        <v>-64641.096579476849</v>
      </c>
      <c r="F95" s="221">
        <f>Solidarité!I89</f>
        <v>-71553.083325719068</v>
      </c>
      <c r="G95" s="8">
        <f>DT!O89</f>
        <v>-116526.5945089286</v>
      </c>
      <c r="H95" s="221">
        <f>Effort!K89+Aide!I89+Taux!J89</f>
        <v>0</v>
      </c>
      <c r="I95" s="289">
        <f t="shared" si="4"/>
        <v>-252720.77441412452</v>
      </c>
      <c r="J95" s="357">
        <f t="shared" si="5"/>
        <v>355126.27409471775</v>
      </c>
      <c r="K95" s="456">
        <f t="shared" si="6"/>
        <v>102405.49968059323</v>
      </c>
    </row>
    <row r="96" spans="1:11" x14ac:dyDescent="0.25">
      <c r="A96" s="38">
        <f>Données!A90</f>
        <v>5552</v>
      </c>
      <c r="B96" s="27" t="str">
        <f>Données!B90</f>
        <v>Bullet</v>
      </c>
      <c r="C96" s="26">
        <f>Ecrêtage!C90</f>
        <v>19038.952167832165</v>
      </c>
      <c r="D96" s="12">
        <f>Données!Z90</f>
        <v>651</v>
      </c>
      <c r="E96" s="8">
        <f>Population!K93</f>
        <v>-83994.718309859134</v>
      </c>
      <c r="F96" s="221">
        <f>Solidarité!I90</f>
        <v>-255720.79501347276</v>
      </c>
      <c r="G96" s="8">
        <f>DT!O90</f>
        <v>-314885.57286713296</v>
      </c>
      <c r="H96" s="221">
        <f>Effort!K90+Aide!I90+Taux!J90</f>
        <v>0</v>
      </c>
      <c r="I96" s="289">
        <f t="shared" si="4"/>
        <v>-654601.08619046491</v>
      </c>
      <c r="J96" s="357">
        <f t="shared" si="5"/>
        <v>363995.89561907592</v>
      </c>
      <c r="K96" s="456">
        <f t="shared" si="6"/>
        <v>-290605.19057138899</v>
      </c>
    </row>
    <row r="97" spans="1:11" x14ac:dyDescent="0.25">
      <c r="A97" s="38">
        <f>Données!A91</f>
        <v>5553</v>
      </c>
      <c r="B97" s="27" t="str">
        <f>Données!B91</f>
        <v>Champagne</v>
      </c>
      <c r="C97" s="26">
        <f>Ecrêtage!C91</f>
        <v>38263.796923076923</v>
      </c>
      <c r="D97" s="12">
        <f>Données!Z91</f>
        <v>1077</v>
      </c>
      <c r="E97" s="8">
        <f>Population!K94</f>
        <v>-156841.75050301809</v>
      </c>
      <c r="F97" s="221">
        <f>Solidarité!I91</f>
        <v>-235380.38750686613</v>
      </c>
      <c r="G97" s="8">
        <f>DT!O91</f>
        <v>-289020.46846153843</v>
      </c>
      <c r="H97" s="221">
        <f>Effort!K91+Aide!I91+Taux!J91</f>
        <v>0</v>
      </c>
      <c r="I97" s="289">
        <f t="shared" si="4"/>
        <v>-681242.60647142259</v>
      </c>
      <c r="J97" s="357">
        <f t="shared" si="5"/>
        <v>731545.77563013521</v>
      </c>
      <c r="K97" s="456">
        <f t="shared" si="6"/>
        <v>50303.169158712612</v>
      </c>
    </row>
    <row r="98" spans="1:11" x14ac:dyDescent="0.25">
      <c r="A98" s="38">
        <f>Données!A92</f>
        <v>5554</v>
      </c>
      <c r="B98" s="27" t="str">
        <f>Données!B92</f>
        <v>Concise</v>
      </c>
      <c r="C98" s="26">
        <f>Ecrêtage!C92</f>
        <v>33907.166000000005</v>
      </c>
      <c r="D98" s="12">
        <f>Données!Z92</f>
        <v>1002</v>
      </c>
      <c r="E98" s="8">
        <f>Population!K95</f>
        <v>-129746.68008048287</v>
      </c>
      <c r="F98" s="221">
        <f>Solidarité!I92</f>
        <v>-329592.78842410317</v>
      </c>
      <c r="G98" s="8">
        <f>DT!O92</f>
        <v>-202790.00399999996</v>
      </c>
      <c r="H98" s="221">
        <f>Effort!K92+Aide!I92+Taux!J92</f>
        <v>0</v>
      </c>
      <c r="I98" s="289">
        <f t="shared" si="4"/>
        <v>-662129.47250458598</v>
      </c>
      <c r="J98" s="357">
        <f t="shared" si="5"/>
        <v>648253.59858446394</v>
      </c>
      <c r="K98" s="456">
        <f t="shared" si="6"/>
        <v>-13875.873920122045</v>
      </c>
    </row>
    <row r="99" spans="1:11" x14ac:dyDescent="0.25">
      <c r="A99" s="38">
        <f>Données!A93</f>
        <v>5555</v>
      </c>
      <c r="B99" s="27" t="str">
        <f>Données!B93</f>
        <v>Corcelles-près-Concise</v>
      </c>
      <c r="C99" s="26">
        <f>Ecrêtage!C93</f>
        <v>13425.201594202899</v>
      </c>
      <c r="D99" s="12">
        <f>Données!Z93</f>
        <v>412</v>
      </c>
      <c r="E99" s="8">
        <f>Population!K96</f>
        <v>-53157.947686116691</v>
      </c>
      <c r="F99" s="221">
        <f>Solidarité!I93</f>
        <v>-124536.50622123913</v>
      </c>
      <c r="G99" s="8">
        <f>DT!O93</f>
        <v>-170883.88923913043</v>
      </c>
      <c r="H99" s="221">
        <f>Effort!K93+Aide!I93+Taux!J93</f>
        <v>0</v>
      </c>
      <c r="I99" s="289">
        <f t="shared" si="4"/>
        <v>-348578.34314648627</v>
      </c>
      <c r="J99" s="357">
        <f t="shared" si="5"/>
        <v>256669.497095803</v>
      </c>
      <c r="K99" s="456">
        <f t="shared" si="6"/>
        <v>-91908.846050683263</v>
      </c>
    </row>
    <row r="100" spans="1:11" x14ac:dyDescent="0.25">
      <c r="A100" s="38">
        <f>Données!A94</f>
        <v>5556</v>
      </c>
      <c r="B100" s="27" t="str">
        <f>Données!B94</f>
        <v>Fiez</v>
      </c>
      <c r="C100" s="26">
        <f>Ecrêtage!C94</f>
        <v>13304.241787439612</v>
      </c>
      <c r="D100" s="12">
        <f>Données!Z94</f>
        <v>436</v>
      </c>
      <c r="E100" s="8">
        <f>Population!K97</f>
        <v>-56254.527162977858</v>
      </c>
      <c r="F100" s="221">
        <f>Solidarité!I94</f>
        <v>-148973.94912526378</v>
      </c>
      <c r="G100" s="8">
        <f>DT!O94</f>
        <v>-87531.617934782611</v>
      </c>
      <c r="H100" s="221">
        <f>Effort!K94+Aide!I94+Taux!J94</f>
        <v>0</v>
      </c>
      <c r="I100" s="289">
        <f t="shared" si="4"/>
        <v>-292760.09422302421</v>
      </c>
      <c r="J100" s="357">
        <f t="shared" si="5"/>
        <v>254356.92900862099</v>
      </c>
      <c r="K100" s="456">
        <f t="shared" si="6"/>
        <v>-38403.165214403212</v>
      </c>
    </row>
    <row r="101" spans="1:11" x14ac:dyDescent="0.25">
      <c r="A101" s="38">
        <f>Données!A95</f>
        <v>5557</v>
      </c>
      <c r="B101" s="27" t="str">
        <f>Données!B95</f>
        <v>Fontaines-sur-Grandson</v>
      </c>
      <c r="C101" s="26">
        <f>Ecrêtage!C95</f>
        <v>5098.7534782608691</v>
      </c>
      <c r="D101" s="12">
        <f>Données!Z95</f>
        <v>214</v>
      </c>
      <c r="E101" s="8">
        <f>Population!K98</f>
        <v>-27611.167002012065</v>
      </c>
      <c r="F101" s="221">
        <f>Solidarité!I95</f>
        <v>-100355.85660722997</v>
      </c>
      <c r="G101" s="8">
        <f>DT!O95</f>
        <v>-48232.664021739132</v>
      </c>
      <c r="H101" s="221">
        <f>Effort!K95+Aide!I95+Taux!J95</f>
        <v>0</v>
      </c>
      <c r="I101" s="289">
        <f t="shared" si="4"/>
        <v>-176199.68763098118</v>
      </c>
      <c r="J101" s="357">
        <f t="shared" si="5"/>
        <v>97480.434978778823</v>
      </c>
      <c r="K101" s="456">
        <f t="shared" si="6"/>
        <v>-78719.252652202355</v>
      </c>
    </row>
    <row r="102" spans="1:11" x14ac:dyDescent="0.25">
      <c r="A102" s="38">
        <f>Données!A96</f>
        <v>5559</v>
      </c>
      <c r="B102" s="27" t="str">
        <f>Données!B96</f>
        <v>Giez</v>
      </c>
      <c r="C102" s="26">
        <f>Ecrêtage!C96</f>
        <v>21011.030606060605</v>
      </c>
      <c r="D102" s="12">
        <f>Données!Z96</f>
        <v>450</v>
      </c>
      <c r="E102" s="8">
        <f>Population!K99</f>
        <v>-58060.86519114687</v>
      </c>
      <c r="F102" s="221">
        <f>Solidarité!I96</f>
        <v>-13941.965836706646</v>
      </c>
      <c r="G102" s="8">
        <f>DT!O96</f>
        <v>-18725.066363636368</v>
      </c>
      <c r="H102" s="221">
        <f>Effort!K96+Aide!I96+Taux!J96</f>
        <v>0</v>
      </c>
      <c r="I102" s="289">
        <f t="shared" si="4"/>
        <v>-90727.897391489882</v>
      </c>
      <c r="J102" s="357">
        <f t="shared" si="5"/>
        <v>401699.04498497734</v>
      </c>
      <c r="K102" s="456">
        <f t="shared" si="6"/>
        <v>310971.14759348746</v>
      </c>
    </row>
    <row r="103" spans="1:11" x14ac:dyDescent="0.25">
      <c r="A103" s="38">
        <f>Données!A97</f>
        <v>5560</v>
      </c>
      <c r="B103" s="27" t="str">
        <f>Données!B97</f>
        <v>Grandevent</v>
      </c>
      <c r="C103" s="26">
        <f>Ecrêtage!C97</f>
        <v>8996.1449295774655</v>
      </c>
      <c r="D103" s="12">
        <f>Données!Z97</f>
        <v>237</v>
      </c>
      <c r="E103" s="8">
        <f>Population!K100</f>
        <v>-30578.722334004018</v>
      </c>
      <c r="F103" s="221">
        <f>Solidarité!I97</f>
        <v>-50196.093364433851</v>
      </c>
      <c r="G103" s="8">
        <f>DT!O97</f>
        <v>-6847.3913028169009</v>
      </c>
      <c r="H103" s="221">
        <f>Effort!K97+Aide!I97+Taux!J97</f>
        <v>0</v>
      </c>
      <c r="I103" s="289">
        <f t="shared" si="4"/>
        <v>-87622.207001254777</v>
      </c>
      <c r="J103" s="357">
        <f t="shared" si="5"/>
        <v>171992.64969493382</v>
      </c>
      <c r="K103" s="456">
        <f t="shared" si="6"/>
        <v>84370.442693679041</v>
      </c>
    </row>
    <row r="104" spans="1:11" x14ac:dyDescent="0.25">
      <c r="A104" s="38">
        <f>Données!A98</f>
        <v>5561</v>
      </c>
      <c r="B104" s="27" t="str">
        <f>Données!B98</f>
        <v>Grandson</v>
      </c>
      <c r="C104" s="26">
        <f>Ecrêtage!C98</f>
        <v>132376.08594202899</v>
      </c>
      <c r="D104" s="12">
        <f>Données!Z98</f>
        <v>3358</v>
      </c>
      <c r="E104" s="8">
        <f>Population!K101</f>
        <v>-1036321.9315895371</v>
      </c>
      <c r="F104" s="221">
        <f>Solidarité!I98</f>
        <v>-578250.56261106557</v>
      </c>
      <c r="G104" s="8">
        <f>DT!O98</f>
        <v>-955914.2343478261</v>
      </c>
      <c r="H104" s="221">
        <f>Effort!K98+Aide!I98+Taux!J98</f>
        <v>0</v>
      </c>
      <c r="I104" s="289">
        <f t="shared" si="4"/>
        <v>-2570486.728548429</v>
      </c>
      <c r="J104" s="357">
        <f t="shared" si="5"/>
        <v>2530830.0339357923</v>
      </c>
      <c r="K104" s="456">
        <f t="shared" si="6"/>
        <v>-39656.694612636697</v>
      </c>
    </row>
    <row r="105" spans="1:11" x14ac:dyDescent="0.25">
      <c r="A105" s="38">
        <f>Données!A99</f>
        <v>5562</v>
      </c>
      <c r="B105" s="27" t="str">
        <f>Données!B99</f>
        <v>Mauborget</v>
      </c>
      <c r="C105" s="26">
        <f>Ecrêtage!C99</f>
        <v>4559.8505476190467</v>
      </c>
      <c r="D105" s="12">
        <f>Données!Z99</f>
        <v>138</v>
      </c>
      <c r="E105" s="8">
        <f>Population!K102</f>
        <v>-17805.331991951705</v>
      </c>
      <c r="F105" s="221">
        <f>Solidarité!I99</f>
        <v>-41696.576518113005</v>
      </c>
      <c r="G105" s="8">
        <f>DT!O99</f>
        <v>-10603.758803571434</v>
      </c>
      <c r="H105" s="221">
        <f>Effort!K99+Aide!I99+Taux!J99</f>
        <v>0</v>
      </c>
      <c r="I105" s="289">
        <f t="shared" si="4"/>
        <v>-70105.667313636135</v>
      </c>
      <c r="J105" s="357">
        <f t="shared" si="5"/>
        <v>87177.428113614238</v>
      </c>
      <c r="K105" s="456">
        <f t="shared" si="6"/>
        <v>17071.760799978103</v>
      </c>
    </row>
    <row r="106" spans="1:11" x14ac:dyDescent="0.25">
      <c r="A106" s="38">
        <f>Données!A100</f>
        <v>5563</v>
      </c>
      <c r="B106" s="27" t="str">
        <f>Données!B100</f>
        <v>Mutrux</v>
      </c>
      <c r="C106" s="26">
        <f>Ecrêtage!C100</f>
        <v>2282.08925</v>
      </c>
      <c r="D106" s="12">
        <f>Données!Z100</f>
        <v>151</v>
      </c>
      <c r="E106" s="8">
        <f>Population!K103</f>
        <v>-19482.645875251506</v>
      </c>
      <c r="F106" s="221">
        <f>Solidarité!I100</f>
        <v>-128841.81482852386</v>
      </c>
      <c r="G106" s="8">
        <f>DT!O100</f>
        <v>-45230.397562500002</v>
      </c>
      <c r="H106" s="221">
        <f>Effort!K100+Aide!I100+Taux!J100</f>
        <v>28986.815212782603</v>
      </c>
      <c r="I106" s="289">
        <f t="shared" si="4"/>
        <v>-164568.04305349279</v>
      </c>
      <c r="J106" s="357">
        <f t="shared" si="5"/>
        <v>43630.086000210693</v>
      </c>
      <c r="K106" s="456">
        <f t="shared" si="6"/>
        <v>-120937.95705328209</v>
      </c>
    </row>
    <row r="107" spans="1:11" x14ac:dyDescent="0.25">
      <c r="A107" s="38">
        <f>Données!A101</f>
        <v>5564</v>
      </c>
      <c r="B107" s="27" t="str">
        <f>Données!B101</f>
        <v>Novalles</v>
      </c>
      <c r="C107" s="26">
        <f>Ecrêtage!C101</f>
        <v>2548.8725328947371</v>
      </c>
      <c r="D107" s="12">
        <f>Données!Z101</f>
        <v>99</v>
      </c>
      <c r="E107" s="8">
        <f>Population!K104</f>
        <v>-12773.390342052311</v>
      </c>
      <c r="F107" s="221">
        <f>Solidarité!I101</f>
        <v>-51935.392548400661</v>
      </c>
      <c r="G107" s="8">
        <f>DT!O101</f>
        <v>-34716.110402960519</v>
      </c>
      <c r="H107" s="221">
        <f>Effort!K101+Aide!I101+Taux!J101</f>
        <v>0</v>
      </c>
      <c r="I107" s="289">
        <f t="shared" si="4"/>
        <v>-99424.893293413494</v>
      </c>
      <c r="J107" s="357">
        <f t="shared" si="5"/>
        <v>48730.577830719041</v>
      </c>
      <c r="K107" s="456">
        <f t="shared" si="6"/>
        <v>-50694.315462694452</v>
      </c>
    </row>
    <row r="108" spans="1:11" x14ac:dyDescent="0.25">
      <c r="A108" s="38">
        <f>Données!A102</f>
        <v>5565</v>
      </c>
      <c r="B108" s="27" t="str">
        <f>Données!B102</f>
        <v>Onnens</v>
      </c>
      <c r="C108" s="26">
        <f>Ecrêtage!C102</f>
        <v>11658.700944881888</v>
      </c>
      <c r="D108" s="12">
        <f>Données!Z102</f>
        <v>496</v>
      </c>
      <c r="E108" s="8">
        <f>Population!K105</f>
        <v>-63995.975855130768</v>
      </c>
      <c r="F108" s="221">
        <f>Solidarité!I102</f>
        <v>-199559.07241155882</v>
      </c>
      <c r="G108" s="8">
        <f>DT!O102</f>
        <v>-137736.51862204727</v>
      </c>
      <c r="H108" s="221">
        <f>Effort!K102+Aide!I102+Taux!J102</f>
        <v>0</v>
      </c>
      <c r="I108" s="289">
        <f t="shared" si="4"/>
        <v>-401291.56688873685</v>
      </c>
      <c r="J108" s="357">
        <f t="shared" si="5"/>
        <v>222896.68332469228</v>
      </c>
      <c r="K108" s="456">
        <f t="shared" si="6"/>
        <v>-178394.88356404458</v>
      </c>
    </row>
    <row r="109" spans="1:11" x14ac:dyDescent="0.25">
      <c r="A109" s="38">
        <f>Données!A103</f>
        <v>5566</v>
      </c>
      <c r="B109" s="27" t="str">
        <f>Données!B103</f>
        <v>Provence</v>
      </c>
      <c r="C109" s="26">
        <f>Ecrêtage!C103</f>
        <v>8528.9197942386818</v>
      </c>
      <c r="D109" s="12">
        <f>Données!Z103</f>
        <v>403</v>
      </c>
      <c r="E109" s="8">
        <f>Population!K106</f>
        <v>-51996.730382293754</v>
      </c>
      <c r="F109" s="221">
        <f>Solidarité!I103</f>
        <v>-288574.10446193285</v>
      </c>
      <c r="G109" s="8">
        <f>DT!O103</f>
        <v>-329572.2913888889</v>
      </c>
      <c r="H109" s="221">
        <f>Effort!K103+Aide!I103+Taux!J103</f>
        <v>0</v>
      </c>
      <c r="I109" s="289">
        <f t="shared" si="4"/>
        <v>-670143.12623311556</v>
      </c>
      <c r="J109" s="357">
        <f t="shared" si="5"/>
        <v>163060.0135869064</v>
      </c>
      <c r="K109" s="456">
        <f t="shared" si="6"/>
        <v>-507083.11264620919</v>
      </c>
    </row>
    <row r="110" spans="1:11" x14ac:dyDescent="0.25">
      <c r="A110" s="38">
        <f>Données!A104</f>
        <v>5568</v>
      </c>
      <c r="B110" s="27" t="str">
        <f>Données!B104</f>
        <v>Sainte-Croix</v>
      </c>
      <c r="C110" s="26">
        <f>Ecrêtage!C104</f>
        <v>106004.96942857141</v>
      </c>
      <c r="D110" s="12">
        <f>Données!Z104</f>
        <v>4869</v>
      </c>
      <c r="E110" s="8">
        <f>Population!K107</f>
        <v>-1816143.8631790741</v>
      </c>
      <c r="F110" s="221">
        <f>Solidarité!I104</f>
        <v>-2545903.4747139816</v>
      </c>
      <c r="G110" s="8">
        <f>DT!O104</f>
        <v>-1858816.7063571429</v>
      </c>
      <c r="H110" s="221">
        <f>Effort!K104+Aide!I104+Taux!J104</f>
        <v>0</v>
      </c>
      <c r="I110" s="289">
        <f t="shared" si="4"/>
        <v>-6220864.0442501986</v>
      </c>
      <c r="J110" s="357">
        <f t="shared" si="5"/>
        <v>2026654.2741999577</v>
      </c>
      <c r="K110" s="456">
        <f t="shared" si="6"/>
        <v>-4194209.7700502407</v>
      </c>
    </row>
    <row r="111" spans="1:11" x14ac:dyDescent="0.25">
      <c r="A111" s="38">
        <f>Données!A105</f>
        <v>5571</v>
      </c>
      <c r="B111" s="27" t="str">
        <f>Données!B105</f>
        <v>Tévenon</v>
      </c>
      <c r="C111" s="26">
        <f>Ecrêtage!C105</f>
        <v>25907.008578088578</v>
      </c>
      <c r="D111" s="12">
        <f>Données!Z105</f>
        <v>867</v>
      </c>
      <c r="E111" s="8">
        <f>Population!K108</f>
        <v>-111863.93360160963</v>
      </c>
      <c r="F111" s="221">
        <f>Solidarité!I105</f>
        <v>-329310.36027291807</v>
      </c>
      <c r="G111" s="8">
        <f>DT!O105</f>
        <v>-179015.19209790209</v>
      </c>
      <c r="H111" s="221">
        <f>Effort!K105+Aide!I105+Taux!J105</f>
        <v>0</v>
      </c>
      <c r="I111" s="289">
        <f t="shared" si="4"/>
        <v>-620189.48597242974</v>
      </c>
      <c r="J111" s="357">
        <f t="shared" si="5"/>
        <v>495302.71976444434</v>
      </c>
      <c r="K111" s="456">
        <f t="shared" si="6"/>
        <v>-124886.76620798541</v>
      </c>
    </row>
    <row r="112" spans="1:11" x14ac:dyDescent="0.25">
      <c r="A112" s="38">
        <f>Données!A106</f>
        <v>5581</v>
      </c>
      <c r="B112" s="27" t="str">
        <f>Données!B106</f>
        <v>Belmont-sur-Lausanne</v>
      </c>
      <c r="C112" s="26">
        <f>Ecrêtage!C106</f>
        <v>233670.95416666666</v>
      </c>
      <c r="D112" s="12">
        <f>Données!Z106</f>
        <v>3835</v>
      </c>
      <c r="E112" s="8">
        <f>Population!K109</f>
        <v>-1282499.9999999998</v>
      </c>
      <c r="F112" s="221">
        <f>Solidarité!I106</f>
        <v>0</v>
      </c>
      <c r="G112" s="8">
        <f>DT!O106</f>
        <v>-1076058.2749999999</v>
      </c>
      <c r="H112" s="221">
        <f>Effort!K106+Aide!I106+Taux!J106</f>
        <v>0</v>
      </c>
      <c r="I112" s="289">
        <f t="shared" si="4"/>
        <v>-2358558.2749999994</v>
      </c>
      <c r="J112" s="357">
        <f t="shared" si="5"/>
        <v>4467434.315306887</v>
      </c>
      <c r="K112" s="456">
        <f t="shared" si="6"/>
        <v>2108876.0403068876</v>
      </c>
    </row>
    <row r="113" spans="1:11" x14ac:dyDescent="0.25">
      <c r="A113" s="38">
        <f>Données!A107</f>
        <v>5582</v>
      </c>
      <c r="B113" s="27" t="str">
        <f>Données!B107</f>
        <v>Cheseaux-sur-Lausanne</v>
      </c>
      <c r="C113" s="26">
        <f>Ecrêtage!C107</f>
        <v>170428.79082191776</v>
      </c>
      <c r="D113" s="12">
        <f>Données!Z107</f>
        <v>4525</v>
      </c>
      <c r="E113" s="8">
        <f>Population!K110</f>
        <v>-1638606.6398390338</v>
      </c>
      <c r="F113" s="221">
        <f>Solidarité!I107</f>
        <v>-1041531.3905360516</v>
      </c>
      <c r="G113" s="8">
        <f>DT!O107</f>
        <v>-478503.50506849342</v>
      </c>
      <c r="H113" s="221">
        <f>Effort!K107+Aide!I107+Taux!J107</f>
        <v>0</v>
      </c>
      <c r="I113" s="289">
        <f t="shared" si="4"/>
        <v>-3158641.5354435788</v>
      </c>
      <c r="J113" s="357">
        <f t="shared" si="5"/>
        <v>3258340.049790862</v>
      </c>
      <c r="K113" s="456">
        <f t="shared" si="6"/>
        <v>99698.51434728317</v>
      </c>
    </row>
    <row r="114" spans="1:11" x14ac:dyDescent="0.25">
      <c r="A114" s="38">
        <f>Données!A108</f>
        <v>5583</v>
      </c>
      <c r="B114" s="27" t="str">
        <f>Données!B108</f>
        <v>Crissier</v>
      </c>
      <c r="C114" s="26">
        <f>Ecrêtage!C108</f>
        <v>340496.54456692917</v>
      </c>
      <c r="D114" s="12">
        <f>Données!Z108</f>
        <v>9161</v>
      </c>
      <c r="E114" s="8">
        <f>Population!K111</f>
        <v>-4502271.7303822925</v>
      </c>
      <c r="F114" s="221">
        <f>Solidarité!I108</f>
        <v>-1668699.4361079321</v>
      </c>
      <c r="G114" s="8">
        <f>DT!O108</f>
        <v>-3527227.2325984254</v>
      </c>
      <c r="H114" s="221">
        <f>Effort!K108+Aide!I108+Taux!J108</f>
        <v>0</v>
      </c>
      <c r="I114" s="289">
        <f t="shared" si="4"/>
        <v>-9698198.3990886509</v>
      </c>
      <c r="J114" s="357">
        <f t="shared" si="5"/>
        <v>6509777.6181320222</v>
      </c>
      <c r="K114" s="456">
        <f t="shared" si="6"/>
        <v>-3188420.7809566287</v>
      </c>
    </row>
    <row r="115" spans="1:11" x14ac:dyDescent="0.25">
      <c r="A115" s="38">
        <f>Données!A109</f>
        <v>5584</v>
      </c>
      <c r="B115" s="27" t="str">
        <f>Données!B109</f>
        <v>Epalinges</v>
      </c>
      <c r="C115" s="26">
        <f>Ecrêtage!C109</f>
        <v>489766.22341085278</v>
      </c>
      <c r="D115" s="12">
        <f>Données!Z109</f>
        <v>9825</v>
      </c>
      <c r="E115" s="8">
        <f>Population!K112</f>
        <v>-5084841.5492957728</v>
      </c>
      <c r="F115" s="221">
        <f>Solidarité!I109</f>
        <v>0</v>
      </c>
      <c r="G115" s="8">
        <f>DT!O109</f>
        <v>-4389312.1595348837</v>
      </c>
      <c r="H115" s="221">
        <f>Effort!K109+Aide!I109+Taux!J109</f>
        <v>0</v>
      </c>
      <c r="I115" s="289">
        <f t="shared" si="4"/>
        <v>-9474153.7088306565</v>
      </c>
      <c r="J115" s="357">
        <f t="shared" si="5"/>
        <v>9363587.5316506196</v>
      </c>
      <c r="K115" s="456">
        <f t="shared" si="6"/>
        <v>-110566.1771800369</v>
      </c>
    </row>
    <row r="116" spans="1:11" x14ac:dyDescent="0.25">
      <c r="A116" s="38">
        <f>Données!A110</f>
        <v>5585</v>
      </c>
      <c r="B116" s="27" t="str">
        <f>Données!B110</f>
        <v>Jouxtens-Mézery</v>
      </c>
      <c r="C116" s="26">
        <f>Ecrêtage!C110</f>
        <v>252946.52254237281</v>
      </c>
      <c r="D116" s="12">
        <f>Données!Z110</f>
        <v>1468</v>
      </c>
      <c r="E116" s="8">
        <f>Population!K113</f>
        <v>-298097.38430583494</v>
      </c>
      <c r="F116" s="221">
        <f>Solidarité!I110</f>
        <v>0</v>
      </c>
      <c r="G116" s="8">
        <f>DT!O110</f>
        <v>0</v>
      </c>
      <c r="H116" s="221">
        <f>Effort!K110+Aide!I110+Taux!J110</f>
        <v>-227250.94066506834</v>
      </c>
      <c r="I116" s="289">
        <f t="shared" si="4"/>
        <v>-525348.32497090334</v>
      </c>
      <c r="J116" s="357">
        <f t="shared" si="5"/>
        <v>4835953.9540261012</v>
      </c>
      <c r="K116" s="456">
        <f t="shared" si="6"/>
        <v>4310605.6290551983</v>
      </c>
    </row>
    <row r="117" spans="1:11" x14ac:dyDescent="0.25">
      <c r="A117" s="38">
        <f>Données!A111</f>
        <v>5586</v>
      </c>
      <c r="B117" s="27" t="str">
        <f>Données!B111</f>
        <v>Lausanne</v>
      </c>
      <c r="C117" s="26">
        <f>Ecrêtage!C111</f>
        <v>6671978.8432696378</v>
      </c>
      <c r="D117" s="12">
        <f>Données!Z111</f>
        <v>141513</v>
      </c>
      <c r="E117" s="8">
        <f>Population!K114</f>
        <v>-147204833.90342051</v>
      </c>
      <c r="F117" s="221">
        <f>Solidarité!I111</f>
        <v>-4612106.2460840857</v>
      </c>
      <c r="G117" s="8">
        <f>DT!O111</f>
        <v>-48696983.440382175</v>
      </c>
      <c r="H117" s="221">
        <f>Effort!K111+Aide!I111+Taux!J111</f>
        <v>0</v>
      </c>
      <c r="I117" s="289">
        <f t="shared" si="4"/>
        <v>-200513923.58988678</v>
      </c>
      <c r="J117" s="357">
        <f t="shared" si="5"/>
        <v>127558118.38798179</v>
      </c>
      <c r="K117" s="456">
        <f t="shared" si="6"/>
        <v>-72955805.201904997</v>
      </c>
    </row>
    <row r="118" spans="1:11" x14ac:dyDescent="0.25">
      <c r="A118" s="38">
        <f>Données!A112</f>
        <v>5587</v>
      </c>
      <c r="B118" s="27" t="str">
        <f>Données!B112</f>
        <v>Le Mont-sur-Lausanne</v>
      </c>
      <c r="C118" s="26">
        <f>Ecrêtage!C112</f>
        <v>484050.33068027202</v>
      </c>
      <c r="D118" s="12">
        <f>Données!Z112</f>
        <v>9297</v>
      </c>
      <c r="E118" s="8">
        <f>Population!K115</f>
        <v>-4621593.2595573422</v>
      </c>
      <c r="F118" s="221">
        <f>Solidarité!I112</f>
        <v>0</v>
      </c>
      <c r="G118" s="8">
        <f>DT!O112</f>
        <v>-2395840.765918368</v>
      </c>
      <c r="H118" s="221">
        <f>Effort!K112+Aide!I112+Taux!J112</f>
        <v>0</v>
      </c>
      <c r="I118" s="289">
        <f t="shared" si="4"/>
        <v>-7017434.0254757106</v>
      </c>
      <c r="J118" s="357">
        <f t="shared" si="5"/>
        <v>9254308.3299703076</v>
      </c>
      <c r="K118" s="456">
        <f t="shared" si="6"/>
        <v>2236874.304494597</v>
      </c>
    </row>
    <row r="119" spans="1:11" x14ac:dyDescent="0.25">
      <c r="A119" s="38">
        <f>Données!A113</f>
        <v>5588</v>
      </c>
      <c r="B119" s="27" t="str">
        <f>Données!B113</f>
        <v>Paudex</v>
      </c>
      <c r="C119" s="26">
        <f>Ecrêtage!C113</f>
        <v>137556.51114930178</v>
      </c>
      <c r="D119" s="12">
        <f>Données!Z113</f>
        <v>1550</v>
      </c>
      <c r="E119" s="8">
        <f>Population!K116</f>
        <v>-327721.32796780678</v>
      </c>
      <c r="F119" s="221">
        <f>Solidarité!I113</f>
        <v>0</v>
      </c>
      <c r="G119" s="8">
        <f>DT!O113</f>
        <v>0</v>
      </c>
      <c r="H119" s="221">
        <f>Effort!K113+Aide!I113+Taux!J113</f>
        <v>0</v>
      </c>
      <c r="I119" s="289">
        <f t="shared" si="4"/>
        <v>-327721.32796780678</v>
      </c>
      <c r="J119" s="357">
        <f t="shared" si="5"/>
        <v>2629871.9085298604</v>
      </c>
      <c r="K119" s="456">
        <f t="shared" si="6"/>
        <v>2302150.5805620537</v>
      </c>
    </row>
    <row r="120" spans="1:11" x14ac:dyDescent="0.25">
      <c r="A120" s="38">
        <f>Données!A114</f>
        <v>5589</v>
      </c>
      <c r="B120" s="27" t="str">
        <f>Données!B114</f>
        <v>Prilly</v>
      </c>
      <c r="C120" s="26">
        <f>Ecrêtage!C114</f>
        <v>404219.10002122016</v>
      </c>
      <c r="D120" s="12">
        <f>Données!Z114</f>
        <v>12318</v>
      </c>
      <c r="E120" s="8">
        <f>Population!K117</f>
        <v>-7321346.0764587512</v>
      </c>
      <c r="F120" s="221">
        <f>Solidarité!I114</f>
        <v>-4051229.5491737328</v>
      </c>
      <c r="G120" s="8">
        <f>DT!O114</f>
        <v>-3400068.8998726793</v>
      </c>
      <c r="H120" s="221">
        <f>Effort!K114+Aide!I114+Taux!J114</f>
        <v>0</v>
      </c>
      <c r="I120" s="289">
        <f t="shared" si="4"/>
        <v>-14772644.525505163</v>
      </c>
      <c r="J120" s="357">
        <f t="shared" si="5"/>
        <v>7728056.2523370218</v>
      </c>
      <c r="K120" s="456">
        <f t="shared" si="6"/>
        <v>-7044588.273168141</v>
      </c>
    </row>
    <row r="121" spans="1:11" x14ac:dyDescent="0.25">
      <c r="A121" s="38">
        <f>Données!A115</f>
        <v>5590</v>
      </c>
      <c r="B121" s="27" t="str">
        <f>Données!B115</f>
        <v>Pully</v>
      </c>
      <c r="C121" s="26">
        <f>Ecrêtage!C115</f>
        <v>1396472.1616393442</v>
      </c>
      <c r="D121" s="12">
        <f>Données!Z115</f>
        <v>19005</v>
      </c>
      <c r="E121" s="8">
        <f>Population!K118</f>
        <v>-14430318.410462774</v>
      </c>
      <c r="F121" s="221">
        <f>Solidarité!I115</f>
        <v>0</v>
      </c>
      <c r="G121" s="8">
        <f>DT!O115</f>
        <v>-4465374.5301639345</v>
      </c>
      <c r="H121" s="221">
        <f>Effort!K115+Aide!I115+Taux!J115</f>
        <v>0</v>
      </c>
      <c r="I121" s="289">
        <f t="shared" si="4"/>
        <v>-18895692.940626711</v>
      </c>
      <c r="J121" s="357">
        <f t="shared" si="5"/>
        <v>26698430.18156486</v>
      </c>
      <c r="K121" s="456">
        <f t="shared" si="6"/>
        <v>7802737.2409381494</v>
      </c>
    </row>
    <row r="122" spans="1:11" x14ac:dyDescent="0.25">
      <c r="A122" s="38">
        <f>Données!A116</f>
        <v>5591</v>
      </c>
      <c r="B122" s="27" t="str">
        <f>Données!B116</f>
        <v>Renens</v>
      </c>
      <c r="C122" s="26">
        <f>Ecrêtage!C116</f>
        <v>592907.73419294995</v>
      </c>
      <c r="D122" s="12">
        <f>Données!Z116</f>
        <v>21116</v>
      </c>
      <c r="E122" s="8">
        <f>Population!K119</f>
        <v>-16718226.156941645</v>
      </c>
      <c r="F122" s="221">
        <f>Solidarité!I116</f>
        <v>-10203792.87619021</v>
      </c>
      <c r="G122" s="8">
        <f>DT!O116</f>
        <v>-7476777.8448422998</v>
      </c>
      <c r="H122" s="221">
        <f>Effort!K116+Aide!I116+Taux!J116</f>
        <v>983346.19223889697</v>
      </c>
      <c r="I122" s="289">
        <f t="shared" si="4"/>
        <v>-33415450.685735255</v>
      </c>
      <c r="J122" s="357">
        <f t="shared" si="5"/>
        <v>11335496.818552768</v>
      </c>
      <c r="K122" s="456">
        <f t="shared" si="6"/>
        <v>-22079953.867182486</v>
      </c>
    </row>
    <row r="123" spans="1:11" x14ac:dyDescent="0.25">
      <c r="A123" s="38">
        <f>Données!A117</f>
        <v>5592</v>
      </c>
      <c r="B123" s="27" t="str">
        <f>Données!B117</f>
        <v>Romanel-sur-Lausanne</v>
      </c>
      <c r="C123" s="26">
        <f>Ecrêtage!C117</f>
        <v>113604.64354609928</v>
      </c>
      <c r="D123" s="12">
        <f>Données!Z117</f>
        <v>3798</v>
      </c>
      <c r="E123" s="8">
        <f>Population!K120</f>
        <v>-1263404.4265593558</v>
      </c>
      <c r="F123" s="221">
        <f>Solidarité!I117</f>
        <v>-1400214.1119692682</v>
      </c>
      <c r="G123" s="8">
        <f>DT!O117</f>
        <v>-327638.88872340432</v>
      </c>
      <c r="H123" s="221">
        <f>Effort!K117+Aide!I117+Taux!J117</f>
        <v>0</v>
      </c>
      <c r="I123" s="289">
        <f t="shared" si="4"/>
        <v>-2991257.4272520281</v>
      </c>
      <c r="J123" s="357">
        <f t="shared" si="5"/>
        <v>2171948.5195154361</v>
      </c>
      <c r="K123" s="456">
        <f t="shared" si="6"/>
        <v>-819308.90773659199</v>
      </c>
    </row>
    <row r="124" spans="1:11" x14ac:dyDescent="0.25">
      <c r="A124" s="38">
        <f>Données!A118</f>
        <v>5601</v>
      </c>
      <c r="B124" s="27" t="str">
        <f>Données!B118</f>
        <v>Chexbres</v>
      </c>
      <c r="C124" s="26">
        <f>Ecrêtage!C118</f>
        <v>106015.29511111112</v>
      </c>
      <c r="D124" s="12">
        <f>Données!Z118</f>
        <v>2204</v>
      </c>
      <c r="E124" s="8">
        <f>Population!K121</f>
        <v>-563990.34205231373</v>
      </c>
      <c r="F124" s="221">
        <f>Solidarité!I118</f>
        <v>-14827.875878159175</v>
      </c>
      <c r="G124" s="8">
        <f>DT!O118</f>
        <v>-353186.72933333332</v>
      </c>
      <c r="H124" s="221">
        <f>Effort!K118+Aide!I118+Taux!J118</f>
        <v>0</v>
      </c>
      <c r="I124" s="289">
        <f t="shared" si="4"/>
        <v>-932004.94726380624</v>
      </c>
      <c r="J124" s="357">
        <f t="shared" si="5"/>
        <v>2026851.6855927061</v>
      </c>
      <c r="K124" s="456">
        <f t="shared" si="6"/>
        <v>1094846.7383288997</v>
      </c>
    </row>
    <row r="125" spans="1:11" x14ac:dyDescent="0.25">
      <c r="A125" s="38">
        <f>Données!A119</f>
        <v>5604</v>
      </c>
      <c r="B125" s="27" t="str">
        <f>Données!B119</f>
        <v>Forel (Lavaux)</v>
      </c>
      <c r="C125" s="26">
        <f>Ecrêtage!C119</f>
        <v>70961.315942029003</v>
      </c>
      <c r="D125" s="12">
        <f>Données!Z119</f>
        <v>2067</v>
      </c>
      <c r="E125" s="8">
        <f>Population!K122</f>
        <v>-514496.68008048279</v>
      </c>
      <c r="F125" s="221">
        <f>Solidarité!I119</f>
        <v>-556158.82494950132</v>
      </c>
      <c r="G125" s="8">
        <f>DT!O119</f>
        <v>-421223.36739130423</v>
      </c>
      <c r="H125" s="221">
        <f>Effort!K119+Aide!I119+Taux!J119</f>
        <v>0</v>
      </c>
      <c r="I125" s="289">
        <f t="shared" si="4"/>
        <v>-1491878.8724212884</v>
      </c>
      <c r="J125" s="357">
        <f t="shared" si="5"/>
        <v>1356672.7581924535</v>
      </c>
      <c r="K125" s="456">
        <f t="shared" si="6"/>
        <v>-135206.11422883486</v>
      </c>
    </row>
    <row r="126" spans="1:11" x14ac:dyDescent="0.25">
      <c r="A126" s="38">
        <f>Données!A120</f>
        <v>5606</v>
      </c>
      <c r="B126" s="27" t="str">
        <f>Données!B120</f>
        <v>Lutry</v>
      </c>
      <c r="C126" s="26">
        <f>Ecrêtage!C120</f>
        <v>1212171.2253174603</v>
      </c>
      <c r="D126" s="12">
        <f>Données!Z120</f>
        <v>10713</v>
      </c>
      <c r="E126" s="8">
        <f>Population!K123</f>
        <v>-5863940.9456740431</v>
      </c>
      <c r="F126" s="221">
        <f>Solidarité!I120</f>
        <v>0</v>
      </c>
      <c r="G126" s="8">
        <f>DT!O120</f>
        <v>-785303.39809523849</v>
      </c>
      <c r="H126" s="221">
        <f>Effort!K120+Aide!I120+Taux!J120</f>
        <v>0</v>
      </c>
      <c r="I126" s="289">
        <f t="shared" si="4"/>
        <v>-6649244.3437692821</v>
      </c>
      <c r="J126" s="357">
        <f t="shared" si="5"/>
        <v>23174875.744926088</v>
      </c>
      <c r="K126" s="456">
        <f t="shared" si="6"/>
        <v>16525631.401156805</v>
      </c>
    </row>
    <row r="127" spans="1:11" x14ac:dyDescent="0.25">
      <c r="A127" s="38">
        <f>Données!A121</f>
        <v>5607</v>
      </c>
      <c r="B127" s="27" t="str">
        <f>Données!B121</f>
        <v>Puidoux</v>
      </c>
      <c r="C127" s="26">
        <f>Ecrêtage!C121</f>
        <v>117496.04099650904</v>
      </c>
      <c r="D127" s="12">
        <f>Données!Z121</f>
        <v>2991</v>
      </c>
      <c r="E127" s="8">
        <f>Population!K124</f>
        <v>-848307.94768611644</v>
      </c>
      <c r="F127" s="221">
        <f>Solidarité!I121</f>
        <v>-515351.19910187362</v>
      </c>
      <c r="G127" s="8">
        <f>DT!O121</f>
        <v>-1063605.5040209459</v>
      </c>
      <c r="H127" s="221">
        <f>Effort!K121+Aide!I121+Taux!J121</f>
        <v>0</v>
      </c>
      <c r="I127" s="289">
        <f t="shared" si="4"/>
        <v>-2427264.650808936</v>
      </c>
      <c r="J127" s="357">
        <f t="shared" si="5"/>
        <v>2246346.1380232922</v>
      </c>
      <c r="K127" s="456">
        <f t="shared" si="6"/>
        <v>-180918.5127856438</v>
      </c>
    </row>
    <row r="128" spans="1:11" x14ac:dyDescent="0.25">
      <c r="A128" s="38">
        <f>Données!A122</f>
        <v>5609</v>
      </c>
      <c r="B128" s="27" t="str">
        <f>Données!B122</f>
        <v>Rivaz</v>
      </c>
      <c r="C128" s="26">
        <f>Ecrêtage!C122</f>
        <v>14930.201612903227</v>
      </c>
      <c r="D128" s="12">
        <f>Données!Z122</f>
        <v>332</v>
      </c>
      <c r="E128" s="8">
        <f>Population!K125</f>
        <v>-42836.016096579464</v>
      </c>
      <c r="F128" s="221">
        <f>Solidarité!I122</f>
        <v>-17853.731256898544</v>
      </c>
      <c r="G128" s="8">
        <f>DT!O122</f>
        <v>-74921.389112903213</v>
      </c>
      <c r="H128" s="221">
        <f>Effort!K122+Aide!I122+Taux!J122</f>
        <v>0</v>
      </c>
      <c r="I128" s="289">
        <f t="shared" si="4"/>
        <v>-135611.13646638123</v>
      </c>
      <c r="J128" s="357">
        <f t="shared" si="5"/>
        <v>285442.81533750368</v>
      </c>
      <c r="K128" s="456">
        <f t="shared" si="6"/>
        <v>149831.67887112245</v>
      </c>
    </row>
    <row r="129" spans="1:11" x14ac:dyDescent="0.25">
      <c r="A129" s="38">
        <f>Données!A123</f>
        <v>5610</v>
      </c>
      <c r="B129" s="27" t="str">
        <f>Données!B123</f>
        <v>St-Saphorin (Lavaux)</v>
      </c>
      <c r="C129" s="26">
        <f>Ecrêtage!C123</f>
        <v>21326.679629629627</v>
      </c>
      <c r="D129" s="12">
        <f>Données!Z123</f>
        <v>402</v>
      </c>
      <c r="E129" s="8">
        <f>Population!K126</f>
        <v>-51867.706237424536</v>
      </c>
      <c r="F129" s="221">
        <f>Solidarité!I123</f>
        <v>0</v>
      </c>
      <c r="G129" s="8">
        <f>DT!O123</f>
        <v>-7018.1722222222379</v>
      </c>
      <c r="H129" s="221">
        <f>Effort!K123+Aide!I123+Taux!J123</f>
        <v>0</v>
      </c>
      <c r="I129" s="289">
        <f t="shared" si="4"/>
        <v>-58885.878459646774</v>
      </c>
      <c r="J129" s="357">
        <f t="shared" si="5"/>
        <v>407733.77567931765</v>
      </c>
      <c r="K129" s="456">
        <f t="shared" si="6"/>
        <v>348847.89721967088</v>
      </c>
    </row>
    <row r="130" spans="1:11" x14ac:dyDescent="0.25">
      <c r="A130" s="38">
        <f>Données!A124</f>
        <v>5611</v>
      </c>
      <c r="B130" s="27" t="str">
        <f>Données!B124</f>
        <v>Savigny</v>
      </c>
      <c r="C130" s="26">
        <f>Ecrêtage!C124</f>
        <v>139629.67036231884</v>
      </c>
      <c r="D130" s="12">
        <f>Données!Z124</f>
        <v>3421</v>
      </c>
      <c r="E130" s="8">
        <f>Population!K127</f>
        <v>-1068836.0160965794</v>
      </c>
      <c r="F130" s="221">
        <f>Solidarité!I124</f>
        <v>-498332.46807101771</v>
      </c>
      <c r="G130" s="8">
        <f>DT!O124</f>
        <v>-756928.22782608704</v>
      </c>
      <c r="H130" s="221">
        <f>Effort!K124+Aide!I124+Taux!J124</f>
        <v>0</v>
      </c>
      <c r="I130" s="289">
        <f t="shared" si="4"/>
        <v>-2324096.7119936841</v>
      </c>
      <c r="J130" s="357">
        <f t="shared" si="5"/>
        <v>2669507.5690352782</v>
      </c>
      <c r="K130" s="456">
        <f t="shared" si="6"/>
        <v>345410.85704159411</v>
      </c>
    </row>
    <row r="131" spans="1:11" x14ac:dyDescent="0.25">
      <c r="A131" s="38">
        <f>Données!A125</f>
        <v>5613</v>
      </c>
      <c r="B131" s="27" t="str">
        <f>Données!B125</f>
        <v>Bourg-en-Lavaux</v>
      </c>
      <c r="C131" s="26">
        <f>Ecrêtage!C125</f>
        <v>367206.35685333336</v>
      </c>
      <c r="D131" s="12">
        <f>Données!Z125</f>
        <v>5389</v>
      </c>
      <c r="E131" s="8">
        <f>Population!K128</f>
        <v>-2124666.3983903416</v>
      </c>
      <c r="F131" s="221">
        <f>Solidarité!I125</f>
        <v>0</v>
      </c>
      <c r="G131" s="8">
        <f>DT!O125</f>
        <v>0</v>
      </c>
      <c r="H131" s="221">
        <f>Effort!K125+Aide!I125+Taux!J125</f>
        <v>0</v>
      </c>
      <c r="I131" s="289">
        <f t="shared" si="4"/>
        <v>-2124666.3983903416</v>
      </c>
      <c r="J131" s="357">
        <f t="shared" si="5"/>
        <v>7020428.7274632193</v>
      </c>
      <c r="K131" s="456">
        <f t="shared" si="6"/>
        <v>4895762.3290728778</v>
      </c>
    </row>
    <row r="132" spans="1:11" x14ac:dyDescent="0.25">
      <c r="A132" s="38">
        <f>Données!A126</f>
        <v>5621</v>
      </c>
      <c r="B132" s="27" t="str">
        <f>Données!B126</f>
        <v>Aclens</v>
      </c>
      <c r="C132" s="26">
        <f>Ecrêtage!C126</f>
        <v>39203.094076246336</v>
      </c>
      <c r="D132" s="12">
        <f>Données!Z126</f>
        <v>557</v>
      </c>
      <c r="E132" s="8">
        <f>Population!K129</f>
        <v>-71866.448692152902</v>
      </c>
      <c r="F132" s="221">
        <f>Solidarité!I126</f>
        <v>0</v>
      </c>
      <c r="G132" s="8">
        <f>DT!O126</f>
        <v>0</v>
      </c>
      <c r="H132" s="221">
        <f>Effort!K126+Aide!I126+Taux!J126</f>
        <v>0</v>
      </c>
      <c r="I132" s="289">
        <f t="shared" si="4"/>
        <v>-71866.448692152902</v>
      </c>
      <c r="J132" s="357">
        <f t="shared" si="5"/>
        <v>749503.71288983466</v>
      </c>
      <c r="K132" s="456">
        <f t="shared" si="6"/>
        <v>677637.2641976818</v>
      </c>
    </row>
    <row r="133" spans="1:11" x14ac:dyDescent="0.25">
      <c r="A133" s="38">
        <f>Données!A127</f>
        <v>5622</v>
      </c>
      <c r="B133" s="27" t="str">
        <f>Données!B127</f>
        <v>Bremblens</v>
      </c>
      <c r="C133" s="26">
        <f>Ecrêtage!C127</f>
        <v>30852.761617647058</v>
      </c>
      <c r="D133" s="12">
        <f>Données!Z127</f>
        <v>604</v>
      </c>
      <c r="E133" s="8">
        <f>Population!K130</f>
        <v>-77930.583501006025</v>
      </c>
      <c r="F133" s="221">
        <f>Solidarité!I127</f>
        <v>0</v>
      </c>
      <c r="G133" s="8">
        <f>DT!O127</f>
        <v>0</v>
      </c>
      <c r="H133" s="221">
        <f>Effort!K127+Aide!I127+Taux!J127</f>
        <v>0</v>
      </c>
      <c r="I133" s="289">
        <f t="shared" si="4"/>
        <v>-77930.583501006025</v>
      </c>
      <c r="J133" s="357">
        <f t="shared" si="5"/>
        <v>589858.01835837087</v>
      </c>
      <c r="K133" s="456">
        <f t="shared" si="6"/>
        <v>511927.43485736486</v>
      </c>
    </row>
    <row r="134" spans="1:11" x14ac:dyDescent="0.25">
      <c r="A134" s="38">
        <f>Données!A128</f>
        <v>5623</v>
      </c>
      <c r="B134" s="27" t="str">
        <f>Données!B128</f>
        <v>Buchillon</v>
      </c>
      <c r="C134" s="26">
        <f>Ecrêtage!C128</f>
        <v>88403.083461538452</v>
      </c>
      <c r="D134" s="12">
        <f>Données!Z128</f>
        <v>670</v>
      </c>
      <c r="E134" s="8">
        <f>Population!K131</f>
        <v>-86446.17706237422</v>
      </c>
      <c r="F134" s="221">
        <f>Solidarité!I128</f>
        <v>0</v>
      </c>
      <c r="G134" s="8">
        <f>DT!O128</f>
        <v>0</v>
      </c>
      <c r="H134" s="221">
        <f>Effort!K128+Aide!I128+Taux!J128</f>
        <v>0</v>
      </c>
      <c r="I134" s="289">
        <f t="shared" si="4"/>
        <v>-86446.17706237422</v>
      </c>
      <c r="J134" s="357">
        <f t="shared" si="5"/>
        <v>1690132.9052361674</v>
      </c>
      <c r="K134" s="456">
        <f t="shared" si="6"/>
        <v>1603686.7281737931</v>
      </c>
    </row>
    <row r="135" spans="1:11" x14ac:dyDescent="0.25">
      <c r="A135" s="38">
        <f>Données!A129</f>
        <v>5624</v>
      </c>
      <c r="B135" s="27" t="str">
        <f>Données!B129</f>
        <v>Bussigny</v>
      </c>
      <c r="C135" s="26">
        <f>Ecrêtage!C129</f>
        <v>522420.75055999996</v>
      </c>
      <c r="D135" s="12">
        <f>Données!Z129</f>
        <v>10392</v>
      </c>
      <c r="E135" s="8">
        <f>Population!K132</f>
        <v>-5582307.0422535194</v>
      </c>
      <c r="F135" s="221">
        <f>Solidarité!I129</f>
        <v>0</v>
      </c>
      <c r="G135" s="8">
        <f>DT!O129</f>
        <v>-1871067.0791400005</v>
      </c>
      <c r="H135" s="221">
        <f>Effort!K129+Aide!I129+Taux!J129</f>
        <v>0</v>
      </c>
      <c r="I135" s="289">
        <f t="shared" si="4"/>
        <v>-7453374.1213935204</v>
      </c>
      <c r="J135" s="357">
        <f t="shared" si="5"/>
        <v>9987892.5748532489</v>
      </c>
      <c r="K135" s="456">
        <f t="shared" si="6"/>
        <v>2534518.4534597285</v>
      </c>
    </row>
    <row r="136" spans="1:11" x14ac:dyDescent="0.25">
      <c r="A136" s="38">
        <f>Données!A130</f>
        <v>5627</v>
      </c>
      <c r="B136" s="27" t="str">
        <f>Données!B130</f>
        <v>Chavannes-près-Renens</v>
      </c>
      <c r="C136" s="26">
        <f>Ecrêtage!C130</f>
        <v>188690.75535483871</v>
      </c>
      <c r="D136" s="12">
        <f>Données!Z130</f>
        <v>8725</v>
      </c>
      <c r="E136" s="8">
        <f>Population!K133</f>
        <v>-4190704.2253521117</v>
      </c>
      <c r="F136" s="221">
        <f>Solidarité!I130</f>
        <v>-5622460.7055606646</v>
      </c>
      <c r="G136" s="8">
        <f>DT!O130</f>
        <v>-2321527.4678709679</v>
      </c>
      <c r="H136" s="221">
        <f>Effort!K130+Aide!I130+Taux!J130</f>
        <v>1504068.1823840232</v>
      </c>
      <c r="I136" s="289">
        <f t="shared" si="4"/>
        <v>-10630624.21639972</v>
      </c>
      <c r="J136" s="357">
        <f t="shared" si="5"/>
        <v>3607481.1200203188</v>
      </c>
      <c r="K136" s="456">
        <f t="shared" si="6"/>
        <v>-7023143.0963794012</v>
      </c>
    </row>
    <row r="137" spans="1:11" x14ac:dyDescent="0.25">
      <c r="A137" s="38">
        <f>Données!A131</f>
        <v>5628</v>
      </c>
      <c r="B137" s="27" t="str">
        <f>Données!B131</f>
        <v>Chigny</v>
      </c>
      <c r="C137" s="26">
        <f>Ecrêtage!C131</f>
        <v>27627.379193548386</v>
      </c>
      <c r="D137" s="12">
        <f>Données!Z131</f>
        <v>419</v>
      </c>
      <c r="E137" s="8">
        <f>Population!K134</f>
        <v>-54061.116700201193</v>
      </c>
      <c r="F137" s="221">
        <f>Solidarité!I131</f>
        <v>0</v>
      </c>
      <c r="G137" s="8">
        <f>DT!O131</f>
        <v>0</v>
      </c>
      <c r="H137" s="221">
        <f>Effort!K131+Aide!I131+Taux!J131</f>
        <v>0</v>
      </c>
      <c r="I137" s="289">
        <f t="shared" si="4"/>
        <v>-54061.116700201193</v>
      </c>
      <c r="J137" s="357">
        <f t="shared" si="5"/>
        <v>528193.59723768372</v>
      </c>
      <c r="K137" s="456">
        <f t="shared" si="6"/>
        <v>474132.48053748254</v>
      </c>
    </row>
    <row r="138" spans="1:11" x14ac:dyDescent="0.25">
      <c r="A138" s="38">
        <f>Données!A132</f>
        <v>5629</v>
      </c>
      <c r="B138" s="27" t="str">
        <f>Données!B132</f>
        <v>Clarmont</v>
      </c>
      <c r="C138" s="26">
        <f>Ecrêtage!C132</f>
        <v>9964.7430555555547</v>
      </c>
      <c r="D138" s="12">
        <f>Données!Z132</f>
        <v>213</v>
      </c>
      <c r="E138" s="8">
        <f>Population!K135</f>
        <v>-27482.142857142851</v>
      </c>
      <c r="F138" s="221">
        <f>Solidarité!I132</f>
        <v>-7449.1143601376289</v>
      </c>
      <c r="G138" s="8">
        <f>DT!O132</f>
        <v>-53223.791666666672</v>
      </c>
      <c r="H138" s="221">
        <f>Effort!K132+Aide!I132+Taux!J132</f>
        <v>0</v>
      </c>
      <c r="I138" s="289">
        <f t="shared" si="4"/>
        <v>-88155.048883947151</v>
      </c>
      <c r="J138" s="357">
        <f t="shared" si="5"/>
        <v>190510.77712402842</v>
      </c>
      <c r="K138" s="456">
        <f t="shared" si="6"/>
        <v>102355.72824008127</v>
      </c>
    </row>
    <row r="139" spans="1:11" x14ac:dyDescent="0.25">
      <c r="A139" s="38">
        <f>Données!A133</f>
        <v>5631</v>
      </c>
      <c r="B139" s="27" t="str">
        <f>Données!B133</f>
        <v>Denens</v>
      </c>
      <c r="C139" s="26">
        <f>Ecrêtage!C133</f>
        <v>41694.310588235297</v>
      </c>
      <c r="D139" s="12">
        <f>Données!Z133</f>
        <v>715</v>
      </c>
      <c r="E139" s="8">
        <f>Population!K136</f>
        <v>-92252.263581488907</v>
      </c>
      <c r="F139" s="221">
        <f>Solidarité!I133</f>
        <v>0</v>
      </c>
      <c r="G139" s="8">
        <f>DT!O133</f>
        <v>0</v>
      </c>
      <c r="H139" s="221">
        <f>Effort!K133+Aide!I133+Taux!J133</f>
        <v>0</v>
      </c>
      <c r="I139" s="289">
        <f t="shared" si="4"/>
        <v>-92252.263581488907</v>
      </c>
      <c r="J139" s="357">
        <f t="shared" si="5"/>
        <v>797131.99502789008</v>
      </c>
      <c r="K139" s="456">
        <f t="shared" si="6"/>
        <v>704879.73144640122</v>
      </c>
    </row>
    <row r="140" spans="1:11" x14ac:dyDescent="0.25">
      <c r="A140" s="38">
        <f>Données!A134</f>
        <v>5632</v>
      </c>
      <c r="B140" s="27" t="str">
        <f>Données!B134</f>
        <v>Denges</v>
      </c>
      <c r="C140" s="26">
        <f>Ecrêtage!C134</f>
        <v>81642.531612903229</v>
      </c>
      <c r="D140" s="12">
        <f>Données!Z134</f>
        <v>1778</v>
      </c>
      <c r="E140" s="8">
        <f>Population!K137</f>
        <v>-410090.34205231379</v>
      </c>
      <c r="F140" s="221">
        <f>Solidarité!I134</f>
        <v>-69726.759067490479</v>
      </c>
      <c r="G140" s="8">
        <f>DT!O134</f>
        <v>-173481.56032258063</v>
      </c>
      <c r="H140" s="221">
        <f>Effort!K134+Aide!I134+Taux!J134</f>
        <v>0</v>
      </c>
      <c r="I140" s="289">
        <f t="shared" si="4"/>
        <v>-653298.66144238482</v>
      </c>
      <c r="J140" s="357">
        <f t="shared" si="5"/>
        <v>1560881.4052938062</v>
      </c>
      <c r="K140" s="456">
        <f t="shared" si="6"/>
        <v>907582.7438514214</v>
      </c>
    </row>
    <row r="141" spans="1:11" x14ac:dyDescent="0.25">
      <c r="A141" s="38">
        <f>Données!A135</f>
        <v>5633</v>
      </c>
      <c r="B141" s="27" t="str">
        <f>Données!B135</f>
        <v>Echandens</v>
      </c>
      <c r="C141" s="26">
        <f>Ecrêtage!C135</f>
        <v>149835.3479338843</v>
      </c>
      <c r="D141" s="12">
        <f>Données!Z135</f>
        <v>2891</v>
      </c>
      <c r="E141" s="8">
        <f>Population!K138</f>
        <v>-812181.18712273636</v>
      </c>
      <c r="F141" s="221">
        <f>Solidarité!I135</f>
        <v>0</v>
      </c>
      <c r="G141" s="8">
        <f>DT!O135</f>
        <v>-844974.91239669418</v>
      </c>
      <c r="H141" s="221">
        <f>Effort!K135+Aide!I135+Taux!J135</f>
        <v>0</v>
      </c>
      <c r="I141" s="289">
        <f t="shared" ref="I141:I204" si="7">SUM(E141:H141)</f>
        <v>-1657156.0995194307</v>
      </c>
      <c r="J141" s="357">
        <f t="shared" ref="J141:J204" si="8">C141*$J$11</f>
        <v>2864624.6487629106</v>
      </c>
      <c r="K141" s="456">
        <f t="shared" ref="K141:K204" si="9">I141+J141</f>
        <v>1207468.54924348</v>
      </c>
    </row>
    <row r="142" spans="1:11" x14ac:dyDescent="0.25">
      <c r="A142" s="38">
        <f>Données!A136</f>
        <v>5634</v>
      </c>
      <c r="B142" s="27" t="str">
        <f>Données!B136</f>
        <v>Echichens</v>
      </c>
      <c r="C142" s="26">
        <f>Ecrêtage!C136</f>
        <v>183137.63424242428</v>
      </c>
      <c r="D142" s="12">
        <f>Données!Z136</f>
        <v>3211</v>
      </c>
      <c r="E142" s="8">
        <f>Population!K139</f>
        <v>-960455.73440643842</v>
      </c>
      <c r="F142" s="221">
        <f>Solidarité!I136</f>
        <v>0</v>
      </c>
      <c r="G142" s="8">
        <f>DT!O136</f>
        <v>-63653.194545454346</v>
      </c>
      <c r="H142" s="221">
        <f>Effort!K136+Aide!I136+Taux!J136</f>
        <v>0</v>
      </c>
      <c r="I142" s="289">
        <f t="shared" si="7"/>
        <v>-1024108.9289518928</v>
      </c>
      <c r="J142" s="357">
        <f t="shared" si="8"/>
        <v>3501313.8648596248</v>
      </c>
      <c r="K142" s="456">
        <f t="shared" si="9"/>
        <v>2477204.9359077318</v>
      </c>
    </row>
    <row r="143" spans="1:11" x14ac:dyDescent="0.25">
      <c r="A143" s="38">
        <f>Données!A137</f>
        <v>5635</v>
      </c>
      <c r="B143" s="27" t="str">
        <f>Données!B137</f>
        <v>Ecublens</v>
      </c>
      <c r="C143" s="26">
        <f>Ecrêtage!C137</f>
        <v>516165.47293333331</v>
      </c>
      <c r="D143" s="12">
        <f>Données!Z137</f>
        <v>13129</v>
      </c>
      <c r="E143" s="8">
        <f>Population!K140</f>
        <v>-8158454.7283702195</v>
      </c>
      <c r="F143" s="221">
        <f>Solidarité!I137</f>
        <v>-1876703.5139967101</v>
      </c>
      <c r="G143" s="8">
        <f>DT!O137</f>
        <v>-3717399.9123999998</v>
      </c>
      <c r="H143" s="221">
        <f>Effort!K137+Aide!I137+Taux!J137</f>
        <v>0</v>
      </c>
      <c r="I143" s="289">
        <f t="shared" si="7"/>
        <v>-13752558.154766928</v>
      </c>
      <c r="J143" s="357">
        <f t="shared" si="8"/>
        <v>9868301.1518593151</v>
      </c>
      <c r="K143" s="456">
        <f t="shared" si="9"/>
        <v>-3884257.0029076133</v>
      </c>
    </row>
    <row r="144" spans="1:11" x14ac:dyDescent="0.25">
      <c r="A144" s="38">
        <f>Données!A138</f>
        <v>5636</v>
      </c>
      <c r="B144" s="27" t="str">
        <f>Données!B138</f>
        <v>Etoy</v>
      </c>
      <c r="C144" s="26">
        <f>Ecrêtage!C138</f>
        <v>189458.35050000003</v>
      </c>
      <c r="D144" s="12">
        <f>Données!Z138</f>
        <v>2938</v>
      </c>
      <c r="E144" s="8">
        <f>Population!K141</f>
        <v>-829160.76458752505</v>
      </c>
      <c r="F144" s="221">
        <f>Solidarité!I138</f>
        <v>0</v>
      </c>
      <c r="G144" s="8">
        <f>DT!O138</f>
        <v>0</v>
      </c>
      <c r="H144" s="221">
        <f>Effort!K138+Aide!I138+Taux!J138</f>
        <v>0</v>
      </c>
      <c r="I144" s="289">
        <f t="shared" si="7"/>
        <v>-829160.76458752505</v>
      </c>
      <c r="J144" s="357">
        <f t="shared" si="8"/>
        <v>3622156.3752482785</v>
      </c>
      <c r="K144" s="456">
        <f t="shared" si="9"/>
        <v>2792995.6106607532</v>
      </c>
    </row>
    <row r="145" spans="1:11" x14ac:dyDescent="0.25">
      <c r="A145" s="38">
        <f>Données!A139</f>
        <v>5637</v>
      </c>
      <c r="B145" s="27" t="str">
        <f>Données!B139</f>
        <v>Lavigny</v>
      </c>
      <c r="C145" s="26">
        <f>Ecrêtage!C139</f>
        <v>36293.809863013703</v>
      </c>
      <c r="D145" s="12">
        <f>Données!Z139</f>
        <v>1038</v>
      </c>
      <c r="E145" s="8">
        <f>Population!K142</f>
        <v>-142752.31388329976</v>
      </c>
      <c r="F145" s="221">
        <f>Solidarité!I139</f>
        <v>-298581.65070202481</v>
      </c>
      <c r="G145" s="8">
        <f>DT!O139</f>
        <v>-270980.6408219178</v>
      </c>
      <c r="H145" s="221">
        <f>Effort!K139+Aide!I139+Taux!J139</f>
        <v>0</v>
      </c>
      <c r="I145" s="289">
        <f t="shared" si="7"/>
        <v>-712314.60540724243</v>
      </c>
      <c r="J145" s="357">
        <f t="shared" si="8"/>
        <v>693882.61024347891</v>
      </c>
      <c r="K145" s="456">
        <f t="shared" si="9"/>
        <v>-18431.995163763524</v>
      </c>
    </row>
    <row r="146" spans="1:11" x14ac:dyDescent="0.25">
      <c r="A146" s="38">
        <f>Données!A140</f>
        <v>5638</v>
      </c>
      <c r="B146" s="27" t="str">
        <f>Données!B140</f>
        <v>Lonay</v>
      </c>
      <c r="C146" s="26">
        <f>Ecrêtage!C140</f>
        <v>153893.84090909091</v>
      </c>
      <c r="D146" s="12">
        <f>Données!Z140</f>
        <v>2675</v>
      </c>
      <c r="E146" s="8">
        <f>Population!K143</f>
        <v>-734147.38430583477</v>
      </c>
      <c r="F146" s="221">
        <f>Solidarité!I140</f>
        <v>0</v>
      </c>
      <c r="G146" s="8">
        <f>DT!O140</f>
        <v>-491835.95454545453</v>
      </c>
      <c r="H146" s="221">
        <f>Effort!K140+Aide!I140+Taux!J140</f>
        <v>0</v>
      </c>
      <c r="I146" s="289">
        <f t="shared" si="7"/>
        <v>-1225983.3388512894</v>
      </c>
      <c r="J146" s="357">
        <f t="shared" si="8"/>
        <v>2942216.8803285761</v>
      </c>
      <c r="K146" s="456">
        <f t="shared" si="9"/>
        <v>1716233.5414772867</v>
      </c>
    </row>
    <row r="147" spans="1:11" x14ac:dyDescent="0.25">
      <c r="A147" s="38">
        <f>Données!A141</f>
        <v>5639</v>
      </c>
      <c r="B147" s="27" t="str">
        <f>Données!B141</f>
        <v>Lully</v>
      </c>
      <c r="C147" s="26">
        <f>Ecrêtage!C141</f>
        <v>52242.173114754092</v>
      </c>
      <c r="D147" s="12">
        <f>Données!Z141</f>
        <v>825</v>
      </c>
      <c r="E147" s="8">
        <f>Population!K144</f>
        <v>-106444.91951710259</v>
      </c>
      <c r="F147" s="221">
        <f>Solidarité!I141</f>
        <v>0</v>
      </c>
      <c r="G147" s="8">
        <f>DT!O141</f>
        <v>0</v>
      </c>
      <c r="H147" s="221">
        <f>Effort!K141+Aide!I141+Taux!J141</f>
        <v>0</v>
      </c>
      <c r="I147" s="289">
        <f t="shared" si="7"/>
        <v>-106444.91951710259</v>
      </c>
      <c r="J147" s="357">
        <f t="shared" si="8"/>
        <v>998791.1322200112</v>
      </c>
      <c r="K147" s="456">
        <f t="shared" si="9"/>
        <v>892346.21270290855</v>
      </c>
    </row>
    <row r="148" spans="1:11" x14ac:dyDescent="0.25">
      <c r="A148" s="38">
        <f>Données!A142</f>
        <v>5640</v>
      </c>
      <c r="B148" s="27" t="str">
        <f>Données!B142</f>
        <v>Lussy-sur-Morges</v>
      </c>
      <c r="C148" s="26">
        <f>Ecrêtage!C142</f>
        <v>57771.49271317829</v>
      </c>
      <c r="D148" s="12">
        <f>Données!Z142</f>
        <v>730</v>
      </c>
      <c r="E148" s="8">
        <f>Population!K145</f>
        <v>-94187.625754527136</v>
      </c>
      <c r="F148" s="221">
        <f>Solidarité!I142</f>
        <v>0</v>
      </c>
      <c r="G148" s="8">
        <f>DT!O142</f>
        <v>0</v>
      </c>
      <c r="H148" s="221">
        <f>Effort!K142+Aide!I142+Taux!J142</f>
        <v>0</v>
      </c>
      <c r="I148" s="289">
        <f t="shared" si="7"/>
        <v>-94187.625754527136</v>
      </c>
      <c r="J148" s="357">
        <f t="shared" si="8"/>
        <v>1104503.3385247814</v>
      </c>
      <c r="K148" s="456">
        <f t="shared" si="9"/>
        <v>1010315.7127702542</v>
      </c>
    </row>
    <row r="149" spans="1:11" x14ac:dyDescent="0.25">
      <c r="A149" s="38">
        <f>Données!A143</f>
        <v>5642</v>
      </c>
      <c r="B149" s="27" t="str">
        <f>Données!B143</f>
        <v>Morges</v>
      </c>
      <c r="C149" s="26">
        <f>Ecrêtage!C143</f>
        <v>980547.23447761196</v>
      </c>
      <c r="D149" s="12">
        <f>Données!Z143</f>
        <v>17530</v>
      </c>
      <c r="E149" s="8">
        <f>Population!K146</f>
        <v>-12831709.255533196</v>
      </c>
      <c r="F149" s="221">
        <f>Solidarité!I143</f>
        <v>0</v>
      </c>
      <c r="G149" s="8">
        <f>DT!O143</f>
        <v>-1305694.5931343283</v>
      </c>
      <c r="H149" s="221">
        <f>Effort!K143+Aide!I143+Taux!J143</f>
        <v>0</v>
      </c>
      <c r="I149" s="289">
        <f t="shared" si="7"/>
        <v>-14137403.848667525</v>
      </c>
      <c r="J149" s="357">
        <f t="shared" si="8"/>
        <v>18746576.26450279</v>
      </c>
      <c r="K149" s="456">
        <f t="shared" si="9"/>
        <v>4609172.4158352651</v>
      </c>
    </row>
    <row r="150" spans="1:11" x14ac:dyDescent="0.25">
      <c r="A150" s="38">
        <f>Données!A144</f>
        <v>5643</v>
      </c>
      <c r="B150" s="27" t="str">
        <f>Données!B144</f>
        <v>Préverenges</v>
      </c>
      <c r="C150" s="26">
        <f>Ecrêtage!C144</f>
        <v>252724.38943999997</v>
      </c>
      <c r="D150" s="12">
        <f>Données!Z144</f>
        <v>5209</v>
      </c>
      <c r="E150" s="8">
        <f>Population!K147</f>
        <v>-2013189.5372233395</v>
      </c>
      <c r="F150" s="221">
        <f>Solidarité!I144</f>
        <v>0</v>
      </c>
      <c r="G150" s="8">
        <f>DT!O144</f>
        <v>0</v>
      </c>
      <c r="H150" s="221">
        <f>Effort!K144+Aide!I144+Taux!J144</f>
        <v>0</v>
      </c>
      <c r="I150" s="289">
        <f t="shared" si="7"/>
        <v>-2013189.5372233395</v>
      </c>
      <c r="J150" s="357">
        <f t="shared" si="8"/>
        <v>4831707.1059416011</v>
      </c>
      <c r="K150" s="456">
        <f t="shared" si="9"/>
        <v>2818517.5687182616</v>
      </c>
    </row>
    <row r="151" spans="1:11" x14ac:dyDescent="0.25">
      <c r="A151" s="38">
        <f>Données!A145</f>
        <v>5645</v>
      </c>
      <c r="B151" s="27" t="str">
        <f>Données!B145</f>
        <v>Romanel-sur-Morges</v>
      </c>
      <c r="C151" s="26">
        <f>Ecrêtage!C145</f>
        <v>23768.997321428575</v>
      </c>
      <c r="D151" s="12">
        <f>Données!Z145</f>
        <v>458</v>
      </c>
      <c r="E151" s="8">
        <f>Population!K148</f>
        <v>-59093.058350100589</v>
      </c>
      <c r="F151" s="221">
        <f>Solidarité!I145</f>
        <v>0</v>
      </c>
      <c r="G151" s="8">
        <f>DT!O145</f>
        <v>-27242.266071428552</v>
      </c>
      <c r="H151" s="221">
        <f>Effort!K145+Aide!I145+Taux!J145</f>
        <v>0</v>
      </c>
      <c r="I151" s="289">
        <f t="shared" si="7"/>
        <v>-86335.324421529134</v>
      </c>
      <c r="J151" s="357">
        <f t="shared" si="8"/>
        <v>454427.18652336072</v>
      </c>
      <c r="K151" s="456">
        <f t="shared" si="9"/>
        <v>368091.86210183159</v>
      </c>
    </row>
    <row r="152" spans="1:11" x14ac:dyDescent="0.25">
      <c r="A152" s="38">
        <f>Données!A146</f>
        <v>5646</v>
      </c>
      <c r="B152" s="27" t="str">
        <f>Données!B146</f>
        <v>Saint-Prex</v>
      </c>
      <c r="C152" s="26">
        <f>Ecrêtage!C146</f>
        <v>515578.26330508466</v>
      </c>
      <c r="D152" s="12">
        <f>Données!Z146</f>
        <v>5876</v>
      </c>
      <c r="E152" s="8">
        <f>Population!K149</f>
        <v>-2426273.239436619</v>
      </c>
      <c r="F152" s="221">
        <f>Solidarité!I146</f>
        <v>0</v>
      </c>
      <c r="G152" s="8">
        <f>DT!O146</f>
        <v>0</v>
      </c>
      <c r="H152" s="221">
        <f>Effort!K146+Aide!I146+Taux!J146</f>
        <v>0</v>
      </c>
      <c r="I152" s="289">
        <f t="shared" si="7"/>
        <v>-2426273.239436619</v>
      </c>
      <c r="J152" s="357">
        <f t="shared" si="8"/>
        <v>9857074.5941860601</v>
      </c>
      <c r="K152" s="456">
        <f t="shared" si="9"/>
        <v>7430801.3547494411</v>
      </c>
    </row>
    <row r="153" spans="1:11" x14ac:dyDescent="0.25">
      <c r="A153" s="38">
        <f>Données!A147</f>
        <v>5648</v>
      </c>
      <c r="B153" s="27" t="str">
        <f>Données!B147</f>
        <v>Saint-Sulpice</v>
      </c>
      <c r="C153" s="26">
        <f>Ecrêtage!C147</f>
        <v>417040.44568181824</v>
      </c>
      <c r="D153" s="12">
        <f>Données!Z147</f>
        <v>5036</v>
      </c>
      <c r="E153" s="8">
        <f>Population!K150</f>
        <v>-1906047.8873239432</v>
      </c>
      <c r="F153" s="221">
        <f>Solidarité!I147</f>
        <v>0</v>
      </c>
      <c r="G153" s="8">
        <f>DT!O147</f>
        <v>-1532.5759090905776</v>
      </c>
      <c r="H153" s="221">
        <f>Effort!K147+Aide!I147+Taux!J147</f>
        <v>0</v>
      </c>
      <c r="I153" s="289">
        <f t="shared" si="7"/>
        <v>-1907580.4632330337</v>
      </c>
      <c r="J153" s="357">
        <f t="shared" si="8"/>
        <v>7973180.9396428848</v>
      </c>
      <c r="K153" s="456">
        <f t="shared" si="9"/>
        <v>6065600.4764098506</v>
      </c>
    </row>
    <row r="154" spans="1:11" x14ac:dyDescent="0.25">
      <c r="A154" s="38">
        <f>Données!A148</f>
        <v>5649</v>
      </c>
      <c r="B154" s="27" t="str">
        <f>Données!B148</f>
        <v>Tolochenaz</v>
      </c>
      <c r="C154" s="26">
        <f>Ecrêtage!C148</f>
        <v>173464.05234375002</v>
      </c>
      <c r="D154" s="12">
        <f>Données!Z148</f>
        <v>1890</v>
      </c>
      <c r="E154" s="8">
        <f>Population!K151</f>
        <v>-450552.31388329971</v>
      </c>
      <c r="F154" s="221">
        <f>Solidarité!I148</f>
        <v>0</v>
      </c>
      <c r="G154" s="8">
        <f>DT!O148</f>
        <v>0</v>
      </c>
      <c r="H154" s="221">
        <f>Effort!K148+Aide!I148+Taux!J148</f>
        <v>0</v>
      </c>
      <c r="I154" s="289">
        <f t="shared" si="7"/>
        <v>-450552.31388329971</v>
      </c>
      <c r="J154" s="357">
        <f t="shared" si="8"/>
        <v>3316369.6475511915</v>
      </c>
      <c r="K154" s="456">
        <f t="shared" si="9"/>
        <v>2865817.333667892</v>
      </c>
    </row>
    <row r="155" spans="1:11" x14ac:dyDescent="0.25">
      <c r="A155" s="38">
        <f>Données!A149</f>
        <v>5650</v>
      </c>
      <c r="B155" s="27" t="str">
        <f>Données!B149</f>
        <v>Vaux-sur-Morges</v>
      </c>
      <c r="C155" s="26">
        <f>Ecrêtage!C149</f>
        <v>90407.863928571445</v>
      </c>
      <c r="D155" s="12">
        <f>Données!Z149</f>
        <v>185</v>
      </c>
      <c r="E155" s="8">
        <f>Population!K152</f>
        <v>-23869.466800804825</v>
      </c>
      <c r="F155" s="221">
        <f>Solidarité!I149</f>
        <v>0</v>
      </c>
      <c r="G155" s="8">
        <f>DT!O149</f>
        <v>0</v>
      </c>
      <c r="H155" s="221">
        <f>Effort!K149+Aide!I149+Taux!J149</f>
        <v>-969556.44310803758</v>
      </c>
      <c r="I155" s="289">
        <f t="shared" si="7"/>
        <v>-993425.90990884241</v>
      </c>
      <c r="J155" s="357">
        <f t="shared" si="8"/>
        <v>1728461.2678048934</v>
      </c>
      <c r="K155" s="456">
        <f t="shared" si="9"/>
        <v>735035.35789605102</v>
      </c>
    </row>
    <row r="156" spans="1:11" x14ac:dyDescent="0.25">
      <c r="A156" s="38">
        <f>Données!A150</f>
        <v>5651</v>
      </c>
      <c r="B156" s="27" t="str">
        <f>Données!B150</f>
        <v>Villars-Sainte-Croix</v>
      </c>
      <c r="C156" s="26">
        <f>Ecrêtage!C150</f>
        <v>56008.147272727285</v>
      </c>
      <c r="D156" s="12">
        <f>Données!Z150</f>
        <v>978</v>
      </c>
      <c r="E156" s="8">
        <f>Population!K153</f>
        <v>-126185.61368209253</v>
      </c>
      <c r="F156" s="221">
        <f>Solidarité!I150</f>
        <v>0</v>
      </c>
      <c r="G156" s="8">
        <f>DT!O150</f>
        <v>-97582.366363636291</v>
      </c>
      <c r="H156" s="221">
        <f>Effort!K150+Aide!I150+Taux!J150</f>
        <v>0</v>
      </c>
      <c r="I156" s="289">
        <f t="shared" si="7"/>
        <v>-223767.98004572882</v>
      </c>
      <c r="J156" s="357">
        <f t="shared" si="8"/>
        <v>1070790.8475628451</v>
      </c>
      <c r="K156" s="456">
        <f t="shared" si="9"/>
        <v>847022.86751711625</v>
      </c>
    </row>
    <row r="157" spans="1:11" x14ac:dyDescent="0.25">
      <c r="A157" s="38">
        <f>Données!A151</f>
        <v>5652</v>
      </c>
      <c r="B157" s="27" t="str">
        <f>Données!B151</f>
        <v>Villars-sous-Yens</v>
      </c>
      <c r="C157" s="26">
        <f>Ecrêtage!C151</f>
        <v>25957.212521929825</v>
      </c>
      <c r="D157" s="12">
        <f>Données!Z151</f>
        <v>615</v>
      </c>
      <c r="E157" s="8">
        <f>Population!K154</f>
        <v>-79349.849094567384</v>
      </c>
      <c r="F157" s="221">
        <f>Solidarité!I151</f>
        <v>-88931.020951684448</v>
      </c>
      <c r="G157" s="8">
        <f>DT!O151</f>
        <v>-188981.47486842104</v>
      </c>
      <c r="H157" s="221">
        <f>Effort!K151+Aide!I151+Taux!J151</f>
        <v>0</v>
      </c>
      <c r="I157" s="289">
        <f t="shared" si="7"/>
        <v>-357262.3449146729</v>
      </c>
      <c r="J157" s="357">
        <f t="shared" si="8"/>
        <v>496262.54304363608</v>
      </c>
      <c r="K157" s="456">
        <f t="shared" si="9"/>
        <v>139000.19812896318</v>
      </c>
    </row>
    <row r="158" spans="1:11" x14ac:dyDescent="0.25">
      <c r="A158" s="38">
        <f>Données!A152</f>
        <v>5653</v>
      </c>
      <c r="B158" s="27" t="str">
        <f>Données!B152</f>
        <v>Vufflens-le-Château</v>
      </c>
      <c r="C158" s="26">
        <f>Ecrêtage!C152</f>
        <v>71346.970598290602</v>
      </c>
      <c r="D158" s="12">
        <f>Données!Z152</f>
        <v>884</v>
      </c>
      <c r="E158" s="8">
        <f>Population!K155</f>
        <v>-114057.3440643863</v>
      </c>
      <c r="F158" s="221">
        <f>Solidarité!I152</f>
        <v>0</v>
      </c>
      <c r="G158" s="8">
        <f>DT!O152</f>
        <v>0</v>
      </c>
      <c r="H158" s="221">
        <f>Effort!K152+Aide!I152+Taux!J152</f>
        <v>0</v>
      </c>
      <c r="I158" s="289">
        <f t="shared" si="7"/>
        <v>-114057.3440643863</v>
      </c>
      <c r="J158" s="357">
        <f t="shared" si="8"/>
        <v>1364045.8904304127</v>
      </c>
      <c r="K158" s="456">
        <f t="shared" si="9"/>
        <v>1249988.5463660264</v>
      </c>
    </row>
    <row r="159" spans="1:11" x14ac:dyDescent="0.25">
      <c r="A159" s="38">
        <f>Données!A153</f>
        <v>5654</v>
      </c>
      <c r="B159" s="27" t="str">
        <f>Données!B153</f>
        <v>Vullierens</v>
      </c>
      <c r="C159" s="26">
        <f>Ecrêtage!C153</f>
        <v>20741.31131578947</v>
      </c>
      <c r="D159" s="12">
        <f>Données!Z153</f>
        <v>562</v>
      </c>
      <c r="E159" s="8">
        <f>Population!K156</f>
        <v>-72511.569416498984</v>
      </c>
      <c r="F159" s="221">
        <f>Solidarité!I153</f>
        <v>-150036.24112848757</v>
      </c>
      <c r="G159" s="8">
        <f>DT!O153</f>
        <v>-44623.882105263183</v>
      </c>
      <c r="H159" s="221">
        <f>Effort!K153+Aide!I153+Taux!J153</f>
        <v>0</v>
      </c>
      <c r="I159" s="289">
        <f t="shared" si="7"/>
        <v>-267171.69265024975</v>
      </c>
      <c r="J159" s="357">
        <f t="shared" si="8"/>
        <v>396542.42114546476</v>
      </c>
      <c r="K159" s="456">
        <f t="shared" si="9"/>
        <v>129370.72849521501</v>
      </c>
    </row>
    <row r="160" spans="1:11" x14ac:dyDescent="0.25">
      <c r="A160" s="38">
        <f>Données!A154</f>
        <v>5655</v>
      </c>
      <c r="B160" s="27" t="str">
        <f>Données!B154</f>
        <v>Yens</v>
      </c>
      <c r="C160" s="26">
        <f>Ecrêtage!C154</f>
        <v>81488.710349650341</v>
      </c>
      <c r="D160" s="12">
        <f>Données!Z154</f>
        <v>1513</v>
      </c>
      <c r="E160" s="8">
        <f>Population!K157</f>
        <v>-314354.42655935604</v>
      </c>
      <c r="F160" s="221">
        <f>Solidarité!I154</f>
        <v>0</v>
      </c>
      <c r="G160" s="8">
        <f>DT!O154</f>
        <v>0</v>
      </c>
      <c r="H160" s="221">
        <f>Effort!K154+Aide!I154+Taux!J154</f>
        <v>0</v>
      </c>
      <c r="I160" s="289">
        <f t="shared" si="7"/>
        <v>-314354.42655935604</v>
      </c>
      <c r="J160" s="357">
        <f t="shared" si="8"/>
        <v>1557940.5759882107</v>
      </c>
      <c r="K160" s="456">
        <f t="shared" si="9"/>
        <v>1243586.1494288547</v>
      </c>
    </row>
    <row r="161" spans="1:11" x14ac:dyDescent="0.25">
      <c r="A161" s="38">
        <f>Données!A155</f>
        <v>5656</v>
      </c>
      <c r="B161" s="27" t="str">
        <f>Données!B155</f>
        <v>Hautemorges</v>
      </c>
      <c r="C161" s="26">
        <f>Ecrêtage!C155</f>
        <v>168934.99020689653</v>
      </c>
      <c r="D161" s="12">
        <f>Données!Z155</f>
        <v>4257</v>
      </c>
      <c r="E161" s="8">
        <f>Population!K158</f>
        <v>-1500292.7565392351</v>
      </c>
      <c r="F161" s="221">
        <f>Solidarité!I155</f>
        <v>-785798.99830550759</v>
      </c>
      <c r="G161" s="8">
        <f>DT!O155</f>
        <v>-984949.56610344851</v>
      </c>
      <c r="H161" s="221">
        <f>Effort!K155+Aide!I155+Taux!J155</f>
        <v>0</v>
      </c>
      <c r="I161" s="289">
        <f t="shared" si="7"/>
        <v>-3271041.3209481915</v>
      </c>
      <c r="J161" s="357">
        <f t="shared" si="8"/>
        <v>3229780.8471652227</v>
      </c>
      <c r="K161" s="456">
        <f t="shared" si="9"/>
        <v>-41260.473782968707</v>
      </c>
    </row>
    <row r="162" spans="1:11" x14ac:dyDescent="0.25">
      <c r="A162" s="38">
        <f>Données!A156</f>
        <v>5661</v>
      </c>
      <c r="B162" s="27" t="str">
        <f>Données!B156</f>
        <v>Boulens</v>
      </c>
      <c r="C162" s="26">
        <f>Ecrêtage!C156</f>
        <v>11008.776923076925</v>
      </c>
      <c r="D162" s="12">
        <f>Données!Z156</f>
        <v>383</v>
      </c>
      <c r="E162" s="8">
        <f>Population!K159</f>
        <v>-49416.247484909443</v>
      </c>
      <c r="F162" s="221">
        <f>Solidarité!I156</f>
        <v>-154376.78826487355</v>
      </c>
      <c r="G162" s="8">
        <f>DT!O156</f>
        <v>-14625.75576923076</v>
      </c>
      <c r="H162" s="221">
        <f>Effort!K156+Aide!I156+Taux!J156</f>
        <v>0</v>
      </c>
      <c r="I162" s="289">
        <f t="shared" si="7"/>
        <v>-218418.79151901376</v>
      </c>
      <c r="J162" s="357">
        <f t="shared" si="8"/>
        <v>210471.12154398917</v>
      </c>
      <c r="K162" s="456">
        <f t="shared" si="9"/>
        <v>-7947.6699750245898</v>
      </c>
    </row>
    <row r="163" spans="1:11" x14ac:dyDescent="0.25">
      <c r="A163" s="38">
        <f>Données!A157</f>
        <v>5663</v>
      </c>
      <c r="B163" s="27" t="str">
        <f>Données!B157</f>
        <v>Bussy-sur-Moudon</v>
      </c>
      <c r="C163" s="26">
        <f>Ecrêtage!C157</f>
        <v>6460.7661146496821</v>
      </c>
      <c r="D163" s="12">
        <f>Données!Z157</f>
        <v>246</v>
      </c>
      <c r="E163" s="8">
        <f>Population!K160</f>
        <v>-31739.939637826956</v>
      </c>
      <c r="F163" s="221">
        <f>Solidarité!I157</f>
        <v>-134548.56616332554</v>
      </c>
      <c r="G163" s="8">
        <f>DT!O157</f>
        <v>0</v>
      </c>
      <c r="H163" s="221">
        <f>Effort!K157+Aide!I157+Taux!J157</f>
        <v>0</v>
      </c>
      <c r="I163" s="289">
        <f t="shared" si="7"/>
        <v>-166288.5058011525</v>
      </c>
      <c r="J163" s="357">
        <f t="shared" si="8"/>
        <v>123520.05129046235</v>
      </c>
      <c r="K163" s="456">
        <f t="shared" si="9"/>
        <v>-42768.45451069015</v>
      </c>
    </row>
    <row r="164" spans="1:11" x14ac:dyDescent="0.25">
      <c r="A164" s="38">
        <f>Données!A158</f>
        <v>5665</v>
      </c>
      <c r="B164" s="27" t="str">
        <f>Données!B158</f>
        <v>Chavannes-sur-Moudon</v>
      </c>
      <c r="C164" s="26">
        <f>Ecrêtage!C158</f>
        <v>5786.5608571428584</v>
      </c>
      <c r="D164" s="12">
        <f>Données!Z158</f>
        <v>218</v>
      </c>
      <c r="E164" s="8">
        <f>Population!K161</f>
        <v>-28127.263581488929</v>
      </c>
      <c r="F164" s="221">
        <f>Solidarité!I158</f>
        <v>-93612.788008820251</v>
      </c>
      <c r="G164" s="8">
        <f>DT!O158</f>
        <v>-25176.329357142855</v>
      </c>
      <c r="H164" s="221">
        <f>Effort!K158+Aide!I158+Taux!J158</f>
        <v>0</v>
      </c>
      <c r="I164" s="289">
        <f t="shared" si="7"/>
        <v>-146916.38094745204</v>
      </c>
      <c r="J164" s="357">
        <f t="shared" si="8"/>
        <v>110630.2691021378</v>
      </c>
      <c r="K164" s="456">
        <f t="shared" si="9"/>
        <v>-36286.111845314241</v>
      </c>
    </row>
    <row r="165" spans="1:11" x14ac:dyDescent="0.25">
      <c r="A165" s="38">
        <f>Données!A159</f>
        <v>5669</v>
      </c>
      <c r="B165" s="27" t="str">
        <f>Données!B159</f>
        <v>Curtilles</v>
      </c>
      <c r="C165" s="26">
        <f>Ecrêtage!C159</f>
        <v>8428.0279452054765</v>
      </c>
      <c r="D165" s="12">
        <f>Données!Z159</f>
        <v>294</v>
      </c>
      <c r="E165" s="8">
        <f>Population!K162</f>
        <v>-37933.098591549286</v>
      </c>
      <c r="F165" s="221">
        <f>Solidarité!I159</f>
        <v>-124008.44158133055</v>
      </c>
      <c r="G165" s="8">
        <f>DT!O159</f>
        <v>0</v>
      </c>
      <c r="H165" s="221">
        <f>Effort!K159+Aide!I159+Taux!J159</f>
        <v>0</v>
      </c>
      <c r="I165" s="289">
        <f t="shared" si="7"/>
        <v>-161941.54017287985</v>
      </c>
      <c r="J165" s="357">
        <f t="shared" si="8"/>
        <v>161131.1144213549</v>
      </c>
      <c r="K165" s="456">
        <f t="shared" si="9"/>
        <v>-810.42575152494828</v>
      </c>
    </row>
    <row r="166" spans="1:11" x14ac:dyDescent="0.25">
      <c r="A166" s="38">
        <f>Données!A160</f>
        <v>5671</v>
      </c>
      <c r="B166" s="27" t="str">
        <f>Données!B160</f>
        <v>Dompierre</v>
      </c>
      <c r="C166" s="26">
        <f>Ecrêtage!C160</f>
        <v>6751.3758974358971</v>
      </c>
      <c r="D166" s="12">
        <f>Données!Z160</f>
        <v>248</v>
      </c>
      <c r="E166" s="8">
        <f>Population!K163</f>
        <v>-31997.987927565384</v>
      </c>
      <c r="F166" s="221">
        <f>Solidarité!I160</f>
        <v>-128130.76762809388</v>
      </c>
      <c r="G166" s="8">
        <f>DT!O160</f>
        <v>-10846.212692307694</v>
      </c>
      <c r="H166" s="221">
        <f>Effort!K160+Aide!I160+Taux!J160</f>
        <v>0</v>
      </c>
      <c r="I166" s="289">
        <f t="shared" si="7"/>
        <v>-170974.96824796696</v>
      </c>
      <c r="J166" s="357">
        <f t="shared" si="8"/>
        <v>129076.06966943902</v>
      </c>
      <c r="K166" s="456">
        <f t="shared" si="9"/>
        <v>-41898.898578527936</v>
      </c>
    </row>
    <row r="167" spans="1:11" x14ac:dyDescent="0.25">
      <c r="A167" s="38">
        <f>Données!A161</f>
        <v>5673</v>
      </c>
      <c r="B167" s="27" t="str">
        <f>Données!B161</f>
        <v>Hermenches</v>
      </c>
      <c r="C167" s="26">
        <f>Ecrêtage!C161</f>
        <v>9675.0074829931946</v>
      </c>
      <c r="D167" s="12">
        <f>Données!Z161</f>
        <v>374</v>
      </c>
      <c r="E167" s="8">
        <f>Population!K164</f>
        <v>-48255.030181086506</v>
      </c>
      <c r="F167" s="221">
        <f>Solidarité!I161</f>
        <v>-182512.9880021509</v>
      </c>
      <c r="G167" s="8">
        <f>DT!O161</f>
        <v>-74444.199489795938</v>
      </c>
      <c r="H167" s="221">
        <f>Effort!K161+Aide!I161+Taux!J161</f>
        <v>0</v>
      </c>
      <c r="I167" s="289">
        <f t="shared" si="7"/>
        <v>-305212.21767303336</v>
      </c>
      <c r="J167" s="357">
        <f t="shared" si="8"/>
        <v>184971.47231891789</v>
      </c>
      <c r="K167" s="456">
        <f t="shared" si="9"/>
        <v>-120240.74535411547</v>
      </c>
    </row>
    <row r="168" spans="1:11" x14ac:dyDescent="0.25">
      <c r="A168" s="38">
        <f>Données!A162</f>
        <v>5674</v>
      </c>
      <c r="B168" s="27" t="str">
        <f>Données!B162</f>
        <v>Lovatens</v>
      </c>
      <c r="C168" s="26">
        <f>Ecrêtage!C162</f>
        <v>3538.9463999999998</v>
      </c>
      <c r="D168" s="12">
        <f>Données!Z162</f>
        <v>143</v>
      </c>
      <c r="E168" s="8">
        <f>Population!K165</f>
        <v>-18450.452716297783</v>
      </c>
      <c r="F168" s="221">
        <f>Solidarité!I162</f>
        <v>-76266.065525956627</v>
      </c>
      <c r="G168" s="8">
        <f>DT!O162</f>
        <v>-19204.821600000003</v>
      </c>
      <c r="H168" s="221">
        <f>Effort!K162+Aide!I162+Taux!J162</f>
        <v>0</v>
      </c>
      <c r="I168" s="289">
        <f t="shared" si="7"/>
        <v>-113921.33984225441</v>
      </c>
      <c r="J168" s="357">
        <f t="shared" si="8"/>
        <v>67659.288865295704</v>
      </c>
      <c r="K168" s="456">
        <f t="shared" si="9"/>
        <v>-46262.050976958708</v>
      </c>
    </row>
    <row r="169" spans="1:11" x14ac:dyDescent="0.25">
      <c r="A169" s="38">
        <f>Données!A163</f>
        <v>5675</v>
      </c>
      <c r="B169" s="27" t="str">
        <f>Données!B163</f>
        <v>Lucens</v>
      </c>
      <c r="C169" s="26">
        <f>Ecrêtage!C163</f>
        <v>92803.818404185746</v>
      </c>
      <c r="D169" s="12">
        <f>Données!Z163</f>
        <v>4420</v>
      </c>
      <c r="E169" s="8">
        <f>Population!K166</f>
        <v>-1584416.4989939635</v>
      </c>
      <c r="F169" s="221">
        <f>Solidarité!I163</f>
        <v>-2344367.7064232612</v>
      </c>
      <c r="G169" s="8">
        <f>DT!O163</f>
        <v>-665085.33957488555</v>
      </c>
      <c r="H169" s="221">
        <f>Effort!K163+Aide!I163+Taux!J163</f>
        <v>0</v>
      </c>
      <c r="I169" s="289">
        <f t="shared" si="7"/>
        <v>-4593869.5449921098</v>
      </c>
      <c r="J169" s="357">
        <f t="shared" si="8"/>
        <v>1774268.2842586285</v>
      </c>
      <c r="K169" s="456">
        <f t="shared" si="9"/>
        <v>-2819601.2607334815</v>
      </c>
    </row>
    <row r="170" spans="1:11" x14ac:dyDescent="0.25">
      <c r="A170" s="38">
        <f>Données!A164</f>
        <v>5678</v>
      </c>
      <c r="B170" s="27" t="str">
        <f>Données!B164</f>
        <v>Moudon</v>
      </c>
      <c r="C170" s="26">
        <f>Ecrêtage!C164</f>
        <v>130675.7416551724</v>
      </c>
      <c r="D170" s="12">
        <f>Données!Z164</f>
        <v>6132</v>
      </c>
      <c r="E170" s="8">
        <f>Population!K167</f>
        <v>-2584818.1086519109</v>
      </c>
      <c r="F170" s="221">
        <f>Solidarité!I164</f>
        <v>-3498791.1805632212</v>
      </c>
      <c r="G170" s="8">
        <f>DT!O164</f>
        <v>-1338307.5500689656</v>
      </c>
      <c r="H170" s="221">
        <f>Effort!K164+Aide!I164+Taux!J164</f>
        <v>444663.39583530941</v>
      </c>
      <c r="I170" s="289">
        <f t="shared" si="7"/>
        <v>-6977253.4434487885</v>
      </c>
      <c r="J170" s="357">
        <f t="shared" si="8"/>
        <v>2498322.0294984025</v>
      </c>
      <c r="K170" s="456">
        <f t="shared" si="9"/>
        <v>-4478931.4139503855</v>
      </c>
    </row>
    <row r="171" spans="1:11" x14ac:dyDescent="0.25">
      <c r="A171" s="38">
        <f>Données!A165</f>
        <v>5680</v>
      </c>
      <c r="B171" s="27" t="str">
        <f>Données!B165</f>
        <v>Ogens</v>
      </c>
      <c r="C171" s="26">
        <f>Ecrêtage!C165</f>
        <v>10096.830811965814</v>
      </c>
      <c r="D171" s="12">
        <f>Données!Z165</f>
        <v>324</v>
      </c>
      <c r="E171" s="8">
        <f>Population!K168</f>
        <v>-41803.822937625744</v>
      </c>
      <c r="F171" s="221">
        <f>Solidarité!I165</f>
        <v>-136357.47495053528</v>
      </c>
      <c r="G171" s="8">
        <f>DT!O165</f>
        <v>-15319.892019230756</v>
      </c>
      <c r="H171" s="221">
        <f>Effort!K165+Aide!I165+Taux!J165</f>
        <v>0</v>
      </c>
      <c r="I171" s="289">
        <f t="shared" si="7"/>
        <v>-193481.18990739179</v>
      </c>
      <c r="J171" s="357">
        <f t="shared" si="8"/>
        <v>193036.094734527</v>
      </c>
      <c r="K171" s="456">
        <f t="shared" si="9"/>
        <v>-445.0951728647924</v>
      </c>
    </row>
    <row r="172" spans="1:11" x14ac:dyDescent="0.25">
      <c r="A172" s="38">
        <f>Données!A166</f>
        <v>5683</v>
      </c>
      <c r="B172" s="27" t="str">
        <f>Données!B166</f>
        <v>Prévonloup</v>
      </c>
      <c r="C172" s="26">
        <f>Ecrêtage!C166</f>
        <v>5181.5891034482765</v>
      </c>
      <c r="D172" s="12">
        <f>Données!Z166</f>
        <v>220</v>
      </c>
      <c r="E172" s="8">
        <f>Population!K169</f>
        <v>-28385.311871227357</v>
      </c>
      <c r="F172" s="221">
        <f>Solidarité!I166</f>
        <v>-115164.49736494022</v>
      </c>
      <c r="G172" s="8">
        <f>DT!O166</f>
        <v>-149912.46537931034</v>
      </c>
      <c r="H172" s="221">
        <f>Effort!K166+Aide!I166+Taux!J166</f>
        <v>0</v>
      </c>
      <c r="I172" s="289">
        <f t="shared" si="7"/>
        <v>-293462.27461547789</v>
      </c>
      <c r="J172" s="357">
        <f t="shared" si="8"/>
        <v>99064.126524062522</v>
      </c>
      <c r="K172" s="456">
        <f t="shared" si="9"/>
        <v>-194398.14809141535</v>
      </c>
    </row>
    <row r="173" spans="1:11" x14ac:dyDescent="0.25">
      <c r="A173" s="38">
        <f>Données!A167</f>
        <v>5684</v>
      </c>
      <c r="B173" s="27" t="str">
        <f>Données!B167</f>
        <v>Rossenges</v>
      </c>
      <c r="C173" s="26">
        <f>Ecrêtage!C167</f>
        <v>7033.3142000000007</v>
      </c>
      <c r="D173" s="12">
        <f>Données!Z167</f>
        <v>93</v>
      </c>
      <c r="E173" s="8">
        <f>Population!K170</f>
        <v>-11999.245472837019</v>
      </c>
      <c r="F173" s="221">
        <f>Solidarité!I167</f>
        <v>0</v>
      </c>
      <c r="G173" s="8">
        <f>DT!O167</f>
        <v>0</v>
      </c>
      <c r="H173" s="221">
        <f>Effort!K167+Aide!I167+Taux!J167</f>
        <v>0</v>
      </c>
      <c r="I173" s="289">
        <f t="shared" si="7"/>
        <v>-11999.245472837019</v>
      </c>
      <c r="J173" s="357">
        <f t="shared" si="8"/>
        <v>134466.30249562024</v>
      </c>
      <c r="K173" s="456">
        <f t="shared" si="9"/>
        <v>122467.05702278322</v>
      </c>
    </row>
    <row r="174" spans="1:11" x14ac:dyDescent="0.25">
      <c r="A174" s="38">
        <f>Données!A168</f>
        <v>5688</v>
      </c>
      <c r="B174" s="27" t="str">
        <f>Données!B168</f>
        <v>Syens</v>
      </c>
      <c r="C174" s="26">
        <f>Ecrêtage!C168</f>
        <v>5277.0104615384616</v>
      </c>
      <c r="D174" s="12">
        <f>Données!Z168</f>
        <v>164</v>
      </c>
      <c r="E174" s="8">
        <f>Population!K171</f>
        <v>-21159.959758551304</v>
      </c>
      <c r="F174" s="221">
        <f>Solidarité!I168</f>
        <v>-45123.217387833945</v>
      </c>
      <c r="G174" s="8">
        <f>DT!O168</f>
        <v>-18131.187230769232</v>
      </c>
      <c r="H174" s="221">
        <f>Effort!K168+Aide!I168+Taux!J168</f>
        <v>0</v>
      </c>
      <c r="I174" s="289">
        <f t="shared" si="7"/>
        <v>-84414.364377154474</v>
      </c>
      <c r="J174" s="357">
        <f t="shared" si="8"/>
        <v>100888.43819799538</v>
      </c>
      <c r="K174" s="456">
        <f t="shared" si="9"/>
        <v>16474.073820840902</v>
      </c>
    </row>
    <row r="175" spans="1:11" x14ac:dyDescent="0.25">
      <c r="A175" s="38">
        <f>Données!A169</f>
        <v>5690</v>
      </c>
      <c r="B175" s="27" t="str">
        <f>Données!B169</f>
        <v>Villars-le-Comte</v>
      </c>
      <c r="C175" s="26">
        <f>Ecrêtage!C169</f>
        <v>4331.3836666666666</v>
      </c>
      <c r="D175" s="12">
        <f>Données!Z169</f>
        <v>138</v>
      </c>
      <c r="E175" s="8">
        <f>Population!K172</f>
        <v>-17805.331991951705</v>
      </c>
      <c r="F175" s="221">
        <f>Solidarité!I169</f>
        <v>-46170.871310672621</v>
      </c>
      <c r="G175" s="8">
        <f>DT!O169</f>
        <v>0</v>
      </c>
      <c r="H175" s="221">
        <f>Effort!K169+Aide!I169+Taux!J169</f>
        <v>0</v>
      </c>
      <c r="I175" s="289">
        <f t="shared" si="7"/>
        <v>-63976.20330262433</v>
      </c>
      <c r="J175" s="357">
        <f t="shared" si="8"/>
        <v>82809.487786936734</v>
      </c>
      <c r="K175" s="456">
        <f t="shared" si="9"/>
        <v>18833.284484312404</v>
      </c>
    </row>
    <row r="176" spans="1:11" x14ac:dyDescent="0.25">
      <c r="A176" s="38">
        <f>Données!A170</f>
        <v>5692</v>
      </c>
      <c r="B176" s="27" t="str">
        <f>Données!B170</f>
        <v>Vucherens</v>
      </c>
      <c r="C176" s="26">
        <f>Ecrêtage!C170</f>
        <v>18948.300519480523</v>
      </c>
      <c r="D176" s="12">
        <f>Données!Z170</f>
        <v>637</v>
      </c>
      <c r="E176" s="8">
        <f>Population!K173</f>
        <v>-82188.38028169013</v>
      </c>
      <c r="F176" s="221">
        <f>Solidarité!I170</f>
        <v>-282643.41897056514</v>
      </c>
      <c r="G176" s="8">
        <f>DT!O170</f>
        <v>-98200.721493506469</v>
      </c>
      <c r="H176" s="221">
        <f>Effort!K170+Aide!I170+Taux!J170</f>
        <v>0</v>
      </c>
      <c r="I176" s="289">
        <f t="shared" si="7"/>
        <v>-463032.52074576169</v>
      </c>
      <c r="J176" s="357">
        <f t="shared" si="8"/>
        <v>362262.77356276585</v>
      </c>
      <c r="K176" s="456">
        <f t="shared" si="9"/>
        <v>-100769.74718299584</v>
      </c>
    </row>
    <row r="177" spans="1:11" x14ac:dyDescent="0.25">
      <c r="A177" s="38">
        <f>Données!A171</f>
        <v>5693</v>
      </c>
      <c r="B177" s="27" t="str">
        <f>Données!B171</f>
        <v>Montanaire</v>
      </c>
      <c r="C177" s="26">
        <f>Ecrêtage!C171</f>
        <v>80078.044999999984</v>
      </c>
      <c r="D177" s="12">
        <f>Données!Z171</f>
        <v>2820</v>
      </c>
      <c r="E177" s="8">
        <f>Population!K174</f>
        <v>-786531.18712273636</v>
      </c>
      <c r="F177" s="221">
        <f>Solidarité!I171</f>
        <v>-1108640.4073897721</v>
      </c>
      <c r="G177" s="8">
        <f>DT!O171</f>
        <v>-644175.44625000015</v>
      </c>
      <c r="H177" s="221">
        <f>Effort!K171+Aide!I171+Taux!J171</f>
        <v>0</v>
      </c>
      <c r="I177" s="289">
        <f t="shared" si="7"/>
        <v>-2539347.0407625088</v>
      </c>
      <c r="J177" s="357">
        <f t="shared" si="8"/>
        <v>1530970.7935738014</v>
      </c>
      <c r="K177" s="456">
        <f t="shared" si="9"/>
        <v>-1008376.2471887073</v>
      </c>
    </row>
    <row r="178" spans="1:11" x14ac:dyDescent="0.25">
      <c r="A178" s="38">
        <f>Données!A172</f>
        <v>5701</v>
      </c>
      <c r="B178" s="27" t="str">
        <f>Données!B172</f>
        <v>Arnex-sur-Nyon</v>
      </c>
      <c r="C178" s="26">
        <f>Ecrêtage!C172</f>
        <v>12996.826285714285</v>
      </c>
      <c r="D178" s="12">
        <f>Données!Z172</f>
        <v>240</v>
      </c>
      <c r="E178" s="8">
        <f>Population!K175</f>
        <v>-30965.794768611664</v>
      </c>
      <c r="F178" s="221">
        <f>Solidarité!I172</f>
        <v>0</v>
      </c>
      <c r="G178" s="8">
        <f>DT!O172</f>
        <v>0</v>
      </c>
      <c r="H178" s="221">
        <f>Effort!K172+Aide!I172+Taux!J172</f>
        <v>0</v>
      </c>
      <c r="I178" s="289">
        <f t="shared" si="7"/>
        <v>-30965.794768611664</v>
      </c>
      <c r="J178" s="357">
        <f t="shared" si="8"/>
        <v>248479.6107669817</v>
      </c>
      <c r="K178" s="456">
        <f t="shared" si="9"/>
        <v>217513.81599837003</v>
      </c>
    </row>
    <row r="179" spans="1:11" x14ac:dyDescent="0.25">
      <c r="A179" s="38">
        <f>Données!A173</f>
        <v>5702</v>
      </c>
      <c r="B179" s="27" t="str">
        <f>Données!B173</f>
        <v>Arzier-Le Muids</v>
      </c>
      <c r="C179" s="26">
        <f>Ecrêtage!C173</f>
        <v>187984.45531250001</v>
      </c>
      <c r="D179" s="12">
        <f>Données!Z173</f>
        <v>2954</v>
      </c>
      <c r="E179" s="8">
        <f>Population!K176</f>
        <v>-834941.04627766577</v>
      </c>
      <c r="F179" s="221">
        <f>Solidarité!I173</f>
        <v>0</v>
      </c>
      <c r="G179" s="8">
        <f>DT!O173</f>
        <v>-537751.90851562493</v>
      </c>
      <c r="H179" s="221">
        <f>Effort!K173+Aide!I173+Taux!J173</f>
        <v>0</v>
      </c>
      <c r="I179" s="289">
        <f t="shared" si="7"/>
        <v>-1372692.9547932907</v>
      </c>
      <c r="J179" s="357">
        <f t="shared" si="8"/>
        <v>3593977.7342131296</v>
      </c>
      <c r="K179" s="456">
        <f t="shared" si="9"/>
        <v>2221284.7794198389</v>
      </c>
    </row>
    <row r="180" spans="1:11" x14ac:dyDescent="0.25">
      <c r="A180" s="38">
        <f>Données!A174</f>
        <v>5703</v>
      </c>
      <c r="B180" s="27" t="str">
        <f>Données!B174</f>
        <v>Bassins</v>
      </c>
      <c r="C180" s="26">
        <f>Ecrêtage!C174</f>
        <v>65441.246975369453</v>
      </c>
      <c r="D180" s="12">
        <f>Données!Z174</f>
        <v>1478</v>
      </c>
      <c r="E180" s="8">
        <f>Population!K177</f>
        <v>-301710.06036217301</v>
      </c>
      <c r="F180" s="221">
        <f>Solidarité!I174</f>
        <v>-130217.90223267724</v>
      </c>
      <c r="G180" s="8">
        <f>DT!O174</f>
        <v>0</v>
      </c>
      <c r="H180" s="221">
        <f>Effort!K174+Aide!I174+Taux!J174</f>
        <v>0</v>
      </c>
      <c r="I180" s="289">
        <f t="shared" si="7"/>
        <v>-431927.96259485022</v>
      </c>
      <c r="J180" s="357">
        <f t="shared" si="8"/>
        <v>1251137.4099397722</v>
      </c>
      <c r="K180" s="456">
        <f t="shared" si="9"/>
        <v>819209.44734492199</v>
      </c>
    </row>
    <row r="181" spans="1:11" x14ac:dyDescent="0.25">
      <c r="A181" s="38">
        <f>Données!A175</f>
        <v>5704</v>
      </c>
      <c r="B181" s="27" t="str">
        <f>Données!B175</f>
        <v>Begnins</v>
      </c>
      <c r="C181" s="26">
        <f>Ecrêtage!C175</f>
        <v>129730.03685333332</v>
      </c>
      <c r="D181" s="12">
        <f>Données!Z175</f>
        <v>1938</v>
      </c>
      <c r="E181" s="8">
        <f>Population!K178</f>
        <v>-467893.15895372228</v>
      </c>
      <c r="F181" s="221">
        <f>Solidarité!I175</f>
        <v>0</v>
      </c>
      <c r="G181" s="8">
        <f>DT!O175</f>
        <v>0</v>
      </c>
      <c r="H181" s="221">
        <f>Effort!K175+Aide!I175+Taux!J175</f>
        <v>0</v>
      </c>
      <c r="I181" s="289">
        <f t="shared" si="7"/>
        <v>-467893.15895372228</v>
      </c>
      <c r="J181" s="357">
        <f t="shared" si="8"/>
        <v>2480241.5877124155</v>
      </c>
      <c r="K181" s="456">
        <f t="shared" si="9"/>
        <v>2012348.4287586932</v>
      </c>
    </row>
    <row r="182" spans="1:11" x14ac:dyDescent="0.25">
      <c r="A182" s="38">
        <f>Données!A176</f>
        <v>5705</v>
      </c>
      <c r="B182" s="27" t="str">
        <f>Données!B176</f>
        <v>Bogis-Bossey</v>
      </c>
      <c r="C182" s="26">
        <f>Ecrêtage!C176</f>
        <v>51044.070201342278</v>
      </c>
      <c r="D182" s="12">
        <f>Données!Z176</f>
        <v>923</v>
      </c>
      <c r="E182" s="8">
        <f>Population!K179</f>
        <v>-119089.28571428568</v>
      </c>
      <c r="F182" s="221">
        <f>Solidarité!I176</f>
        <v>0</v>
      </c>
      <c r="G182" s="8">
        <f>DT!O176</f>
        <v>0</v>
      </c>
      <c r="H182" s="221">
        <f>Effort!K176+Aide!I176+Taux!J176</f>
        <v>0</v>
      </c>
      <c r="I182" s="289">
        <f t="shared" si="7"/>
        <v>-119089.28571428568</v>
      </c>
      <c r="J182" s="357">
        <f t="shared" si="8"/>
        <v>975885.22126615152</v>
      </c>
      <c r="K182" s="456">
        <f t="shared" si="9"/>
        <v>856795.93555186584</v>
      </c>
    </row>
    <row r="183" spans="1:11" x14ac:dyDescent="0.25">
      <c r="A183" s="38">
        <f>Données!A177</f>
        <v>5706</v>
      </c>
      <c r="B183" s="27" t="str">
        <f>Données!B177</f>
        <v>Borex</v>
      </c>
      <c r="C183" s="26">
        <f>Ecrêtage!C177</f>
        <v>156857.9796491228</v>
      </c>
      <c r="D183" s="12">
        <f>Données!Z177</f>
        <v>1131</v>
      </c>
      <c r="E183" s="8">
        <f>Population!K180</f>
        <v>-176350.20120724343</v>
      </c>
      <c r="F183" s="221">
        <f>Solidarité!I177</f>
        <v>0</v>
      </c>
      <c r="G183" s="8">
        <f>DT!O177</f>
        <v>0</v>
      </c>
      <c r="H183" s="221">
        <f>Effort!K177+Aide!I177+Taux!J177</f>
        <v>0</v>
      </c>
      <c r="I183" s="289">
        <f t="shared" si="7"/>
        <v>-176350.20120724343</v>
      </c>
      <c r="J183" s="357">
        <f t="shared" si="8"/>
        <v>2998886.7183483411</v>
      </c>
      <c r="K183" s="456">
        <f t="shared" si="9"/>
        <v>2822536.5171410977</v>
      </c>
    </row>
    <row r="184" spans="1:11" x14ac:dyDescent="0.25">
      <c r="A184" s="38">
        <f>Données!A178</f>
        <v>5707</v>
      </c>
      <c r="B184" s="27" t="str">
        <f>Données!B178</f>
        <v>Chavannes-de-Bogis</v>
      </c>
      <c r="C184" s="26">
        <f>Ecrêtage!C178</f>
        <v>86804.197126436775</v>
      </c>
      <c r="D184" s="12">
        <f>Données!Z178</f>
        <v>1314</v>
      </c>
      <c r="E184" s="8">
        <f>Population!K181</f>
        <v>-242462.17303822935</v>
      </c>
      <c r="F184" s="221">
        <f>Solidarité!I178</f>
        <v>0</v>
      </c>
      <c r="G184" s="8">
        <f>DT!O178</f>
        <v>0</v>
      </c>
      <c r="H184" s="221">
        <f>Effort!K178+Aide!I178+Taux!J178</f>
        <v>0</v>
      </c>
      <c r="I184" s="289">
        <f t="shared" si="7"/>
        <v>-242462.17303822935</v>
      </c>
      <c r="J184" s="357">
        <f t="shared" si="8"/>
        <v>1659564.6229899547</v>
      </c>
      <c r="K184" s="456">
        <f t="shared" si="9"/>
        <v>1417102.4499517253</v>
      </c>
    </row>
    <row r="185" spans="1:11" x14ac:dyDescent="0.25">
      <c r="A185" s="38">
        <f>Données!A179</f>
        <v>5708</v>
      </c>
      <c r="B185" s="27" t="str">
        <f>Données!B179</f>
        <v>Chavannes-des-Bois</v>
      </c>
      <c r="C185" s="26">
        <f>Ecrêtage!C179</f>
        <v>68806.761617647047</v>
      </c>
      <c r="D185" s="12">
        <f>Données!Z179</f>
        <v>1019</v>
      </c>
      <c r="E185" s="8">
        <f>Population!K182</f>
        <v>-135888.22937625751</v>
      </c>
      <c r="F185" s="221">
        <f>Solidarité!I179</f>
        <v>0</v>
      </c>
      <c r="G185" s="8">
        <f>DT!O179</f>
        <v>0</v>
      </c>
      <c r="H185" s="221">
        <f>Effort!K179+Aide!I179+Taux!J179</f>
        <v>0</v>
      </c>
      <c r="I185" s="289">
        <f t="shared" si="7"/>
        <v>-135888.22937625751</v>
      </c>
      <c r="J185" s="357">
        <f t="shared" si="8"/>
        <v>1315480.9465817066</v>
      </c>
      <c r="K185" s="456">
        <f t="shared" si="9"/>
        <v>1179592.717205449</v>
      </c>
    </row>
    <row r="186" spans="1:11" x14ac:dyDescent="0.25">
      <c r="A186" s="38">
        <f>Données!A180</f>
        <v>5709</v>
      </c>
      <c r="B186" s="27" t="str">
        <f>Données!B180</f>
        <v>Chéserex</v>
      </c>
      <c r="C186" s="26">
        <f>Ecrêtage!C180</f>
        <v>90983.63491228073</v>
      </c>
      <c r="D186" s="12">
        <f>Données!Z180</f>
        <v>1251</v>
      </c>
      <c r="E186" s="8">
        <f>Population!K183</f>
        <v>-219702.31388329976</v>
      </c>
      <c r="F186" s="221">
        <f>Solidarité!I180</f>
        <v>0</v>
      </c>
      <c r="G186" s="8">
        <f>DT!O180</f>
        <v>0</v>
      </c>
      <c r="H186" s="221">
        <f>Effort!K180+Aide!I180+Taux!J180</f>
        <v>0</v>
      </c>
      <c r="I186" s="289">
        <f t="shared" si="7"/>
        <v>-219702.31388329976</v>
      </c>
      <c r="J186" s="357">
        <f t="shared" si="8"/>
        <v>1739469.1359396135</v>
      </c>
      <c r="K186" s="456">
        <f t="shared" si="9"/>
        <v>1519766.8220563137</v>
      </c>
    </row>
    <row r="187" spans="1:11" x14ac:dyDescent="0.25">
      <c r="A187" s="38">
        <f>Données!A181</f>
        <v>5710</v>
      </c>
      <c r="B187" s="27" t="str">
        <f>Données!B181</f>
        <v>Coinsins</v>
      </c>
      <c r="C187" s="26">
        <f>Ecrêtage!C181</f>
        <v>33549.646470588232</v>
      </c>
      <c r="D187" s="12">
        <f>Données!Z181</f>
        <v>499</v>
      </c>
      <c r="E187" s="8">
        <f>Population!K184</f>
        <v>-64383.048289738414</v>
      </c>
      <c r="F187" s="221">
        <f>Solidarité!I181</f>
        <v>0</v>
      </c>
      <c r="G187" s="8">
        <f>DT!O181</f>
        <v>0</v>
      </c>
      <c r="H187" s="221">
        <f>Effort!K181+Aide!I181+Taux!J181</f>
        <v>0</v>
      </c>
      <c r="I187" s="289">
        <f t="shared" si="7"/>
        <v>-64383.048289738414</v>
      </c>
      <c r="J187" s="357">
        <f t="shared" si="8"/>
        <v>641418.36730900418</v>
      </c>
      <c r="K187" s="456">
        <f t="shared" si="9"/>
        <v>577035.31901926582</v>
      </c>
    </row>
    <row r="188" spans="1:11" x14ac:dyDescent="0.25">
      <c r="A188" s="38">
        <f>Données!A182</f>
        <v>5711</v>
      </c>
      <c r="B188" s="27" t="str">
        <f>Données!B182</f>
        <v>Commugny</v>
      </c>
      <c r="C188" s="26">
        <f>Ecrêtage!C182</f>
        <v>305461.09360323887</v>
      </c>
      <c r="D188" s="12">
        <f>Données!Z182</f>
        <v>2983</v>
      </c>
      <c r="E188" s="8">
        <f>Population!K185</f>
        <v>-845417.80684104608</v>
      </c>
      <c r="F188" s="221">
        <f>Solidarité!I182</f>
        <v>0</v>
      </c>
      <c r="G188" s="8">
        <f>DT!O182</f>
        <v>0</v>
      </c>
      <c r="H188" s="221">
        <f>Effort!K182+Aide!I182+Taux!J182</f>
        <v>0</v>
      </c>
      <c r="I188" s="289">
        <f t="shared" si="7"/>
        <v>-845417.80684104608</v>
      </c>
      <c r="J188" s="357">
        <f t="shared" si="8"/>
        <v>5839952.9219235051</v>
      </c>
      <c r="K188" s="456">
        <f t="shared" si="9"/>
        <v>4994535.1150824595</v>
      </c>
    </row>
    <row r="189" spans="1:11" x14ac:dyDescent="0.25">
      <c r="A189" s="38">
        <f>Données!A183</f>
        <v>5712</v>
      </c>
      <c r="B189" s="27" t="str">
        <f>Données!B183</f>
        <v>Coppet</v>
      </c>
      <c r="C189" s="26">
        <f>Ecrêtage!C183</f>
        <v>422782.58779874217</v>
      </c>
      <c r="D189" s="12">
        <f>Données!Z183</f>
        <v>3184</v>
      </c>
      <c r="E189" s="8">
        <f>Population!K186</f>
        <v>-946521.12676056311</v>
      </c>
      <c r="F189" s="221">
        <f>Solidarité!I183</f>
        <v>0</v>
      </c>
      <c r="G189" s="8">
        <f>DT!O183</f>
        <v>0</v>
      </c>
      <c r="H189" s="221">
        <f>Effort!K183+Aide!I183+Taux!J183</f>
        <v>0</v>
      </c>
      <c r="I189" s="289">
        <f t="shared" si="7"/>
        <v>-946521.12676056311</v>
      </c>
      <c r="J189" s="357">
        <f t="shared" si="8"/>
        <v>8082961.9897866612</v>
      </c>
      <c r="K189" s="456">
        <f t="shared" si="9"/>
        <v>7136440.8630260983</v>
      </c>
    </row>
    <row r="190" spans="1:11" x14ac:dyDescent="0.25">
      <c r="A190" s="38">
        <f>Données!A184</f>
        <v>5713</v>
      </c>
      <c r="B190" s="27" t="str">
        <f>Données!B184</f>
        <v>Crans</v>
      </c>
      <c r="C190" s="26">
        <f>Ecrêtage!C184</f>
        <v>284269.17355932208</v>
      </c>
      <c r="D190" s="12">
        <f>Données!Z184</f>
        <v>2357</v>
      </c>
      <c r="E190" s="8">
        <f>Population!K187</f>
        <v>-619264.28571428568</v>
      </c>
      <c r="F190" s="221">
        <f>Solidarité!I184</f>
        <v>0</v>
      </c>
      <c r="G190" s="8">
        <f>DT!O184</f>
        <v>0</v>
      </c>
      <c r="H190" s="221">
        <f>Effort!K184+Aide!I184+Taux!J184</f>
        <v>0</v>
      </c>
      <c r="I190" s="289">
        <f t="shared" si="7"/>
        <v>-619264.28571428568</v>
      </c>
      <c r="J190" s="357">
        <f t="shared" si="8"/>
        <v>5434795.5451795077</v>
      </c>
      <c r="K190" s="456">
        <f t="shared" si="9"/>
        <v>4815531.2594652222</v>
      </c>
    </row>
    <row r="191" spans="1:11" x14ac:dyDescent="0.25">
      <c r="A191" s="38">
        <f>Données!A185</f>
        <v>5714</v>
      </c>
      <c r="B191" s="27" t="str">
        <f>Données!B185</f>
        <v>Crassier</v>
      </c>
      <c r="C191" s="26">
        <f>Ecrêtage!C185</f>
        <v>62524.655789473691</v>
      </c>
      <c r="D191" s="12">
        <f>Données!Z185</f>
        <v>1233</v>
      </c>
      <c r="E191" s="8">
        <f>Population!K188</f>
        <v>-213199.49698189131</v>
      </c>
      <c r="F191" s="221">
        <f>Solidarité!I185</f>
        <v>0</v>
      </c>
      <c r="G191" s="8">
        <f>DT!O185</f>
        <v>0</v>
      </c>
      <c r="H191" s="221">
        <f>Effort!K185+Aide!I185+Taux!J185</f>
        <v>0</v>
      </c>
      <c r="I191" s="289">
        <f t="shared" si="7"/>
        <v>-213199.49698189131</v>
      </c>
      <c r="J191" s="357">
        <f t="shared" si="8"/>
        <v>1195376.6090560695</v>
      </c>
      <c r="K191" s="456">
        <f t="shared" si="9"/>
        <v>982177.11207417818</v>
      </c>
    </row>
    <row r="192" spans="1:11" x14ac:dyDescent="0.25">
      <c r="A192" s="38">
        <f>Données!A186</f>
        <v>5715</v>
      </c>
      <c r="B192" s="27" t="str">
        <f>Données!B186</f>
        <v>Duillier</v>
      </c>
      <c r="C192" s="26">
        <f>Ecrêtage!C186</f>
        <v>60550.113787878792</v>
      </c>
      <c r="D192" s="12">
        <f>Données!Z186</f>
        <v>1116</v>
      </c>
      <c r="E192" s="8">
        <f>Population!K189</f>
        <v>-170931.18712273639</v>
      </c>
      <c r="F192" s="221">
        <f>Solidarité!I186</f>
        <v>0</v>
      </c>
      <c r="G192" s="8">
        <f>DT!O186</f>
        <v>0</v>
      </c>
      <c r="H192" s="221">
        <f>Effort!K186+Aide!I186+Taux!J186</f>
        <v>0</v>
      </c>
      <c r="I192" s="289">
        <f t="shared" si="7"/>
        <v>-170931.18712273639</v>
      </c>
      <c r="J192" s="357">
        <f t="shared" si="8"/>
        <v>1157626.3600942404</v>
      </c>
      <c r="K192" s="456">
        <f t="shared" si="9"/>
        <v>986695.17297150404</v>
      </c>
    </row>
    <row r="193" spans="1:11" x14ac:dyDescent="0.25">
      <c r="A193" s="38">
        <f>Données!A187</f>
        <v>5716</v>
      </c>
      <c r="B193" s="27" t="str">
        <f>Données!B187</f>
        <v>Eysins</v>
      </c>
      <c r="C193" s="26">
        <f>Ecrêtage!C187</f>
        <v>232557.04084033609</v>
      </c>
      <c r="D193" s="12">
        <f>Données!Z187</f>
        <v>1768</v>
      </c>
      <c r="E193" s="8">
        <f>Population!K190</f>
        <v>-406477.66599597578</v>
      </c>
      <c r="F193" s="221">
        <f>Solidarité!I187</f>
        <v>0</v>
      </c>
      <c r="G193" s="8">
        <f>DT!O187</f>
        <v>0</v>
      </c>
      <c r="H193" s="221">
        <f>Effort!K187+Aide!I187+Taux!J187</f>
        <v>0</v>
      </c>
      <c r="I193" s="289">
        <f t="shared" si="7"/>
        <v>-406477.66599597578</v>
      </c>
      <c r="J193" s="357">
        <f t="shared" si="8"/>
        <v>4446137.9815966338</v>
      </c>
      <c r="K193" s="456">
        <f t="shared" si="9"/>
        <v>4039660.3156006578</v>
      </c>
    </row>
    <row r="194" spans="1:11" x14ac:dyDescent="0.25">
      <c r="A194" s="38">
        <f>Données!A188</f>
        <v>5717</v>
      </c>
      <c r="B194" s="27" t="str">
        <f>Données!B188</f>
        <v>Founex</v>
      </c>
      <c r="C194" s="26">
        <f>Ecrêtage!C188</f>
        <v>361582.97087719297</v>
      </c>
      <c r="D194" s="12">
        <f>Données!Z188</f>
        <v>3763</v>
      </c>
      <c r="E194" s="8">
        <f>Population!K191</f>
        <v>-1245341.0462776658</v>
      </c>
      <c r="F194" s="221">
        <f>Solidarité!I188</f>
        <v>0</v>
      </c>
      <c r="G194" s="8">
        <f>DT!O188</f>
        <v>0</v>
      </c>
      <c r="H194" s="221">
        <f>Effort!K188+Aide!I188+Taux!J188</f>
        <v>0</v>
      </c>
      <c r="I194" s="289">
        <f t="shared" si="7"/>
        <v>-1245341.0462776658</v>
      </c>
      <c r="J194" s="357">
        <f t="shared" si="8"/>
        <v>6912918.1146546341</v>
      </c>
      <c r="K194" s="456">
        <f t="shared" si="9"/>
        <v>5667577.0683769686</v>
      </c>
    </row>
    <row r="195" spans="1:11" x14ac:dyDescent="0.25">
      <c r="A195" s="38">
        <f>Données!A189</f>
        <v>5718</v>
      </c>
      <c r="B195" s="27" t="str">
        <f>Données!B189</f>
        <v>Genolier</v>
      </c>
      <c r="C195" s="26">
        <f>Ecrêtage!C189</f>
        <v>212699.2265454545</v>
      </c>
      <c r="D195" s="12">
        <f>Données!Z189</f>
        <v>2026</v>
      </c>
      <c r="E195" s="8">
        <f>Population!K192</f>
        <v>-499684.70824949688</v>
      </c>
      <c r="F195" s="221">
        <f>Solidarité!I189</f>
        <v>0</v>
      </c>
      <c r="G195" s="8">
        <f>DT!O189</f>
        <v>0</v>
      </c>
      <c r="H195" s="221">
        <f>Effort!K189+Aide!I189+Taux!J189</f>
        <v>0</v>
      </c>
      <c r="I195" s="289">
        <f t="shared" si="7"/>
        <v>-499684.70824949688</v>
      </c>
      <c r="J195" s="357">
        <f t="shared" si="8"/>
        <v>4066486.6837948943</v>
      </c>
      <c r="K195" s="456">
        <f t="shared" si="9"/>
        <v>3566801.9755453975</v>
      </c>
    </row>
    <row r="196" spans="1:11" x14ac:dyDescent="0.25">
      <c r="A196" s="38">
        <f>Données!A190</f>
        <v>5719</v>
      </c>
      <c r="B196" s="27" t="str">
        <f>Données!B190</f>
        <v>Gingins</v>
      </c>
      <c r="C196" s="26">
        <f>Ecrêtage!C190</f>
        <v>119943.29911111109</v>
      </c>
      <c r="D196" s="12">
        <f>Données!Z190</f>
        <v>1270</v>
      </c>
      <c r="E196" s="8">
        <f>Population!K193</f>
        <v>-226566.39839034202</v>
      </c>
      <c r="F196" s="221">
        <f>Solidarité!I190</f>
        <v>0</v>
      </c>
      <c r="G196" s="8">
        <f>DT!O190</f>
        <v>0</v>
      </c>
      <c r="H196" s="221">
        <f>Effort!K190+Aide!I190+Taux!J190</f>
        <v>0</v>
      </c>
      <c r="I196" s="289">
        <f t="shared" si="7"/>
        <v>-226566.39839034202</v>
      </c>
      <c r="J196" s="357">
        <f t="shared" si="8"/>
        <v>2293134.0022598905</v>
      </c>
      <c r="K196" s="456">
        <f t="shared" si="9"/>
        <v>2066567.6038695485</v>
      </c>
    </row>
    <row r="197" spans="1:11" x14ac:dyDescent="0.25">
      <c r="A197" s="38">
        <f>Données!A191</f>
        <v>5720</v>
      </c>
      <c r="B197" s="27" t="str">
        <f>Données!B191</f>
        <v>Givrins</v>
      </c>
      <c r="C197" s="26">
        <f>Ecrêtage!C191</f>
        <v>84868.432139303477</v>
      </c>
      <c r="D197" s="12">
        <f>Données!Z191</f>
        <v>1024</v>
      </c>
      <c r="E197" s="8">
        <f>Population!K194</f>
        <v>-137694.56740442652</v>
      </c>
      <c r="F197" s="221">
        <f>Solidarité!I191</f>
        <v>0</v>
      </c>
      <c r="G197" s="8">
        <f>DT!O191</f>
        <v>-19201.925895522392</v>
      </c>
      <c r="H197" s="221">
        <f>Effort!K191+Aide!I191+Taux!J191</f>
        <v>0</v>
      </c>
      <c r="I197" s="289">
        <f t="shared" si="7"/>
        <v>-156896.49329994892</v>
      </c>
      <c r="J197" s="357">
        <f t="shared" si="8"/>
        <v>1622555.7317448719</v>
      </c>
      <c r="K197" s="456">
        <f t="shared" si="9"/>
        <v>1465659.238444923</v>
      </c>
    </row>
    <row r="198" spans="1:11" x14ac:dyDescent="0.25">
      <c r="A198" s="38">
        <f>Données!A192</f>
        <v>5721</v>
      </c>
      <c r="B198" s="27" t="str">
        <f>Données!B192</f>
        <v>Gland</v>
      </c>
      <c r="C198" s="26">
        <f>Ecrêtage!C192</f>
        <v>688985.30491803284</v>
      </c>
      <c r="D198" s="12">
        <f>Données!Z192</f>
        <v>13686</v>
      </c>
      <c r="E198" s="8">
        <f>Population!K195</f>
        <v>-8733386.3179074433</v>
      </c>
      <c r="F198" s="221">
        <f>Solidarité!I192</f>
        <v>0</v>
      </c>
      <c r="G198" s="8">
        <f>DT!O192</f>
        <v>0</v>
      </c>
      <c r="H198" s="221">
        <f>Effort!K192+Aide!I192+Taux!J192</f>
        <v>0</v>
      </c>
      <c r="I198" s="289">
        <f t="shared" si="7"/>
        <v>-8733386.3179074433</v>
      </c>
      <c r="J198" s="357">
        <f t="shared" si="8"/>
        <v>13172354.283012886</v>
      </c>
      <c r="K198" s="456">
        <f t="shared" si="9"/>
        <v>4438967.9651054423</v>
      </c>
    </row>
    <row r="199" spans="1:11" x14ac:dyDescent="0.25">
      <c r="A199" s="38">
        <f>Données!A193</f>
        <v>5722</v>
      </c>
      <c r="B199" s="27" t="str">
        <f>Données!B193</f>
        <v>Grens</v>
      </c>
      <c r="C199" s="26">
        <f>Ecrêtage!C193</f>
        <v>20912.723225806454</v>
      </c>
      <c r="D199" s="12">
        <f>Données!Z193</f>
        <v>400</v>
      </c>
      <c r="E199" s="8">
        <f>Population!K196</f>
        <v>-51609.657947686108</v>
      </c>
      <c r="F199" s="221">
        <f>Solidarité!I193</f>
        <v>0</v>
      </c>
      <c r="G199" s="8">
        <f>DT!O193</f>
        <v>0</v>
      </c>
      <c r="H199" s="221">
        <f>Effort!K193+Aide!I193+Taux!J193</f>
        <v>0</v>
      </c>
      <c r="I199" s="289">
        <f t="shared" si="7"/>
        <v>-51609.657947686108</v>
      </c>
      <c r="J199" s="357">
        <f t="shared" si="8"/>
        <v>399819.55694350658</v>
      </c>
      <c r="K199" s="456">
        <f t="shared" si="9"/>
        <v>348209.89899582049</v>
      </c>
    </row>
    <row r="200" spans="1:11" x14ac:dyDescent="0.25">
      <c r="A200" s="38">
        <f>Données!A194</f>
        <v>5723</v>
      </c>
      <c r="B200" s="27" t="str">
        <f>Données!B194</f>
        <v>Mies</v>
      </c>
      <c r="C200" s="26">
        <f>Ecrêtage!C194</f>
        <v>253771.19326923077</v>
      </c>
      <c r="D200" s="12">
        <f>Données!Z194</f>
        <v>2226</v>
      </c>
      <c r="E200" s="8">
        <f>Population!K197</f>
        <v>-571938.2293762574</v>
      </c>
      <c r="F200" s="221">
        <f>Solidarité!I194</f>
        <v>0</v>
      </c>
      <c r="G200" s="8">
        <f>DT!O194</f>
        <v>0</v>
      </c>
      <c r="H200" s="221">
        <f>Effort!K194+Aide!I194+Taux!J194</f>
        <v>0</v>
      </c>
      <c r="I200" s="289">
        <f t="shared" si="7"/>
        <v>-571938.2293762574</v>
      </c>
      <c r="J200" s="357">
        <f t="shared" si="8"/>
        <v>4851720.4078291981</v>
      </c>
      <c r="K200" s="456">
        <f t="shared" si="9"/>
        <v>4279782.1784529407</v>
      </c>
    </row>
    <row r="201" spans="1:11" x14ac:dyDescent="0.25">
      <c r="A201" s="38">
        <f>Données!A195</f>
        <v>5724</v>
      </c>
      <c r="B201" s="27" t="str">
        <f>Données!B195</f>
        <v>Nyon</v>
      </c>
      <c r="C201" s="26">
        <f>Ecrêtage!C195</f>
        <v>1520148.6004918031</v>
      </c>
      <c r="D201" s="12">
        <f>Données!Z195</f>
        <v>22461</v>
      </c>
      <c r="E201" s="8">
        <f>Population!K198</f>
        <v>-18175940.945674039</v>
      </c>
      <c r="F201" s="221">
        <f>Solidarité!I195</f>
        <v>0</v>
      </c>
      <c r="G201" s="8">
        <f>DT!O195</f>
        <v>-1478514.8970491812</v>
      </c>
      <c r="H201" s="221">
        <f>Effort!K195+Aide!I195+Taux!J195</f>
        <v>0</v>
      </c>
      <c r="I201" s="289">
        <f t="shared" si="7"/>
        <v>-19654455.842723221</v>
      </c>
      <c r="J201" s="357">
        <f t="shared" si="8"/>
        <v>29062936.154910374</v>
      </c>
      <c r="K201" s="456">
        <f t="shared" si="9"/>
        <v>9408480.3121871538</v>
      </c>
    </row>
    <row r="202" spans="1:11" x14ac:dyDescent="0.25">
      <c r="A202" s="38">
        <f>Données!A196</f>
        <v>5725</v>
      </c>
      <c r="B202" s="27" t="str">
        <f>Données!B196</f>
        <v>Prangins</v>
      </c>
      <c r="C202" s="26">
        <f>Ecrêtage!C196</f>
        <v>388958.996077922</v>
      </c>
      <c r="D202" s="12">
        <f>Données!Z196</f>
        <v>4277</v>
      </c>
      <c r="E202" s="8">
        <f>Population!K199</f>
        <v>-1510614.6881287722</v>
      </c>
      <c r="F202" s="221">
        <f>Solidarité!I196</f>
        <v>0</v>
      </c>
      <c r="G202" s="8">
        <f>DT!O196</f>
        <v>0</v>
      </c>
      <c r="H202" s="221">
        <f>Effort!K196+Aide!I196+Taux!J196</f>
        <v>0</v>
      </c>
      <c r="I202" s="289">
        <f t="shared" si="7"/>
        <v>-1510614.6881287722</v>
      </c>
      <c r="J202" s="357">
        <f t="shared" si="8"/>
        <v>7436306.2046917537</v>
      </c>
      <c r="K202" s="456">
        <f t="shared" si="9"/>
        <v>5925691.5165629815</v>
      </c>
    </row>
    <row r="203" spans="1:11" x14ac:dyDescent="0.25">
      <c r="A203" s="38">
        <f>Données!A197</f>
        <v>5726</v>
      </c>
      <c r="B203" s="27" t="str">
        <f>Données!B197</f>
        <v>La Rippe</v>
      </c>
      <c r="C203" s="26">
        <f>Ecrêtage!C197</f>
        <v>69785.913125000021</v>
      </c>
      <c r="D203" s="12">
        <f>Données!Z197</f>
        <v>1197</v>
      </c>
      <c r="E203" s="8">
        <f>Population!K200</f>
        <v>-200193.86317907443</v>
      </c>
      <c r="F203" s="221">
        <f>Solidarité!I197</f>
        <v>0</v>
      </c>
      <c r="G203" s="8">
        <f>DT!O197</f>
        <v>0</v>
      </c>
      <c r="H203" s="221">
        <f>Effort!K197+Aide!I197+Taux!J197</f>
        <v>0</v>
      </c>
      <c r="I203" s="289">
        <f t="shared" si="7"/>
        <v>-200193.86317907443</v>
      </c>
      <c r="J203" s="357">
        <f t="shared" si="8"/>
        <v>1334200.8386600057</v>
      </c>
      <c r="K203" s="456">
        <f t="shared" si="9"/>
        <v>1134006.9754809313</v>
      </c>
    </row>
    <row r="204" spans="1:11" x14ac:dyDescent="0.25">
      <c r="A204" s="38">
        <f>Données!A198</f>
        <v>5727</v>
      </c>
      <c r="B204" s="27" t="str">
        <f>Données!B198</f>
        <v>Saint-Cergue</v>
      </c>
      <c r="C204" s="26">
        <f>Ecrêtage!C198</f>
        <v>107048.1634848485</v>
      </c>
      <c r="D204" s="12">
        <f>Données!Z198</f>
        <v>2786</v>
      </c>
      <c r="E204" s="8">
        <f>Population!K201</f>
        <v>-774248.08853118704</v>
      </c>
      <c r="F204" s="221">
        <f>Solidarité!I198</f>
        <v>-487323.61918767507</v>
      </c>
      <c r="G204" s="8">
        <f>DT!O198</f>
        <v>-351052.89647727268</v>
      </c>
      <c r="H204" s="221">
        <f>Effort!K198+Aide!I198+Taux!J198</f>
        <v>0</v>
      </c>
      <c r="I204" s="289">
        <f t="shared" si="7"/>
        <v>-1612624.604196135</v>
      </c>
      <c r="J204" s="357">
        <f t="shared" si="8"/>
        <v>2046598.5627023808</v>
      </c>
      <c r="K204" s="456">
        <f t="shared" si="9"/>
        <v>433973.95850624586</v>
      </c>
    </row>
    <row r="205" spans="1:11" x14ac:dyDescent="0.25">
      <c r="A205" s="38">
        <f>Données!A199</f>
        <v>5728</v>
      </c>
      <c r="B205" s="27" t="str">
        <f>Données!B199</f>
        <v>Signy-Avenex</v>
      </c>
      <c r="C205" s="26">
        <f>Ecrêtage!C199</f>
        <v>66000.760172413793</v>
      </c>
      <c r="D205" s="12">
        <f>Données!Z199</f>
        <v>583</v>
      </c>
      <c r="E205" s="8">
        <f>Population!K202</f>
        <v>-75221.076458752505</v>
      </c>
      <c r="F205" s="221">
        <f>Solidarité!I199</f>
        <v>0</v>
      </c>
      <c r="G205" s="8">
        <f>DT!O199</f>
        <v>0</v>
      </c>
      <c r="H205" s="221">
        <f>Effort!K199+Aide!I199+Taux!J199</f>
        <v>0</v>
      </c>
      <c r="I205" s="289">
        <f t="shared" ref="I205:I268" si="10">SUM(E205:H205)</f>
        <v>-75221.076458752505</v>
      </c>
      <c r="J205" s="357">
        <f t="shared" ref="J205:J268" si="11">C205*$J$11</f>
        <v>1261834.4538460514</v>
      </c>
      <c r="K205" s="456">
        <f t="shared" ref="K205:K268" si="12">I205+J205</f>
        <v>1186613.3773872987</v>
      </c>
    </row>
    <row r="206" spans="1:11" x14ac:dyDescent="0.25">
      <c r="A206" s="38">
        <f>Données!A200</f>
        <v>5729</v>
      </c>
      <c r="B206" s="27" t="str">
        <f>Données!B200</f>
        <v>Tannay</v>
      </c>
      <c r="C206" s="26">
        <f>Ecrêtage!C200</f>
        <v>189085.86771349865</v>
      </c>
      <c r="D206" s="12">
        <f>Données!Z200</f>
        <v>1720</v>
      </c>
      <c r="E206" s="8">
        <f>Population!K203</f>
        <v>-389136.82092555321</v>
      </c>
      <c r="F206" s="221">
        <f>Solidarité!I200</f>
        <v>0</v>
      </c>
      <c r="G206" s="8">
        <f>DT!O200</f>
        <v>0</v>
      </c>
      <c r="H206" s="221">
        <f>Effort!K200+Aide!I200+Taux!J200</f>
        <v>0</v>
      </c>
      <c r="I206" s="289">
        <f t="shared" si="10"/>
        <v>-389136.82092555321</v>
      </c>
      <c r="J206" s="357">
        <f t="shared" si="11"/>
        <v>3615035.0691868905</v>
      </c>
      <c r="K206" s="456">
        <f t="shared" si="12"/>
        <v>3225898.2482613372</v>
      </c>
    </row>
    <row r="207" spans="1:11" x14ac:dyDescent="0.25">
      <c r="A207" s="38">
        <f>Données!A201</f>
        <v>5730</v>
      </c>
      <c r="B207" s="27" t="str">
        <f>Données!B201</f>
        <v>Trélex</v>
      </c>
      <c r="C207" s="26">
        <f>Ecrêtage!C201</f>
        <v>121414.34176176177</v>
      </c>
      <c r="D207" s="12">
        <f>Données!Z201</f>
        <v>1427</v>
      </c>
      <c r="E207" s="8">
        <f>Population!K204</f>
        <v>-283285.41247484903</v>
      </c>
      <c r="F207" s="221">
        <f>Solidarité!I201</f>
        <v>0</v>
      </c>
      <c r="G207" s="8">
        <f>DT!O201</f>
        <v>0</v>
      </c>
      <c r="H207" s="221">
        <f>Effort!K201+Aide!I201+Taux!J201</f>
        <v>0</v>
      </c>
      <c r="I207" s="289">
        <f t="shared" si="10"/>
        <v>-283285.41247484903</v>
      </c>
      <c r="J207" s="357">
        <f t="shared" si="11"/>
        <v>2321258.1071159416</v>
      </c>
      <c r="K207" s="456">
        <f t="shared" si="12"/>
        <v>2037972.6946410926</v>
      </c>
    </row>
    <row r="208" spans="1:11" x14ac:dyDescent="0.25">
      <c r="A208" s="38">
        <f>Données!A202</f>
        <v>5731</v>
      </c>
      <c r="B208" s="27" t="str">
        <f>Données!B202</f>
        <v>Le Vaud</v>
      </c>
      <c r="C208" s="26">
        <f>Ecrêtage!C202</f>
        <v>69610.558648648643</v>
      </c>
      <c r="D208" s="12">
        <f>Données!Z202</f>
        <v>1411</v>
      </c>
      <c r="E208" s="8">
        <f>Population!K205</f>
        <v>-277505.13078470819</v>
      </c>
      <c r="F208" s="221">
        <f>Solidarité!I202</f>
        <v>0</v>
      </c>
      <c r="G208" s="8">
        <f>DT!O202</f>
        <v>-25143.398108108144</v>
      </c>
      <c r="H208" s="221">
        <f>Effort!K202+Aide!I202+Taux!J202</f>
        <v>0</v>
      </c>
      <c r="I208" s="289">
        <f t="shared" si="10"/>
        <v>-302648.52889281634</v>
      </c>
      <c r="J208" s="357">
        <f t="shared" si="11"/>
        <v>1330848.3269719845</v>
      </c>
      <c r="K208" s="456">
        <f t="shared" si="12"/>
        <v>1028199.7980791682</v>
      </c>
    </row>
    <row r="209" spans="1:11" x14ac:dyDescent="0.25">
      <c r="A209" s="38">
        <f>Données!A203</f>
        <v>5732</v>
      </c>
      <c r="B209" s="27" t="str">
        <f>Données!B203</f>
        <v>Vich</v>
      </c>
      <c r="C209" s="26">
        <f>Ecrêtage!C203</f>
        <v>79861.73920634923</v>
      </c>
      <c r="D209" s="12">
        <f>Données!Z203</f>
        <v>1160</v>
      </c>
      <c r="E209" s="8">
        <f>Population!K206</f>
        <v>-186826.96177062369</v>
      </c>
      <c r="F209" s="221">
        <f>Solidarité!I203</f>
        <v>0</v>
      </c>
      <c r="G209" s="8">
        <f>DT!O203</f>
        <v>0</v>
      </c>
      <c r="H209" s="221">
        <f>Effort!K203+Aide!I203+Taux!J203</f>
        <v>0</v>
      </c>
      <c r="I209" s="289">
        <f t="shared" si="10"/>
        <v>-186826.96177062369</v>
      </c>
      <c r="J209" s="357">
        <f t="shared" si="11"/>
        <v>1526835.3547957931</v>
      </c>
      <c r="K209" s="456">
        <f t="shared" si="12"/>
        <v>1340008.3930251694</v>
      </c>
    </row>
    <row r="210" spans="1:11" x14ac:dyDescent="0.25">
      <c r="A210" s="38">
        <f>Données!A204</f>
        <v>5741</v>
      </c>
      <c r="B210" s="27" t="str">
        <f>Données!B204</f>
        <v>L'Abergement</v>
      </c>
      <c r="C210" s="26">
        <f>Ecrêtage!C204</f>
        <v>10833.904395833331</v>
      </c>
      <c r="D210" s="12">
        <f>Données!Z204</f>
        <v>260</v>
      </c>
      <c r="E210" s="8">
        <f>Population!K207</f>
        <v>-33546.277665995971</v>
      </c>
      <c r="F210" s="221">
        <f>Solidarité!I204</f>
        <v>-45236.47939847011</v>
      </c>
      <c r="G210" s="8">
        <f>DT!O204</f>
        <v>-113757.64532812501</v>
      </c>
      <c r="H210" s="221">
        <f>Effort!K204+Aide!I204+Taux!J204</f>
        <v>0</v>
      </c>
      <c r="I210" s="289">
        <f t="shared" si="10"/>
        <v>-192540.40239259109</v>
      </c>
      <c r="J210" s="357">
        <f t="shared" si="11"/>
        <v>207127.82399210238</v>
      </c>
      <c r="K210" s="456">
        <f t="shared" si="12"/>
        <v>14587.42159951129</v>
      </c>
    </row>
    <row r="211" spans="1:11" x14ac:dyDescent="0.25">
      <c r="A211" s="38">
        <f>Données!A205</f>
        <v>5742</v>
      </c>
      <c r="B211" s="27" t="str">
        <f>Données!B205</f>
        <v>Agiez</v>
      </c>
      <c r="C211" s="26">
        <f>Ecrêtage!C205</f>
        <v>9049.0364473684222</v>
      </c>
      <c r="D211" s="12">
        <f>Données!Z205</f>
        <v>381</v>
      </c>
      <c r="E211" s="8">
        <f>Population!K208</f>
        <v>-49158.199195171015</v>
      </c>
      <c r="F211" s="221">
        <f>Solidarité!I205</f>
        <v>-217423.29740655629</v>
      </c>
      <c r="G211" s="8">
        <f>DT!O205</f>
        <v>-41528.753980263151</v>
      </c>
      <c r="H211" s="221">
        <f>Effort!K205+Aide!I205+Taux!J205</f>
        <v>0</v>
      </c>
      <c r="I211" s="289">
        <f t="shared" si="10"/>
        <v>-308110.25058199046</v>
      </c>
      <c r="J211" s="357">
        <f t="shared" si="11"/>
        <v>173003.85531272509</v>
      </c>
      <c r="K211" s="456">
        <f t="shared" si="12"/>
        <v>-135106.39526926537</v>
      </c>
    </row>
    <row r="212" spans="1:11" x14ac:dyDescent="0.25">
      <c r="A212" s="38">
        <f>Données!A206</f>
        <v>5743</v>
      </c>
      <c r="B212" s="27" t="str">
        <f>Données!B206</f>
        <v>Arnex-sur-Orbe</v>
      </c>
      <c r="C212" s="26">
        <f>Ecrêtage!C206</f>
        <v>19423.544507042254</v>
      </c>
      <c r="D212" s="12">
        <f>Données!Z206</f>
        <v>692</v>
      </c>
      <c r="E212" s="8">
        <f>Population!K209</f>
        <v>-89284.708249496965</v>
      </c>
      <c r="F212" s="221">
        <f>Solidarité!I206</f>
        <v>-284447.4229140965</v>
      </c>
      <c r="G212" s="8">
        <f>DT!O206</f>
        <v>-91733.732957746484</v>
      </c>
      <c r="H212" s="221">
        <f>Effort!K206+Aide!I206+Taux!J206</f>
        <v>0</v>
      </c>
      <c r="I212" s="289">
        <f t="shared" si="10"/>
        <v>-465465.86412133998</v>
      </c>
      <c r="J212" s="357">
        <f t="shared" si="11"/>
        <v>371348.71796586114</v>
      </c>
      <c r="K212" s="456">
        <f t="shared" si="12"/>
        <v>-94117.14615547884</v>
      </c>
    </row>
    <row r="213" spans="1:11" x14ac:dyDescent="0.25">
      <c r="A213" s="38">
        <f>Données!A207</f>
        <v>5744</v>
      </c>
      <c r="B213" s="27" t="str">
        <f>Données!B207</f>
        <v>Ballaigues</v>
      </c>
      <c r="C213" s="26">
        <f>Ecrêtage!C207</f>
        <v>54105.101538461538</v>
      </c>
      <c r="D213" s="12">
        <f>Données!Z207</f>
        <v>1152</v>
      </c>
      <c r="E213" s="8">
        <f>Population!K210</f>
        <v>-183936.82092555327</v>
      </c>
      <c r="F213" s="221">
        <f>Solidarité!I207</f>
        <v>-29267.451887138312</v>
      </c>
      <c r="G213" s="8">
        <f>DT!O207</f>
        <v>-318253.56461538462</v>
      </c>
      <c r="H213" s="221">
        <f>Effort!K207+Aide!I207+Taux!J207</f>
        <v>0</v>
      </c>
      <c r="I213" s="289">
        <f t="shared" si="10"/>
        <v>-531457.83742807619</v>
      </c>
      <c r="J213" s="357">
        <f t="shared" si="11"/>
        <v>1034407.4988185536</v>
      </c>
      <c r="K213" s="456">
        <f t="shared" si="12"/>
        <v>502949.66139047744</v>
      </c>
    </row>
    <row r="214" spans="1:11" x14ac:dyDescent="0.25">
      <c r="A214" s="38">
        <f>Données!A208</f>
        <v>5745</v>
      </c>
      <c r="B214" s="27" t="str">
        <f>Données!B208</f>
        <v>Baulmes</v>
      </c>
      <c r="C214" s="26">
        <f>Ecrêtage!C208</f>
        <v>27705.104967320265</v>
      </c>
      <c r="D214" s="12">
        <f>Données!Z208</f>
        <v>1132</v>
      </c>
      <c r="E214" s="8">
        <f>Population!K211</f>
        <v>-176711.46881287722</v>
      </c>
      <c r="F214" s="221">
        <f>Solidarité!I208</f>
        <v>-635358.18532478355</v>
      </c>
      <c r="G214" s="8">
        <f>DT!O208</f>
        <v>-370676.29147058818</v>
      </c>
      <c r="H214" s="221">
        <f>Effort!K208+Aide!I208+Taux!J208</f>
        <v>0</v>
      </c>
      <c r="I214" s="289">
        <f t="shared" si="10"/>
        <v>-1182745.9456082489</v>
      </c>
      <c r="J214" s="357">
        <f t="shared" si="11"/>
        <v>529679.59617225651</v>
      </c>
      <c r="K214" s="456">
        <f t="shared" si="12"/>
        <v>-653066.34943599242</v>
      </c>
    </row>
    <row r="215" spans="1:11" x14ac:dyDescent="0.25">
      <c r="A215" s="38">
        <f>Données!A209</f>
        <v>5746</v>
      </c>
      <c r="B215" s="27" t="str">
        <f>Données!B209</f>
        <v>Bavois</v>
      </c>
      <c r="C215" s="26">
        <f>Ecrêtage!C209</f>
        <v>29513.59275462963</v>
      </c>
      <c r="D215" s="12">
        <f>Données!Z209</f>
        <v>1009</v>
      </c>
      <c r="E215" s="8">
        <f>Population!K212</f>
        <v>-132275.55331991948</v>
      </c>
      <c r="F215" s="221">
        <f>Solidarité!I209</f>
        <v>-401813.34861612105</v>
      </c>
      <c r="G215" s="8">
        <f>DT!O209</f>
        <v>-263047.24890625</v>
      </c>
      <c r="H215" s="221">
        <f>Effort!K209+Aide!I209+Taux!J209</f>
        <v>0</v>
      </c>
      <c r="I215" s="289">
        <f t="shared" si="10"/>
        <v>-797136.15084229049</v>
      </c>
      <c r="J215" s="357">
        <f t="shared" si="11"/>
        <v>564255.14035425475</v>
      </c>
      <c r="K215" s="456">
        <f t="shared" si="12"/>
        <v>-232881.01048803574</v>
      </c>
    </row>
    <row r="216" spans="1:11" x14ac:dyDescent="0.25">
      <c r="A216" s="38">
        <f>Données!A210</f>
        <v>5747</v>
      </c>
      <c r="B216" s="27" t="str">
        <f>Données!B210</f>
        <v>Bofflens</v>
      </c>
      <c r="C216" s="26">
        <f>Ecrêtage!C210</f>
        <v>5778.0378260869547</v>
      </c>
      <c r="D216" s="12">
        <f>Données!Z210</f>
        <v>204</v>
      </c>
      <c r="E216" s="8">
        <f>Population!K213</f>
        <v>-26320.925553319914</v>
      </c>
      <c r="F216" s="221">
        <f>Solidarité!I210</f>
        <v>-78206.892007004833</v>
      </c>
      <c r="G216" s="8">
        <f>DT!O210</f>
        <v>-20631.523043478272</v>
      </c>
      <c r="H216" s="221">
        <f>Effort!K210+Aide!I210+Taux!J210</f>
        <v>0</v>
      </c>
      <c r="I216" s="289">
        <f t="shared" si="10"/>
        <v>-125159.34060380302</v>
      </c>
      <c r="J216" s="357">
        <f t="shared" si="11"/>
        <v>110467.32167229844</v>
      </c>
      <c r="K216" s="456">
        <f t="shared" si="12"/>
        <v>-14692.018931504586</v>
      </c>
    </row>
    <row r="217" spans="1:11" x14ac:dyDescent="0.25">
      <c r="A217" s="38">
        <f>Données!A211</f>
        <v>5748</v>
      </c>
      <c r="B217" s="27" t="str">
        <f>Données!B211</f>
        <v>Bretonnières</v>
      </c>
      <c r="C217" s="26">
        <f>Ecrêtage!C211</f>
        <v>6762.4759338061467</v>
      </c>
      <c r="D217" s="12">
        <f>Données!Z211</f>
        <v>264</v>
      </c>
      <c r="E217" s="8">
        <f>Population!K214</f>
        <v>-34062.374245472827</v>
      </c>
      <c r="F217" s="221">
        <f>Solidarité!I211</f>
        <v>-119860.14392987937</v>
      </c>
      <c r="G217" s="8">
        <f>DT!O211</f>
        <v>-82229.037446808507</v>
      </c>
      <c r="H217" s="221">
        <f>Effort!K211+Aide!I211+Taux!J211</f>
        <v>0</v>
      </c>
      <c r="I217" s="289">
        <f t="shared" si="10"/>
        <v>-236151.5556221607</v>
      </c>
      <c r="J217" s="357">
        <f t="shared" si="11"/>
        <v>129288.28553323114</v>
      </c>
      <c r="K217" s="456">
        <f t="shared" si="12"/>
        <v>-106863.27008892955</v>
      </c>
    </row>
    <row r="218" spans="1:11" x14ac:dyDescent="0.25">
      <c r="A218" s="38">
        <f>Données!A212</f>
        <v>5749</v>
      </c>
      <c r="B218" s="27" t="str">
        <f>Données!B212</f>
        <v>Chavornay</v>
      </c>
      <c r="C218" s="26">
        <f>Ecrêtage!C212</f>
        <v>144692.07858156026</v>
      </c>
      <c r="D218" s="12">
        <f>Données!Z212</f>
        <v>5405</v>
      </c>
      <c r="E218" s="8">
        <f>Population!K215</f>
        <v>-2134575.4527162975</v>
      </c>
      <c r="F218" s="221">
        <f>Solidarité!I212</f>
        <v>-2329986.1737459367</v>
      </c>
      <c r="G218" s="8">
        <f>DT!O212</f>
        <v>-804354.96957446833</v>
      </c>
      <c r="H218" s="221">
        <f>Effort!K212+Aide!I212+Taux!J212</f>
        <v>0</v>
      </c>
      <c r="I218" s="289">
        <f t="shared" si="10"/>
        <v>-5268916.5960367024</v>
      </c>
      <c r="J218" s="357">
        <f t="shared" si="11"/>
        <v>2766293.137773958</v>
      </c>
      <c r="K218" s="456">
        <f t="shared" si="12"/>
        <v>-2502623.4582627444</v>
      </c>
    </row>
    <row r="219" spans="1:11" x14ac:dyDescent="0.25">
      <c r="A219" s="38">
        <f>Données!A213</f>
        <v>5750</v>
      </c>
      <c r="B219" s="27" t="str">
        <f>Données!B213</f>
        <v>Les Clées</v>
      </c>
      <c r="C219" s="26">
        <f>Ecrêtage!C213</f>
        <v>5460.4465833333343</v>
      </c>
      <c r="D219" s="12">
        <f>Données!Z213</f>
        <v>186</v>
      </c>
      <c r="E219" s="8">
        <f>Population!K216</f>
        <v>-23998.490945674039</v>
      </c>
      <c r="F219" s="221">
        <f>Solidarité!I213</f>
        <v>-90936.643794573931</v>
      </c>
      <c r="G219" s="8">
        <f>DT!O213</f>
        <v>-54011.985562499991</v>
      </c>
      <c r="H219" s="221">
        <f>Effort!K213+Aide!I213+Taux!J213</f>
        <v>0</v>
      </c>
      <c r="I219" s="289">
        <f t="shared" si="10"/>
        <v>-168947.12030274796</v>
      </c>
      <c r="J219" s="357">
        <f t="shared" si="11"/>
        <v>104395.45869224441</v>
      </c>
      <c r="K219" s="456">
        <f t="shared" si="12"/>
        <v>-64551.66161050355</v>
      </c>
    </row>
    <row r="220" spans="1:11" x14ac:dyDescent="0.25">
      <c r="A220" s="38">
        <f>Données!A214</f>
        <v>5752</v>
      </c>
      <c r="B220" s="27" t="str">
        <f>Données!B214</f>
        <v>Croy</v>
      </c>
      <c r="C220" s="26">
        <f>Ecrêtage!C214</f>
        <v>10204.254034749034</v>
      </c>
      <c r="D220" s="12">
        <f>Données!Z214</f>
        <v>386</v>
      </c>
      <c r="E220" s="8">
        <f>Population!K217</f>
        <v>-49803.319919517089</v>
      </c>
      <c r="F220" s="221">
        <f>Solidarité!I214</f>
        <v>-186151.49344861566</v>
      </c>
      <c r="G220" s="8">
        <f>DT!O214</f>
        <v>-258650.22579150577</v>
      </c>
      <c r="H220" s="221">
        <f>Effort!K214+Aide!I214+Taux!J214</f>
        <v>0</v>
      </c>
      <c r="I220" s="289">
        <f t="shared" si="10"/>
        <v>-494605.03915963852</v>
      </c>
      <c r="J220" s="357">
        <f t="shared" si="11"/>
        <v>195089.8638622908</v>
      </c>
      <c r="K220" s="456">
        <f t="shared" si="12"/>
        <v>-299515.17529734771</v>
      </c>
    </row>
    <row r="221" spans="1:11" x14ac:dyDescent="0.25">
      <c r="A221" s="38">
        <f>Données!A215</f>
        <v>5754</v>
      </c>
      <c r="B221" s="27" t="str">
        <f>Données!B215</f>
        <v>Juriens</v>
      </c>
      <c r="C221" s="26">
        <f>Ecrêtage!C215</f>
        <v>8633.2483544303759</v>
      </c>
      <c r="D221" s="12">
        <f>Données!Z215</f>
        <v>346</v>
      </c>
      <c r="E221" s="8">
        <f>Population!K218</f>
        <v>-44642.354124748483</v>
      </c>
      <c r="F221" s="221">
        <f>Solidarité!I215</f>
        <v>-202982.07041358328</v>
      </c>
      <c r="G221" s="8">
        <f>DT!O215</f>
        <v>-32313.759873417745</v>
      </c>
      <c r="H221" s="221">
        <f>Effort!K215+Aide!I215+Taux!J215</f>
        <v>0</v>
      </c>
      <c r="I221" s="289">
        <f t="shared" si="10"/>
        <v>-279938.18441174948</v>
      </c>
      <c r="J221" s="357">
        <f t="shared" si="11"/>
        <v>165054.6174585305</v>
      </c>
      <c r="K221" s="456">
        <f t="shared" si="12"/>
        <v>-114883.56695321898</v>
      </c>
    </row>
    <row r="222" spans="1:11" x14ac:dyDescent="0.25">
      <c r="A222" s="38">
        <f>Données!A216</f>
        <v>5755</v>
      </c>
      <c r="B222" s="27" t="str">
        <f>Données!B216</f>
        <v>Lignerolle</v>
      </c>
      <c r="C222" s="26">
        <f>Ecrêtage!C216</f>
        <v>10920.942602365787</v>
      </c>
      <c r="D222" s="12">
        <f>Données!Z216</f>
        <v>447</v>
      </c>
      <c r="E222" s="8">
        <f>Population!K219</f>
        <v>-57673.792756539224</v>
      </c>
      <c r="F222" s="221">
        <f>Solidarité!I216</f>
        <v>-264649.28825734742</v>
      </c>
      <c r="G222" s="8">
        <f>DT!O216</f>
        <v>-122646.38743403094</v>
      </c>
      <c r="H222" s="221">
        <f>Effort!K216+Aide!I216+Taux!J216</f>
        <v>0</v>
      </c>
      <c r="I222" s="289">
        <f t="shared" si="10"/>
        <v>-444969.46844791761</v>
      </c>
      <c r="J222" s="357">
        <f t="shared" si="11"/>
        <v>208791.86252009385</v>
      </c>
      <c r="K222" s="456">
        <f t="shared" si="12"/>
        <v>-236177.60592782375</v>
      </c>
    </row>
    <row r="223" spans="1:11" x14ac:dyDescent="0.25">
      <c r="A223" s="38">
        <f>Données!A217</f>
        <v>5756</v>
      </c>
      <c r="B223" s="27" t="str">
        <f>Données!B217</f>
        <v>Montcherand</v>
      </c>
      <c r="C223" s="26">
        <f>Ecrêtage!C217</f>
        <v>17503.400416666664</v>
      </c>
      <c r="D223" s="12">
        <f>Données!Z217</f>
        <v>496</v>
      </c>
      <c r="E223" s="8">
        <f>Population!K220</f>
        <v>-63995.975855130768</v>
      </c>
      <c r="F223" s="221">
        <f>Solidarité!I217</f>
        <v>-135463.30585905656</v>
      </c>
      <c r="G223" s="8">
        <f>DT!O217</f>
        <v>-55546.347500000018</v>
      </c>
      <c r="H223" s="221">
        <f>Effort!K217+Aide!I217+Taux!J217</f>
        <v>0</v>
      </c>
      <c r="I223" s="289">
        <f t="shared" si="10"/>
        <v>-255005.62921418733</v>
      </c>
      <c r="J223" s="357">
        <f t="shared" si="11"/>
        <v>334638.4745799448</v>
      </c>
      <c r="K223" s="456">
        <f t="shared" si="12"/>
        <v>79632.845365757472</v>
      </c>
    </row>
    <row r="224" spans="1:11" x14ac:dyDescent="0.25">
      <c r="A224" s="38">
        <f>Données!A218</f>
        <v>5757</v>
      </c>
      <c r="B224" s="27" t="str">
        <f>Données!B218</f>
        <v>Orbe</v>
      </c>
      <c r="C224" s="26">
        <f>Ecrêtage!C218</f>
        <v>217762.06927152316</v>
      </c>
      <c r="D224" s="12">
        <f>Données!Z218</f>
        <v>7617</v>
      </c>
      <c r="E224" s="8">
        <f>Population!K221</f>
        <v>-3504502.2132796776</v>
      </c>
      <c r="F224" s="221">
        <f>Solidarité!I218</f>
        <v>-3450158.0507775354</v>
      </c>
      <c r="G224" s="8">
        <f>DT!O218</f>
        <v>-2047285.0843708611</v>
      </c>
      <c r="H224" s="221">
        <f>Effort!K218+Aide!I218+Taux!J218</f>
        <v>0</v>
      </c>
      <c r="I224" s="289">
        <f t="shared" si="10"/>
        <v>-9001945.3484280743</v>
      </c>
      <c r="J224" s="357">
        <f t="shared" si="11"/>
        <v>4163280.5596452435</v>
      </c>
      <c r="K224" s="456">
        <f t="shared" si="12"/>
        <v>-4838664.7887828313</v>
      </c>
    </row>
    <row r="225" spans="1:11" x14ac:dyDescent="0.25">
      <c r="A225" s="38">
        <f>Données!A219</f>
        <v>5758</v>
      </c>
      <c r="B225" s="27" t="str">
        <f>Données!B219</f>
        <v>La Praz</v>
      </c>
      <c r="C225" s="26">
        <f>Ecrêtage!C219</f>
        <v>4500.7334939759048</v>
      </c>
      <c r="D225" s="12">
        <f>Données!Z219</f>
        <v>183</v>
      </c>
      <c r="E225" s="8">
        <f>Population!K222</f>
        <v>-23611.418511066393</v>
      </c>
      <c r="F225" s="221">
        <f>Solidarité!I219</f>
        <v>-120305.32414721354</v>
      </c>
      <c r="G225" s="8">
        <f>DT!O219</f>
        <v>-66135.849036144558</v>
      </c>
      <c r="H225" s="221">
        <f>Effort!K219+Aide!I219+Taux!J219</f>
        <v>0</v>
      </c>
      <c r="I225" s="289">
        <f t="shared" si="10"/>
        <v>-210052.59169442448</v>
      </c>
      <c r="J225" s="357">
        <f t="shared" si="11"/>
        <v>86047.199690457986</v>
      </c>
      <c r="K225" s="456">
        <f t="shared" si="12"/>
        <v>-124005.3920039665</v>
      </c>
    </row>
    <row r="226" spans="1:11" x14ac:dyDescent="0.25">
      <c r="A226" s="38">
        <f>Données!A220</f>
        <v>5759</v>
      </c>
      <c r="B226" s="27" t="str">
        <f>Données!B220</f>
        <v>Premier</v>
      </c>
      <c r="C226" s="26">
        <f>Ecrêtage!C220</f>
        <v>5667.0675471698114</v>
      </c>
      <c r="D226" s="12">
        <f>Données!Z220</f>
        <v>236</v>
      </c>
      <c r="E226" s="8">
        <f>Population!K223</f>
        <v>-30449.6981891348</v>
      </c>
      <c r="F226" s="221">
        <f>Solidarité!I220</f>
        <v>-145803.61155296187</v>
      </c>
      <c r="G226" s="8">
        <f>DT!O220</f>
        <v>-35568.344716981133</v>
      </c>
      <c r="H226" s="221">
        <f>Effort!K220+Aide!I220+Taux!J220</f>
        <v>0</v>
      </c>
      <c r="I226" s="289">
        <f t="shared" si="10"/>
        <v>-211821.65445907781</v>
      </c>
      <c r="J226" s="357">
        <f t="shared" si="11"/>
        <v>108345.73820985395</v>
      </c>
      <c r="K226" s="456">
        <f t="shared" si="12"/>
        <v>-103475.91624922385</v>
      </c>
    </row>
    <row r="227" spans="1:11" x14ac:dyDescent="0.25">
      <c r="A227" s="38">
        <f>Données!A221</f>
        <v>5760</v>
      </c>
      <c r="B227" s="27" t="str">
        <f>Données!B221</f>
        <v>Rances</v>
      </c>
      <c r="C227" s="26">
        <f>Ecrêtage!C221</f>
        <v>16308.735686274507</v>
      </c>
      <c r="D227" s="12">
        <f>Données!Z221</f>
        <v>521</v>
      </c>
      <c r="E227" s="8">
        <f>Population!K224</f>
        <v>-67221.579476861152</v>
      </c>
      <c r="F227" s="221">
        <f>Solidarité!I221</f>
        <v>-209211.58827892013</v>
      </c>
      <c r="G227" s="8">
        <f>DT!O221</f>
        <v>-153608.53411764707</v>
      </c>
      <c r="H227" s="221">
        <f>Effort!K221+Aide!I221+Taux!J221</f>
        <v>0</v>
      </c>
      <c r="I227" s="289">
        <f t="shared" si="10"/>
        <v>-430041.7018734283</v>
      </c>
      <c r="J227" s="357">
        <f t="shared" si="11"/>
        <v>311798.29647191142</v>
      </c>
      <c r="K227" s="456">
        <f t="shared" si="12"/>
        <v>-118243.40540151688</v>
      </c>
    </row>
    <row r="228" spans="1:11" x14ac:dyDescent="0.25">
      <c r="A228" s="38">
        <f>Données!A222</f>
        <v>5761</v>
      </c>
      <c r="B228" s="27" t="str">
        <f>Données!B222</f>
        <v>Romainmôtier-Envy</v>
      </c>
      <c r="C228" s="26">
        <f>Ecrêtage!C222</f>
        <v>14407.779147025813</v>
      </c>
      <c r="D228" s="12">
        <f>Données!Z222</f>
        <v>559</v>
      </c>
      <c r="E228" s="8">
        <f>Population!K225</f>
        <v>-72124.496981891338</v>
      </c>
      <c r="F228" s="221">
        <f>Solidarité!I222</f>
        <v>-332695.67088096705</v>
      </c>
      <c r="G228" s="8">
        <f>DT!O222</f>
        <v>-191236.32511784512</v>
      </c>
      <c r="H228" s="221">
        <f>Effort!K222+Aide!I222+Taux!J222</f>
        <v>0</v>
      </c>
      <c r="I228" s="289">
        <f t="shared" si="10"/>
        <v>-596056.49298070348</v>
      </c>
      <c r="J228" s="357">
        <f t="shared" si="11"/>
        <v>275454.88996838249</v>
      </c>
      <c r="K228" s="456">
        <f t="shared" si="12"/>
        <v>-320601.60301232099</v>
      </c>
    </row>
    <row r="229" spans="1:11" x14ac:dyDescent="0.25">
      <c r="A229" s="38">
        <f>Données!A223</f>
        <v>5762</v>
      </c>
      <c r="B229" s="27" t="str">
        <f>Données!B223</f>
        <v>Sergey</v>
      </c>
      <c r="C229" s="26">
        <f>Ecrêtage!C223</f>
        <v>3741.4505128205124</v>
      </c>
      <c r="D229" s="12">
        <f>Données!Z223</f>
        <v>140</v>
      </c>
      <c r="E229" s="8">
        <f>Population!K226</f>
        <v>-18063.380281690137</v>
      </c>
      <c r="F229" s="221">
        <f>Solidarité!I223</f>
        <v>-74029.395838312063</v>
      </c>
      <c r="G229" s="8">
        <f>DT!O223</f>
        <v>-41841.709038461537</v>
      </c>
      <c r="H229" s="221">
        <f>Effort!K223+Aide!I223+Taux!J223</f>
        <v>0</v>
      </c>
      <c r="I229" s="289">
        <f t="shared" si="10"/>
        <v>-133934.48515846374</v>
      </c>
      <c r="J229" s="357">
        <f t="shared" si="11"/>
        <v>71530.860434091854</v>
      </c>
      <c r="K229" s="456">
        <f t="shared" si="12"/>
        <v>-62403.624724371883</v>
      </c>
    </row>
    <row r="230" spans="1:11" x14ac:dyDescent="0.25">
      <c r="A230" s="38">
        <f>Données!A224</f>
        <v>5763</v>
      </c>
      <c r="B230" s="27" t="str">
        <f>Données!B224</f>
        <v>Valeyres-sous-Rances</v>
      </c>
      <c r="C230" s="26">
        <f>Ecrêtage!C224</f>
        <v>22297.189859154929</v>
      </c>
      <c r="D230" s="12">
        <f>Données!Z224</f>
        <v>606</v>
      </c>
      <c r="E230" s="8">
        <f>Population!K227</f>
        <v>-78188.631790744446</v>
      </c>
      <c r="F230" s="221">
        <f>Solidarité!I224</f>
        <v>-142565.83020699871</v>
      </c>
      <c r="G230" s="8">
        <f>DT!O224</f>
        <v>-70389.968450704226</v>
      </c>
      <c r="H230" s="221">
        <f>Effort!K224+Aide!I224+Taux!J224</f>
        <v>0</v>
      </c>
      <c r="I230" s="289">
        <f t="shared" si="10"/>
        <v>-291144.43044844741</v>
      </c>
      <c r="J230" s="357">
        <f t="shared" si="11"/>
        <v>426288.45962880523</v>
      </c>
      <c r="K230" s="456">
        <f t="shared" si="12"/>
        <v>135144.02918035781</v>
      </c>
    </row>
    <row r="231" spans="1:11" x14ac:dyDescent="0.25">
      <c r="A231" s="38">
        <f>Données!A225</f>
        <v>5764</v>
      </c>
      <c r="B231" s="27" t="str">
        <f>Données!B225</f>
        <v>Vallorbe</v>
      </c>
      <c r="C231" s="26">
        <f>Ecrêtage!C225</f>
        <v>83717.114965034954</v>
      </c>
      <c r="D231" s="12">
        <f>Données!Z225</f>
        <v>3987</v>
      </c>
      <c r="E231" s="8">
        <f>Population!K228</f>
        <v>-1360946.6800804827</v>
      </c>
      <c r="F231" s="221">
        <f>Solidarité!I225</f>
        <v>-2238069.1024390552</v>
      </c>
      <c r="G231" s="8">
        <f>DT!O225</f>
        <v>-2190233.9739860138</v>
      </c>
      <c r="H231" s="221">
        <f>Effort!K225+Aide!I225+Taux!J225</f>
        <v>0</v>
      </c>
      <c r="I231" s="289">
        <f t="shared" si="10"/>
        <v>-5789249.7565055517</v>
      </c>
      <c r="J231" s="357">
        <f t="shared" si="11"/>
        <v>1600544.2931795944</v>
      </c>
      <c r="K231" s="456">
        <f t="shared" si="12"/>
        <v>-4188705.4633259573</v>
      </c>
    </row>
    <row r="232" spans="1:11" x14ac:dyDescent="0.25">
      <c r="A232" s="38">
        <f>Données!A226</f>
        <v>5765</v>
      </c>
      <c r="B232" s="27" t="str">
        <f>Données!B226</f>
        <v>Vaulion</v>
      </c>
      <c r="C232" s="26">
        <f>Ecrêtage!C226</f>
        <v>9628.0504938271606</v>
      </c>
      <c r="D232" s="12">
        <f>Données!Z226</f>
        <v>483</v>
      </c>
      <c r="E232" s="8">
        <f>Population!K229</f>
        <v>-62318.661971830974</v>
      </c>
      <c r="F232" s="221">
        <f>Solidarité!I226</f>
        <v>-361434.31774108345</v>
      </c>
      <c r="G232" s="8">
        <f>DT!O226</f>
        <v>-173052.40916666665</v>
      </c>
      <c r="H232" s="221">
        <f>Effort!K226+Aide!I226+Taux!J226</f>
        <v>34925.952707955854</v>
      </c>
      <c r="I232" s="289">
        <f t="shared" si="10"/>
        <v>-561879.43617162528</v>
      </c>
      <c r="J232" s="357">
        <f t="shared" si="11"/>
        <v>184073.72588957689</v>
      </c>
      <c r="K232" s="456">
        <f t="shared" si="12"/>
        <v>-377805.71028204839</v>
      </c>
    </row>
    <row r="233" spans="1:11" x14ac:dyDescent="0.25">
      <c r="A233" s="38">
        <f>Données!A227</f>
        <v>5766</v>
      </c>
      <c r="B233" s="27" t="str">
        <f>Données!B227</f>
        <v>Vuiteboeuf</v>
      </c>
      <c r="C233" s="26">
        <f>Ecrêtage!C227</f>
        <v>15422.760361904762</v>
      </c>
      <c r="D233" s="12">
        <f>Données!Z227</f>
        <v>592</v>
      </c>
      <c r="E233" s="8">
        <f>Population!K230</f>
        <v>-76382.293762575442</v>
      </c>
      <c r="F233" s="221">
        <f>Solidarité!I227</f>
        <v>-298374.63941860042</v>
      </c>
      <c r="G233" s="8">
        <f>DT!O227</f>
        <v>-57260.367557142854</v>
      </c>
      <c r="H233" s="221">
        <f>Effort!K227+Aide!I227+Taux!J227</f>
        <v>0</v>
      </c>
      <c r="I233" s="289">
        <f t="shared" si="10"/>
        <v>-432017.30073831871</v>
      </c>
      <c r="J233" s="357">
        <f t="shared" si="11"/>
        <v>294859.79172398511</v>
      </c>
      <c r="K233" s="456">
        <f t="shared" si="12"/>
        <v>-137157.5090143336</v>
      </c>
    </row>
    <row r="234" spans="1:11" x14ac:dyDescent="0.25">
      <c r="A234" s="38">
        <f>Données!A228</f>
        <v>5785</v>
      </c>
      <c r="B234" s="27" t="str">
        <f>Données!B228</f>
        <v>Corcelles-le-Jorat</v>
      </c>
      <c r="C234" s="26">
        <f>Ecrêtage!C228</f>
        <v>15461.968933333332</v>
      </c>
      <c r="D234" s="12">
        <f>Données!Z228</f>
        <v>485</v>
      </c>
      <c r="E234" s="8">
        <f>Population!K231</f>
        <v>-62576.710261569402</v>
      </c>
      <c r="F234" s="221">
        <f>Solidarité!I228</f>
        <v>-180895.0814740971</v>
      </c>
      <c r="G234" s="8">
        <f>DT!O228</f>
        <v>-79831.709700000007</v>
      </c>
      <c r="H234" s="221">
        <f>Effort!K228+Aide!I228+Taux!J228</f>
        <v>0</v>
      </c>
      <c r="I234" s="289">
        <f t="shared" si="10"/>
        <v>-323303.50143566652</v>
      </c>
      <c r="J234" s="357">
        <f t="shared" si="11"/>
        <v>295609.40015554574</v>
      </c>
      <c r="K234" s="456">
        <f t="shared" si="12"/>
        <v>-27694.101280120783</v>
      </c>
    </row>
    <row r="235" spans="1:11" x14ac:dyDescent="0.25">
      <c r="A235" s="38">
        <f>Données!A229</f>
        <v>5790</v>
      </c>
      <c r="B235" s="27" t="str">
        <f>Données!B229</f>
        <v>Maracon</v>
      </c>
      <c r="C235" s="26">
        <f>Ecrêtage!C229</f>
        <v>16326.697583892621</v>
      </c>
      <c r="D235" s="12">
        <f>Données!Z229</f>
        <v>544</v>
      </c>
      <c r="E235" s="8">
        <f>Population!K232</f>
        <v>-70189.134808853109</v>
      </c>
      <c r="F235" s="221">
        <f>Solidarité!I229</f>
        <v>-222747.04798161431</v>
      </c>
      <c r="G235" s="8">
        <f>DT!O229</f>
        <v>-55449.314496644278</v>
      </c>
      <c r="H235" s="221">
        <f>Effort!K229+Aide!I229+Taux!J229</f>
        <v>0</v>
      </c>
      <c r="I235" s="289">
        <f t="shared" si="10"/>
        <v>-348385.49728711171</v>
      </c>
      <c r="J235" s="357">
        <f t="shared" si="11"/>
        <v>312141.70071773801</v>
      </c>
      <c r="K235" s="456">
        <f t="shared" si="12"/>
        <v>-36243.796569373691</v>
      </c>
    </row>
    <row r="236" spans="1:11" x14ac:dyDescent="0.25">
      <c r="A236" s="38">
        <f>Données!A230</f>
        <v>5792</v>
      </c>
      <c r="B236" s="27" t="str">
        <f>Données!B230</f>
        <v>Montpreveyres</v>
      </c>
      <c r="C236" s="26">
        <f>Ecrêtage!C230</f>
        <v>19363.161854304632</v>
      </c>
      <c r="D236" s="12">
        <f>Données!Z230</f>
        <v>661</v>
      </c>
      <c r="E236" s="8">
        <f>Population!K233</f>
        <v>-85284.959758551282</v>
      </c>
      <c r="F236" s="221">
        <f>Solidarité!I230</f>
        <v>-288789.77654352842</v>
      </c>
      <c r="G236" s="8">
        <f>DT!O230</f>
        <v>-160776.52887417222</v>
      </c>
      <c r="H236" s="221">
        <f>Effort!K230+Aide!I230+Taux!J230</f>
        <v>0</v>
      </c>
      <c r="I236" s="289">
        <f t="shared" si="10"/>
        <v>-534851.26517625188</v>
      </c>
      <c r="J236" s="357">
        <f t="shared" si="11"/>
        <v>370194.29320711724</v>
      </c>
      <c r="K236" s="456">
        <f t="shared" si="12"/>
        <v>-164656.97196913464</v>
      </c>
    </row>
    <row r="237" spans="1:11" x14ac:dyDescent="0.25">
      <c r="A237" s="38">
        <f>Données!A231</f>
        <v>5798</v>
      </c>
      <c r="B237" s="27" t="str">
        <f>Données!B231</f>
        <v>Ropraz</v>
      </c>
      <c r="C237" s="26">
        <f>Ecrêtage!C231</f>
        <v>16208.351096774193</v>
      </c>
      <c r="D237" s="12">
        <f>Données!Z231</f>
        <v>529</v>
      </c>
      <c r="E237" s="8">
        <f>Population!K234</f>
        <v>-68253.772635814879</v>
      </c>
      <c r="F237" s="221">
        <f>Solidarité!I231</f>
        <v>-226435.16622543594</v>
      </c>
      <c r="G237" s="8">
        <f>DT!O231</f>
        <v>-86845.380096774184</v>
      </c>
      <c r="H237" s="221">
        <f>Effort!K231+Aide!I231+Taux!J231</f>
        <v>0</v>
      </c>
      <c r="I237" s="289">
        <f t="shared" si="10"/>
        <v>-381534.31895802502</v>
      </c>
      <c r="J237" s="357">
        <f t="shared" si="11"/>
        <v>309879.09533944278</v>
      </c>
      <c r="K237" s="456">
        <f t="shared" si="12"/>
        <v>-71655.22361858224</v>
      </c>
    </row>
    <row r="238" spans="1:11" x14ac:dyDescent="0.25">
      <c r="A238" s="38">
        <f>Données!A232</f>
        <v>5799</v>
      </c>
      <c r="B238" s="27" t="str">
        <f>Données!B232</f>
        <v>Servion</v>
      </c>
      <c r="C238" s="26">
        <f>Ecrêtage!C232</f>
        <v>73170.718115942043</v>
      </c>
      <c r="D238" s="12">
        <f>Données!Z232</f>
        <v>2136</v>
      </c>
      <c r="E238" s="8">
        <f>Population!K235</f>
        <v>-539424.1448692152</v>
      </c>
      <c r="F238" s="221">
        <f>Solidarité!I232</f>
        <v>-577757.64795495849</v>
      </c>
      <c r="G238" s="8">
        <f>DT!O232</f>
        <v>-370618.69130434771</v>
      </c>
      <c r="H238" s="221">
        <f>Effort!K232+Aide!I232+Taux!J232</f>
        <v>0</v>
      </c>
      <c r="I238" s="289">
        <f t="shared" si="10"/>
        <v>-1487800.4841285215</v>
      </c>
      <c r="J238" s="357">
        <f t="shared" si="11"/>
        <v>1398913.1775173675</v>
      </c>
      <c r="K238" s="456">
        <f t="shared" si="12"/>
        <v>-88887.306611153996</v>
      </c>
    </row>
    <row r="239" spans="1:11" x14ac:dyDescent="0.25">
      <c r="A239" s="38">
        <f>Données!A233</f>
        <v>5803</v>
      </c>
      <c r="B239" s="27" t="str">
        <f>Données!B233</f>
        <v>Vulliens</v>
      </c>
      <c r="C239" s="26">
        <f>Ecrêtage!C233</f>
        <v>16577.57405405405</v>
      </c>
      <c r="D239" s="12">
        <f>Données!Z233</f>
        <v>632</v>
      </c>
      <c r="E239" s="8">
        <f>Population!K236</f>
        <v>-81543.259557344049</v>
      </c>
      <c r="F239" s="221">
        <f>Solidarité!I233</f>
        <v>-307630.10982884356</v>
      </c>
      <c r="G239" s="8">
        <f>DT!O233</f>
        <v>-101685.62513513517</v>
      </c>
      <c r="H239" s="221">
        <f>Effort!K233+Aide!I233+Taux!J233</f>
        <v>0</v>
      </c>
      <c r="I239" s="289">
        <f t="shared" si="10"/>
        <v>-490858.99452132278</v>
      </c>
      <c r="J239" s="357">
        <f t="shared" si="11"/>
        <v>316938.0784091769</v>
      </c>
      <c r="K239" s="456">
        <f t="shared" si="12"/>
        <v>-173920.91611214587</v>
      </c>
    </row>
    <row r="240" spans="1:11" x14ac:dyDescent="0.25">
      <c r="A240" s="38">
        <f>Données!A234</f>
        <v>5804</v>
      </c>
      <c r="B240" s="27" t="str">
        <f>Données!B234</f>
        <v>Jorat-Menthue</v>
      </c>
      <c r="C240" s="26">
        <f>Ecrêtage!C234</f>
        <v>45125.345957446807</v>
      </c>
      <c r="D240" s="12">
        <f>Données!Z234</f>
        <v>1565</v>
      </c>
      <c r="E240" s="8">
        <f>Population!K237</f>
        <v>-333140.34205231385</v>
      </c>
      <c r="F240" s="221">
        <f>Solidarité!I234</f>
        <v>-610472.08015084988</v>
      </c>
      <c r="G240" s="8">
        <f>DT!O234</f>
        <v>-422930.91478723404</v>
      </c>
      <c r="H240" s="221">
        <f>Effort!K234+Aide!I234+Taux!J234</f>
        <v>0</v>
      </c>
      <c r="I240" s="289">
        <f t="shared" si="10"/>
        <v>-1366543.3369903979</v>
      </c>
      <c r="J240" s="357">
        <f t="shared" si="11"/>
        <v>862728.1886160518</v>
      </c>
      <c r="K240" s="456">
        <f t="shared" si="12"/>
        <v>-503815.14837434608</v>
      </c>
    </row>
    <row r="241" spans="1:11" x14ac:dyDescent="0.25">
      <c r="A241" s="38">
        <f>Données!A235</f>
        <v>5805</v>
      </c>
      <c r="B241" s="27" t="str">
        <f>Données!B235</f>
        <v>Oron</v>
      </c>
      <c r="C241" s="26">
        <f>Ecrêtage!C235</f>
        <v>174509.83123847167</v>
      </c>
      <c r="D241" s="12">
        <f>Données!Z235</f>
        <v>6119</v>
      </c>
      <c r="E241" s="8">
        <f>Population!K238</f>
        <v>-2576767.0020120721</v>
      </c>
      <c r="F241" s="221">
        <f>Solidarité!I235</f>
        <v>-2323045.9530587243</v>
      </c>
      <c r="G241" s="8">
        <f>DT!O235</f>
        <v>-1218701.51256917</v>
      </c>
      <c r="H241" s="221">
        <f>Effort!K235+Aide!I235+Taux!J235</f>
        <v>0</v>
      </c>
      <c r="I241" s="289">
        <f t="shared" si="10"/>
        <v>-6118514.4676399659</v>
      </c>
      <c r="J241" s="357">
        <f t="shared" si="11"/>
        <v>3336363.3542451393</v>
      </c>
      <c r="K241" s="456">
        <f t="shared" si="12"/>
        <v>-2782151.1133948267</v>
      </c>
    </row>
    <row r="242" spans="1:11" x14ac:dyDescent="0.25">
      <c r="A242" s="38">
        <f>Données!A236</f>
        <v>5806</v>
      </c>
      <c r="B242" s="27" t="str">
        <f>Données!B236</f>
        <v>Jorat-Mézières</v>
      </c>
      <c r="C242" s="26">
        <f>Ecrêtage!C236</f>
        <v>102977.86342465752</v>
      </c>
      <c r="D242" s="12">
        <f>Données!Z236</f>
        <v>3110</v>
      </c>
      <c r="E242" s="8">
        <f>Population!K239</f>
        <v>-908329.97987927543</v>
      </c>
      <c r="F242" s="221">
        <f>Solidarité!I236</f>
        <v>-1017353.1877988775</v>
      </c>
      <c r="G242" s="8">
        <f>DT!O236</f>
        <v>-507969.06945205486</v>
      </c>
      <c r="H242" s="221">
        <f>Effort!K236+Aide!I236+Taux!J236</f>
        <v>0</v>
      </c>
      <c r="I242" s="289">
        <f t="shared" si="10"/>
        <v>-2433652.2371302079</v>
      </c>
      <c r="J242" s="357">
        <f t="shared" si="11"/>
        <v>1968780.597575559</v>
      </c>
      <c r="K242" s="456">
        <f t="shared" si="12"/>
        <v>-464871.63955464889</v>
      </c>
    </row>
    <row r="243" spans="1:11" x14ac:dyDescent="0.25">
      <c r="A243" s="38">
        <f>Données!A237</f>
        <v>5812</v>
      </c>
      <c r="B243" s="27" t="str">
        <f>Données!B237</f>
        <v>Champtauroz</v>
      </c>
      <c r="C243" s="26">
        <f>Ecrêtage!C237</f>
        <v>3659.293116883116</v>
      </c>
      <c r="D243" s="12">
        <f>Données!Z237</f>
        <v>169</v>
      </c>
      <c r="E243" s="8">
        <f>Population!K240</f>
        <v>-21805.080482897378</v>
      </c>
      <c r="F243" s="221">
        <f>Solidarité!I237</f>
        <v>-107399.45571190212</v>
      </c>
      <c r="G243" s="8">
        <f>DT!O237</f>
        <v>-39391.021461038967</v>
      </c>
      <c r="H243" s="221">
        <f>Effort!K237+Aide!I237+Taux!J237</f>
        <v>0</v>
      </c>
      <c r="I243" s="289">
        <f t="shared" si="10"/>
        <v>-168595.55765583846</v>
      </c>
      <c r="J243" s="357">
        <f t="shared" si="11"/>
        <v>69960.135603631366</v>
      </c>
      <c r="K243" s="456">
        <f t="shared" si="12"/>
        <v>-98635.422052207097</v>
      </c>
    </row>
    <row r="244" spans="1:11" x14ac:dyDescent="0.25">
      <c r="A244" s="38">
        <f>Données!A238</f>
        <v>5813</v>
      </c>
      <c r="B244" s="27" t="str">
        <f>Données!B238</f>
        <v>Chevroux</v>
      </c>
      <c r="C244" s="26">
        <f>Ecrêtage!C238</f>
        <v>17498.80282238443</v>
      </c>
      <c r="D244" s="12">
        <f>Données!Z238</f>
        <v>522</v>
      </c>
      <c r="E244" s="8">
        <f>Population!K241</f>
        <v>-67350.603621730363</v>
      </c>
      <c r="F244" s="221">
        <f>Solidarité!I238</f>
        <v>-146333.71846197909</v>
      </c>
      <c r="G244" s="8">
        <f>DT!O238</f>
        <v>-169857.43306569342</v>
      </c>
      <c r="H244" s="221">
        <f>Effort!K238+Aide!I238+Taux!J238</f>
        <v>0</v>
      </c>
      <c r="I244" s="289">
        <f t="shared" si="10"/>
        <v>-383541.75514940289</v>
      </c>
      <c r="J244" s="357">
        <f t="shared" si="11"/>
        <v>334550.57554885827</v>
      </c>
      <c r="K244" s="456">
        <f t="shared" si="12"/>
        <v>-48991.179600544623</v>
      </c>
    </row>
    <row r="245" spans="1:11" x14ac:dyDescent="0.25">
      <c r="A245" s="38">
        <f>Données!A239</f>
        <v>5816</v>
      </c>
      <c r="B245" s="27" t="str">
        <f>Données!B239</f>
        <v>Corcelles-près-Payerne</v>
      </c>
      <c r="C245" s="26">
        <f>Ecrêtage!C239</f>
        <v>65701.749572471308</v>
      </c>
      <c r="D245" s="12">
        <f>Données!Z239</f>
        <v>2856</v>
      </c>
      <c r="E245" s="8">
        <f>Population!K242</f>
        <v>-799536.8209255531</v>
      </c>
      <c r="F245" s="221">
        <f>Solidarité!I239</f>
        <v>-1363968.8797174972</v>
      </c>
      <c r="G245" s="8">
        <f>DT!O239</f>
        <v>-337659.00256517215</v>
      </c>
      <c r="H245" s="221">
        <f>Effort!K239+Aide!I239+Taux!J239</f>
        <v>0</v>
      </c>
      <c r="I245" s="289">
        <f t="shared" si="10"/>
        <v>-2501164.7032082225</v>
      </c>
      <c r="J245" s="357">
        <f t="shared" si="11"/>
        <v>1256117.8245816764</v>
      </c>
      <c r="K245" s="456">
        <f t="shared" si="12"/>
        <v>-1245046.8786265461</v>
      </c>
    </row>
    <row r="246" spans="1:11" x14ac:dyDescent="0.25">
      <c r="A246" s="38">
        <f>Données!A240</f>
        <v>5817</v>
      </c>
      <c r="B246" s="27" t="str">
        <f>Données!B240</f>
        <v>Grandcour</v>
      </c>
      <c r="C246" s="26">
        <f>Ecrêtage!C240</f>
        <v>25916.897414965984</v>
      </c>
      <c r="D246" s="12">
        <f>Données!Z240</f>
        <v>1001</v>
      </c>
      <c r="E246" s="8">
        <f>Population!K243</f>
        <v>-129385.41247484907</v>
      </c>
      <c r="F246" s="221">
        <f>Solidarité!I240</f>
        <v>-488015.10668529366</v>
      </c>
      <c r="G246" s="8">
        <f>DT!O240</f>
        <v>-119996.94244897961</v>
      </c>
      <c r="H246" s="221">
        <f>Effort!K240+Aide!I240+Taux!J240</f>
        <v>0</v>
      </c>
      <c r="I246" s="289">
        <f t="shared" si="10"/>
        <v>-737397.46160912234</v>
      </c>
      <c r="J246" s="357">
        <f t="shared" si="11"/>
        <v>495491.77933054289</v>
      </c>
      <c r="K246" s="456">
        <f t="shared" si="12"/>
        <v>-241905.68227857945</v>
      </c>
    </row>
    <row r="247" spans="1:11" x14ac:dyDescent="0.25">
      <c r="A247" s="38">
        <f>Données!A241</f>
        <v>5819</v>
      </c>
      <c r="B247" s="27" t="str">
        <f>Données!B241</f>
        <v>Henniez</v>
      </c>
      <c r="C247" s="26">
        <f>Ecrêtage!C241</f>
        <v>10275.75579710145</v>
      </c>
      <c r="D247" s="12">
        <f>Données!Z241</f>
        <v>414</v>
      </c>
      <c r="E247" s="8">
        <f>Population!K244</f>
        <v>-53415.995975855119</v>
      </c>
      <c r="F247" s="221">
        <f>Solidarité!I241</f>
        <v>-186310.22931360616</v>
      </c>
      <c r="G247" s="8">
        <f>DT!O241</f>
        <v>-102975.71521739129</v>
      </c>
      <c r="H247" s="221">
        <f>Effort!K241+Aide!I241+Taux!J241</f>
        <v>0</v>
      </c>
      <c r="I247" s="289">
        <f t="shared" si="10"/>
        <v>-342701.94050685258</v>
      </c>
      <c r="J247" s="357">
        <f t="shared" si="11"/>
        <v>196456.86913634068</v>
      </c>
      <c r="K247" s="456">
        <f t="shared" si="12"/>
        <v>-146245.0713705119</v>
      </c>
    </row>
    <row r="248" spans="1:11" x14ac:dyDescent="0.25">
      <c r="A248" s="38">
        <f>Données!A242</f>
        <v>5821</v>
      </c>
      <c r="B248" s="27" t="str">
        <f>Données!B242</f>
        <v>Missy</v>
      </c>
      <c r="C248" s="26">
        <f>Ecrêtage!C242</f>
        <v>8375.965000000002</v>
      </c>
      <c r="D248" s="12">
        <f>Données!Z242</f>
        <v>387</v>
      </c>
      <c r="E248" s="8">
        <f>Population!K245</f>
        <v>-49932.344064386307</v>
      </c>
      <c r="F248" s="221">
        <f>Solidarité!I242</f>
        <v>-215109.94415936596</v>
      </c>
      <c r="G248" s="8">
        <f>DT!O242</f>
        <v>-46177.709999999992</v>
      </c>
      <c r="H248" s="221">
        <f>Effort!K242+Aide!I242+Taux!J242</f>
        <v>0</v>
      </c>
      <c r="I248" s="289">
        <f t="shared" si="10"/>
        <v>-311219.99822375225</v>
      </c>
      <c r="J248" s="357">
        <f t="shared" si="11"/>
        <v>160135.74985498699</v>
      </c>
      <c r="K248" s="456">
        <f t="shared" si="12"/>
        <v>-151084.24836876526</v>
      </c>
    </row>
    <row r="249" spans="1:11" x14ac:dyDescent="0.25">
      <c r="A249" s="38">
        <f>Données!A243</f>
        <v>5822</v>
      </c>
      <c r="B249" s="27" t="str">
        <f>Données!B243</f>
        <v>Payerne</v>
      </c>
      <c r="C249" s="26">
        <f>Ecrêtage!C243</f>
        <v>226844.26479452057</v>
      </c>
      <c r="D249" s="12">
        <f>Données!Z243</f>
        <v>10372</v>
      </c>
      <c r="E249" s="8">
        <f>Population!K246</f>
        <v>-5564759.7585513061</v>
      </c>
      <c r="F249" s="221">
        <f>Solidarité!I243</f>
        <v>-5876165.2603089064</v>
      </c>
      <c r="G249" s="8">
        <f>DT!O243</f>
        <v>-1692801.6612328766</v>
      </c>
      <c r="H249" s="221">
        <f>Effort!K243+Aide!I243+Taux!J243</f>
        <v>1622085.9105732227</v>
      </c>
      <c r="I249" s="289">
        <f t="shared" si="10"/>
        <v>-11511640.769519869</v>
      </c>
      <c r="J249" s="357">
        <f t="shared" si="11"/>
        <v>4336918.3662030306</v>
      </c>
      <c r="K249" s="456">
        <f t="shared" si="12"/>
        <v>-7174722.4033168387</v>
      </c>
    </row>
    <row r="250" spans="1:11" x14ac:dyDescent="0.25">
      <c r="A250" s="38">
        <f>Données!A244</f>
        <v>5827</v>
      </c>
      <c r="B250" s="27" t="str">
        <f>Données!B244</f>
        <v>Trey</v>
      </c>
      <c r="C250" s="26">
        <f>Ecrêtage!C244</f>
        <v>7715.2558974358981</v>
      </c>
      <c r="D250" s="12">
        <f>Données!Z244</f>
        <v>302</v>
      </c>
      <c r="E250" s="8">
        <f>Population!K247</f>
        <v>-38965.291750503013</v>
      </c>
      <c r="F250" s="221">
        <f>Solidarité!I244</f>
        <v>-168338.4909318173</v>
      </c>
      <c r="G250" s="8">
        <f>DT!O244</f>
        <v>-31218.714615384612</v>
      </c>
      <c r="H250" s="221">
        <f>Effort!K244+Aide!I244+Taux!J244</f>
        <v>0</v>
      </c>
      <c r="I250" s="289">
        <f t="shared" si="10"/>
        <v>-238522.49729770492</v>
      </c>
      <c r="J250" s="357">
        <f t="shared" si="11"/>
        <v>147503.99368419134</v>
      </c>
      <c r="K250" s="456">
        <f t="shared" si="12"/>
        <v>-91018.503613513574</v>
      </c>
    </row>
    <row r="251" spans="1:11" x14ac:dyDescent="0.25">
      <c r="A251" s="38">
        <f>Données!A245</f>
        <v>5828</v>
      </c>
      <c r="B251" s="27" t="str">
        <f>Données!B245</f>
        <v>Treytorrens (Payerne)</v>
      </c>
      <c r="C251" s="26">
        <f>Ecrêtage!C245</f>
        <v>2864.8065848670758</v>
      </c>
      <c r="D251" s="12">
        <f>Données!Z245</f>
        <v>105</v>
      </c>
      <c r="E251" s="8">
        <f>Population!K248</f>
        <v>-13547.535211267603</v>
      </c>
      <c r="F251" s="221">
        <f>Solidarité!I245</f>
        <v>-59057.763706200793</v>
      </c>
      <c r="G251" s="8">
        <f>DT!O245</f>
        <v>-40068.555552147234</v>
      </c>
      <c r="H251" s="221">
        <f>Effort!K245+Aide!I245+Taux!J245</f>
        <v>0</v>
      </c>
      <c r="I251" s="289">
        <f t="shared" si="10"/>
        <v>-112673.85446961562</v>
      </c>
      <c r="J251" s="357">
        <f t="shared" si="11"/>
        <v>54770.75783592619</v>
      </c>
      <c r="K251" s="456">
        <f t="shared" si="12"/>
        <v>-57903.096633689427</v>
      </c>
    </row>
    <row r="252" spans="1:11" x14ac:dyDescent="0.25">
      <c r="A252" s="38">
        <f>Données!A246</f>
        <v>5830</v>
      </c>
      <c r="B252" s="27" t="str">
        <f>Données!B246</f>
        <v>Villarzel</v>
      </c>
      <c r="C252" s="26">
        <f>Ecrêtage!C246</f>
        <v>12474.180666666667</v>
      </c>
      <c r="D252" s="12">
        <f>Données!Z246</f>
        <v>486</v>
      </c>
      <c r="E252" s="8">
        <f>Population!K249</f>
        <v>-62705.73440643862</v>
      </c>
      <c r="F252" s="221">
        <f>Solidarité!I246</f>
        <v>-249155.13239506885</v>
      </c>
      <c r="G252" s="8">
        <f>DT!O246</f>
        <v>-105262.78049999999</v>
      </c>
      <c r="H252" s="221">
        <f>Effort!K246+Aide!I246+Taux!J246</f>
        <v>0</v>
      </c>
      <c r="I252" s="289">
        <f t="shared" si="10"/>
        <v>-417123.64730150747</v>
      </c>
      <c r="J252" s="357">
        <f t="shared" si="11"/>
        <v>238487.41904762588</v>
      </c>
      <c r="K252" s="456">
        <f t="shared" si="12"/>
        <v>-178636.22825388159</v>
      </c>
    </row>
    <row r="253" spans="1:11" x14ac:dyDescent="0.25">
      <c r="A253" s="38">
        <f>Données!A247</f>
        <v>5831</v>
      </c>
      <c r="B253" s="27" t="str">
        <f>Données!B247</f>
        <v>Valbroye</v>
      </c>
      <c r="C253" s="26">
        <f>Ecrêtage!C247</f>
        <v>87470.557399527184</v>
      </c>
      <c r="D253" s="12">
        <f>Données!Z247</f>
        <v>3361</v>
      </c>
      <c r="E253" s="8">
        <f>Population!K250</f>
        <v>-1037870.2213279676</v>
      </c>
      <c r="F253" s="221">
        <f>Solidarité!I247</f>
        <v>-1498591.6513824472</v>
      </c>
      <c r="G253" s="8">
        <f>DT!O247</f>
        <v>-967520.65560283698</v>
      </c>
      <c r="H253" s="221">
        <f>Effort!K247+Aide!I247+Taux!J247</f>
        <v>0</v>
      </c>
      <c r="I253" s="289">
        <f t="shared" si="10"/>
        <v>-3503982.5283132517</v>
      </c>
      <c r="J253" s="357">
        <f t="shared" si="11"/>
        <v>1672304.4209720269</v>
      </c>
      <c r="K253" s="456">
        <f t="shared" si="12"/>
        <v>-1831678.1073412248</v>
      </c>
    </row>
    <row r="254" spans="1:11" x14ac:dyDescent="0.25">
      <c r="A254" s="38">
        <f>Données!A248</f>
        <v>5841</v>
      </c>
      <c r="B254" s="27" t="str">
        <f>Données!B248</f>
        <v>Château-d'Oex</v>
      </c>
      <c r="C254" s="26">
        <f>Ecrêtage!C248</f>
        <v>123828.98781186093</v>
      </c>
      <c r="D254" s="12">
        <f>Données!Z248</f>
        <v>3568</v>
      </c>
      <c r="E254" s="8">
        <f>Population!K251</f>
        <v>-1144702.2132796778</v>
      </c>
      <c r="F254" s="221">
        <f>Solidarité!I248</f>
        <v>-1303862.8597973795</v>
      </c>
      <c r="G254" s="8">
        <f>DT!O248</f>
        <v>-2131135.5731288344</v>
      </c>
      <c r="H254" s="221">
        <f>Effort!K248+Aide!I248+Taux!J248</f>
        <v>0</v>
      </c>
      <c r="I254" s="289">
        <f t="shared" si="10"/>
        <v>-4579700.6462058919</v>
      </c>
      <c r="J254" s="357">
        <f t="shared" si="11"/>
        <v>2367422.4781307457</v>
      </c>
      <c r="K254" s="456">
        <f t="shared" si="12"/>
        <v>-2212278.1680751462</v>
      </c>
    </row>
    <row r="255" spans="1:11" x14ac:dyDescent="0.25">
      <c r="A255" s="38">
        <f>Données!A249</f>
        <v>5842</v>
      </c>
      <c r="B255" s="27" t="str">
        <f>Données!B249</f>
        <v>Rossinière</v>
      </c>
      <c r="C255" s="26">
        <f>Ecrêtage!C249</f>
        <v>16474.219053497945</v>
      </c>
      <c r="D255" s="12">
        <f>Données!Z249</f>
        <v>534</v>
      </c>
      <c r="E255" s="8">
        <f>Population!K252</f>
        <v>-68898.893360160946</v>
      </c>
      <c r="F255" s="221">
        <f>Solidarité!I249</f>
        <v>-246732.59750842585</v>
      </c>
      <c r="G255" s="8">
        <f>DT!O249</f>
        <v>-319362.77138888888</v>
      </c>
      <c r="H255" s="221">
        <f>Effort!K249+Aide!I249+Taux!J249</f>
        <v>0</v>
      </c>
      <c r="I255" s="289">
        <f t="shared" si="10"/>
        <v>-634994.26225747564</v>
      </c>
      <c r="J255" s="357">
        <f t="shared" si="11"/>
        <v>314962.08752152225</v>
      </c>
      <c r="K255" s="456">
        <f t="shared" si="12"/>
        <v>-320032.17473595339</v>
      </c>
    </row>
    <row r="256" spans="1:11" x14ac:dyDescent="0.25">
      <c r="A256" s="38">
        <f>Données!A250</f>
        <v>5843</v>
      </c>
      <c r="B256" s="27" t="str">
        <f>Données!B250</f>
        <v>Rougemont</v>
      </c>
      <c r="C256" s="26">
        <f>Ecrêtage!C250</f>
        <v>89736.824345991568</v>
      </c>
      <c r="D256" s="12">
        <f>Données!Z250</f>
        <v>826</v>
      </c>
      <c r="E256" s="8">
        <f>Population!K253</f>
        <v>-106573.9436619718</v>
      </c>
      <c r="F256" s="221">
        <f>Solidarité!I250</f>
        <v>0</v>
      </c>
      <c r="G256" s="8">
        <f>DT!O250</f>
        <v>-101349.30392405059</v>
      </c>
      <c r="H256" s="221">
        <f>Effort!K250+Aide!I250+Taux!J250</f>
        <v>0</v>
      </c>
      <c r="I256" s="289">
        <f t="shared" si="10"/>
        <v>-207923.24758602239</v>
      </c>
      <c r="J256" s="357">
        <f t="shared" si="11"/>
        <v>1715632.0085208819</v>
      </c>
      <c r="K256" s="456">
        <f t="shared" si="12"/>
        <v>1507708.7609348595</v>
      </c>
    </row>
    <row r="257" spans="1:11" x14ac:dyDescent="0.25">
      <c r="A257" s="38">
        <f>Données!A251</f>
        <v>5851</v>
      </c>
      <c r="B257" s="27" t="str">
        <f>Données!B251</f>
        <v>Allaman</v>
      </c>
      <c r="C257" s="26">
        <f>Ecrêtage!C251</f>
        <v>24651.765025641023</v>
      </c>
      <c r="D257" s="12">
        <f>Données!Z251</f>
        <v>420</v>
      </c>
      <c r="E257" s="8">
        <f>Population!K254</f>
        <v>-54190.140845070411</v>
      </c>
      <c r="F257" s="221">
        <f>Solidarité!I251</f>
        <v>0</v>
      </c>
      <c r="G257" s="8">
        <f>DT!O251</f>
        <v>-7454.9098461538597</v>
      </c>
      <c r="H257" s="221">
        <f>Effort!K251+Aide!I251+Taux!J251</f>
        <v>0</v>
      </c>
      <c r="I257" s="289">
        <f t="shared" si="10"/>
        <v>-61645.050691224271</v>
      </c>
      <c r="J257" s="357">
        <f t="shared" si="11"/>
        <v>471304.36643777369</v>
      </c>
      <c r="K257" s="456">
        <f t="shared" si="12"/>
        <v>409659.3157465494</v>
      </c>
    </row>
    <row r="258" spans="1:11" x14ac:dyDescent="0.25">
      <c r="A258" s="38">
        <f>Données!A252</f>
        <v>5852</v>
      </c>
      <c r="B258" s="27" t="str">
        <f>Données!B252</f>
        <v>Bursinel</v>
      </c>
      <c r="C258" s="26">
        <f>Ecrêtage!C252</f>
        <v>35649.594677419358</v>
      </c>
      <c r="D258" s="12">
        <f>Données!Z252</f>
        <v>503</v>
      </c>
      <c r="E258" s="8">
        <f>Population!K255</f>
        <v>-64899.144869215277</v>
      </c>
      <c r="F258" s="221">
        <f>Solidarité!I252</f>
        <v>0</v>
      </c>
      <c r="G258" s="8">
        <f>DT!O252</f>
        <v>0</v>
      </c>
      <c r="H258" s="221">
        <f>Effort!K252+Aide!I252+Taux!J252</f>
        <v>0</v>
      </c>
      <c r="I258" s="289">
        <f t="shared" si="10"/>
        <v>-64899.144869215277</v>
      </c>
      <c r="J258" s="357">
        <f t="shared" si="11"/>
        <v>681566.19275449461</v>
      </c>
      <c r="K258" s="456">
        <f t="shared" si="12"/>
        <v>616667.04788527929</v>
      </c>
    </row>
    <row r="259" spans="1:11" x14ac:dyDescent="0.25">
      <c r="A259" s="38">
        <f>Données!A253</f>
        <v>5853</v>
      </c>
      <c r="B259" s="27" t="str">
        <f>Données!B253</f>
        <v>Bursins</v>
      </c>
      <c r="C259" s="26">
        <f>Ecrêtage!C253</f>
        <v>47536.23239436619</v>
      </c>
      <c r="D259" s="12">
        <f>Données!Z253</f>
        <v>766</v>
      </c>
      <c r="E259" s="8">
        <f>Population!K256</f>
        <v>-98832.494969818887</v>
      </c>
      <c r="F259" s="221">
        <f>Solidarité!I253</f>
        <v>0</v>
      </c>
      <c r="G259" s="8">
        <f>DT!O253</f>
        <v>0</v>
      </c>
      <c r="H259" s="221">
        <f>Effort!K253+Aide!I253+Taux!J253</f>
        <v>0</v>
      </c>
      <c r="I259" s="289">
        <f t="shared" si="10"/>
        <v>-98832.494969818887</v>
      </c>
      <c r="J259" s="357">
        <f t="shared" si="11"/>
        <v>908820.68152777047</v>
      </c>
      <c r="K259" s="456">
        <f t="shared" si="12"/>
        <v>809988.18655795162</v>
      </c>
    </row>
    <row r="260" spans="1:11" x14ac:dyDescent="0.25">
      <c r="A260" s="38">
        <f>Données!A254</f>
        <v>5854</v>
      </c>
      <c r="B260" s="27" t="str">
        <f>Données!B254</f>
        <v>Burtigny</v>
      </c>
      <c r="C260" s="26">
        <f>Ecrêtage!C254</f>
        <v>15260.883397027597</v>
      </c>
      <c r="D260" s="12">
        <f>Données!Z254</f>
        <v>414</v>
      </c>
      <c r="E260" s="8">
        <f>Population!K257</f>
        <v>-53415.995975855119</v>
      </c>
      <c r="F260" s="221">
        <f>Solidarité!I254</f>
        <v>-118366.67699842159</v>
      </c>
      <c r="G260" s="8">
        <f>DT!O254</f>
        <v>-32785.537070063714</v>
      </c>
      <c r="H260" s="221">
        <f>Effort!K254+Aide!I254+Taux!J254</f>
        <v>0</v>
      </c>
      <c r="I260" s="289">
        <f t="shared" si="10"/>
        <v>-204568.21004434041</v>
      </c>
      <c r="J260" s="357">
        <f t="shared" si="11"/>
        <v>291764.94961864513</v>
      </c>
      <c r="K260" s="456">
        <f t="shared" si="12"/>
        <v>87196.739574304724</v>
      </c>
    </row>
    <row r="261" spans="1:11" x14ac:dyDescent="0.25">
      <c r="A261" s="38">
        <f>Données!A255</f>
        <v>5855</v>
      </c>
      <c r="B261" s="27" t="str">
        <f>Données!B255</f>
        <v>Dully</v>
      </c>
      <c r="C261" s="26">
        <f>Ecrêtage!C255</f>
        <v>82571.89</v>
      </c>
      <c r="D261" s="12">
        <f>Données!Z255</f>
        <v>631</v>
      </c>
      <c r="E261" s="8">
        <f>Population!K258</f>
        <v>-81414.235412474838</v>
      </c>
      <c r="F261" s="221">
        <f>Solidarité!I255</f>
        <v>0</v>
      </c>
      <c r="G261" s="8">
        <f>DT!O255</f>
        <v>0</v>
      </c>
      <c r="H261" s="221">
        <f>Effort!K255+Aide!I255+Taux!J255</f>
        <v>0</v>
      </c>
      <c r="I261" s="289">
        <f t="shared" si="10"/>
        <v>-81414.235412474838</v>
      </c>
      <c r="J261" s="357">
        <f t="shared" si="11"/>
        <v>1578649.3284169047</v>
      </c>
      <c r="K261" s="456">
        <f t="shared" si="12"/>
        <v>1497235.0930044297</v>
      </c>
    </row>
    <row r="262" spans="1:11" x14ac:dyDescent="0.25">
      <c r="A262" s="38">
        <f>Données!A256</f>
        <v>5856</v>
      </c>
      <c r="B262" s="27" t="str">
        <f>Données!B256</f>
        <v>Essertines-sur-Rolle</v>
      </c>
      <c r="C262" s="26">
        <f>Ecrêtage!C256</f>
        <v>36460.812481203015</v>
      </c>
      <c r="D262" s="12">
        <f>Données!Z256</f>
        <v>749</v>
      </c>
      <c r="E262" s="8">
        <f>Population!K259</f>
        <v>-96639.084507042237</v>
      </c>
      <c r="F262" s="221">
        <f>Solidarité!I256</f>
        <v>0</v>
      </c>
      <c r="G262" s="8">
        <f>DT!O256</f>
        <v>0</v>
      </c>
      <c r="H262" s="221">
        <f>Effort!K256+Aide!I256+Taux!J256</f>
        <v>0</v>
      </c>
      <c r="I262" s="289">
        <f t="shared" si="10"/>
        <v>-96639.084507042237</v>
      </c>
      <c r="J262" s="357">
        <f t="shared" si="11"/>
        <v>697075.44706783188</v>
      </c>
      <c r="K262" s="456">
        <f t="shared" si="12"/>
        <v>600436.36256078968</v>
      </c>
    </row>
    <row r="263" spans="1:11" x14ac:dyDescent="0.25">
      <c r="A263" s="38">
        <f>Données!A257</f>
        <v>5857</v>
      </c>
      <c r="B263" s="27" t="str">
        <f>Données!B257</f>
        <v>Gilly</v>
      </c>
      <c r="C263" s="26">
        <f>Ecrêtage!C257</f>
        <v>86828.689767441872</v>
      </c>
      <c r="D263" s="12">
        <f>Données!Z257</f>
        <v>1446</v>
      </c>
      <c r="E263" s="8">
        <f>Population!K260</f>
        <v>-290149.49698189128</v>
      </c>
      <c r="F263" s="221">
        <f>Solidarité!I257</f>
        <v>0</v>
      </c>
      <c r="G263" s="8">
        <f>DT!O257</f>
        <v>0</v>
      </c>
      <c r="H263" s="221">
        <f>Effort!K257+Aide!I257+Taux!J257</f>
        <v>0</v>
      </c>
      <c r="I263" s="289">
        <f t="shared" si="10"/>
        <v>-290149.49698189128</v>
      </c>
      <c r="J263" s="357">
        <f t="shared" si="11"/>
        <v>1660032.8851464083</v>
      </c>
      <c r="K263" s="456">
        <f t="shared" si="12"/>
        <v>1369883.388164517</v>
      </c>
    </row>
    <row r="264" spans="1:11" x14ac:dyDescent="0.25">
      <c r="A264" s="38">
        <f>Données!A258</f>
        <v>5858</v>
      </c>
      <c r="B264" s="27" t="str">
        <f>Données!B258</f>
        <v>Luins</v>
      </c>
      <c r="C264" s="26">
        <f>Ecrêtage!C258</f>
        <v>41161.285925925928</v>
      </c>
      <c r="D264" s="12">
        <f>Données!Z258</f>
        <v>618</v>
      </c>
      <c r="E264" s="8">
        <f>Population!K261</f>
        <v>-79736.92152917503</v>
      </c>
      <c r="F264" s="221">
        <f>Solidarité!I258</f>
        <v>0</v>
      </c>
      <c r="G264" s="8">
        <f>DT!O258</f>
        <v>0</v>
      </c>
      <c r="H264" s="221">
        <f>Effort!K258+Aide!I258+Taux!J258</f>
        <v>0</v>
      </c>
      <c r="I264" s="289">
        <f t="shared" si="10"/>
        <v>-79736.92152917503</v>
      </c>
      <c r="J264" s="357">
        <f t="shared" si="11"/>
        <v>786941.37173969438</v>
      </c>
      <c r="K264" s="456">
        <f t="shared" si="12"/>
        <v>707204.45021051937</v>
      </c>
    </row>
    <row r="265" spans="1:11" x14ac:dyDescent="0.25">
      <c r="A265" s="38">
        <f>Données!A259</f>
        <v>5859</v>
      </c>
      <c r="B265" s="27" t="str">
        <f>Données!B259</f>
        <v>Mont-sur-Rolle</v>
      </c>
      <c r="C265" s="26">
        <f>Ecrêtage!C259</f>
        <v>158436.40771653541</v>
      </c>
      <c r="D265" s="12">
        <f>Données!Z259</f>
        <v>2759</v>
      </c>
      <c r="E265" s="8">
        <f>Population!K262</f>
        <v>-764493.86317907437</v>
      </c>
      <c r="F265" s="221">
        <f>Solidarité!I259</f>
        <v>0</v>
      </c>
      <c r="G265" s="8">
        <f>DT!O259</f>
        <v>-229753.30370078754</v>
      </c>
      <c r="H265" s="221">
        <f>Effort!K259+Aide!I259+Taux!J259</f>
        <v>0</v>
      </c>
      <c r="I265" s="289">
        <f t="shared" si="10"/>
        <v>-994247.16687986185</v>
      </c>
      <c r="J265" s="357">
        <f t="shared" si="11"/>
        <v>3029063.8695383566</v>
      </c>
      <c r="K265" s="456">
        <f t="shared" si="12"/>
        <v>2034816.7026584947</v>
      </c>
    </row>
    <row r="266" spans="1:11" x14ac:dyDescent="0.25">
      <c r="A266" s="38">
        <f>Données!A260</f>
        <v>5860</v>
      </c>
      <c r="B266" s="27" t="str">
        <f>Données!B260</f>
        <v>Perroy</v>
      </c>
      <c r="C266" s="26">
        <f>Ecrêtage!C260</f>
        <v>132374.98733727811</v>
      </c>
      <c r="D266" s="12">
        <f>Données!Z260</f>
        <v>1542</v>
      </c>
      <c r="E266" s="8">
        <f>Population!K263</f>
        <v>-324831.18712273636</v>
      </c>
      <c r="F266" s="221">
        <f>Solidarité!I260</f>
        <v>0</v>
      </c>
      <c r="G266" s="8">
        <f>DT!O260</f>
        <v>0</v>
      </c>
      <c r="H266" s="221">
        <f>Effort!K260+Aide!I260+Taux!J260</f>
        <v>0</v>
      </c>
      <c r="I266" s="289">
        <f t="shared" si="10"/>
        <v>-324831.18712273636</v>
      </c>
      <c r="J266" s="357">
        <f t="shared" si="11"/>
        <v>2530809.0302788317</v>
      </c>
      <c r="K266" s="456">
        <f t="shared" si="12"/>
        <v>2205977.8431560956</v>
      </c>
    </row>
    <row r="267" spans="1:11" x14ac:dyDescent="0.25">
      <c r="A267" s="38">
        <f>Données!A261</f>
        <v>5861</v>
      </c>
      <c r="B267" s="27" t="str">
        <f>Données!B261</f>
        <v>Rolle</v>
      </c>
      <c r="C267" s="26">
        <f>Ecrêtage!C261</f>
        <v>897513.79815126071</v>
      </c>
      <c r="D267" s="12">
        <f>Données!Z261</f>
        <v>6321</v>
      </c>
      <c r="E267" s="8">
        <f>Population!K264</f>
        <v>-2701868.8128772629</v>
      </c>
      <c r="F267" s="221">
        <f>Solidarité!I261</f>
        <v>0</v>
      </c>
      <c r="G267" s="8">
        <f>DT!O261</f>
        <v>0</v>
      </c>
      <c r="H267" s="221">
        <f>Effort!K261+Aide!I261+Taux!J261</f>
        <v>0</v>
      </c>
      <c r="I267" s="289">
        <f t="shared" si="10"/>
        <v>-2701868.8128772629</v>
      </c>
      <c r="J267" s="357">
        <f t="shared" si="11"/>
        <v>17159102.870194603</v>
      </c>
      <c r="K267" s="456">
        <f t="shared" si="12"/>
        <v>14457234.057317339</v>
      </c>
    </row>
    <row r="268" spans="1:11" x14ac:dyDescent="0.25">
      <c r="A268" s="38">
        <f>Données!A262</f>
        <v>5862</v>
      </c>
      <c r="B268" s="27" t="str">
        <f>Données!B262</f>
        <v>Tartegnin</v>
      </c>
      <c r="C268" s="26">
        <f>Ecrêtage!C262</f>
        <v>10371.497468354431</v>
      </c>
      <c r="D268" s="12">
        <f>Données!Z262</f>
        <v>249</v>
      </c>
      <c r="E268" s="8">
        <f>Population!K265</f>
        <v>-32127.012072434602</v>
      </c>
      <c r="F268" s="221">
        <f>Solidarité!I262</f>
        <v>-42347.339328471098</v>
      </c>
      <c r="G268" s="8">
        <f>DT!O262</f>
        <v>0</v>
      </c>
      <c r="H268" s="221">
        <f>Effort!K262+Aide!I262+Taux!J262</f>
        <v>0</v>
      </c>
      <c r="I268" s="289">
        <f t="shared" si="10"/>
        <v>-74474.351400905696</v>
      </c>
      <c r="J268" s="357">
        <f t="shared" si="11"/>
        <v>198287.30471223741</v>
      </c>
      <c r="K268" s="456">
        <f t="shared" si="12"/>
        <v>123812.95331133172</v>
      </c>
    </row>
    <row r="269" spans="1:11" x14ac:dyDescent="0.25">
      <c r="A269" s="38">
        <f>Données!A263</f>
        <v>5863</v>
      </c>
      <c r="B269" s="27" t="str">
        <f>Données!B263</f>
        <v>Vinzel</v>
      </c>
      <c r="C269" s="26">
        <f>Ecrêtage!C263</f>
        <v>23661.929552238806</v>
      </c>
      <c r="D269" s="12">
        <f>Données!Z263</f>
        <v>378</v>
      </c>
      <c r="E269" s="8">
        <f>Population!K266</f>
        <v>-48771.126760563369</v>
      </c>
      <c r="F269" s="221">
        <f>Solidarité!I263</f>
        <v>0</v>
      </c>
      <c r="G269" s="8">
        <f>DT!O263</f>
        <v>0</v>
      </c>
      <c r="H269" s="221">
        <f>Effort!K263+Aide!I263+Taux!J263</f>
        <v>0</v>
      </c>
      <c r="I269" s="289">
        <f t="shared" ref="I269:I311" si="13">SUM(E269:H269)</f>
        <v>-48771.126760563369</v>
      </c>
      <c r="J269" s="357">
        <f t="shared" ref="J269:J311" si="14">C269*$J$11</f>
        <v>452380.21312930947</v>
      </c>
      <c r="K269" s="456">
        <f t="shared" ref="K269:K311" si="15">I269+J269</f>
        <v>403609.08636874612</v>
      </c>
    </row>
    <row r="270" spans="1:11" x14ac:dyDescent="0.25">
      <c r="A270" s="38">
        <f>Données!A264</f>
        <v>5871</v>
      </c>
      <c r="B270" s="27" t="str">
        <f>Données!B264</f>
        <v>L'Abbaye</v>
      </c>
      <c r="C270" s="26">
        <f>Ecrêtage!C264</f>
        <v>50236.516429495467</v>
      </c>
      <c r="D270" s="12">
        <f>Données!Z264</f>
        <v>1534</v>
      </c>
      <c r="E270" s="8">
        <f>Population!K267</f>
        <v>-321941.04627766594</v>
      </c>
      <c r="F270" s="221">
        <f>Solidarité!I264</f>
        <v>-575968.77462060889</v>
      </c>
      <c r="G270" s="8">
        <f>DT!O264</f>
        <v>-428948.15142302716</v>
      </c>
      <c r="H270" s="221">
        <f>Effort!K264+Aide!I264+Taux!J264</f>
        <v>0</v>
      </c>
      <c r="I270" s="289">
        <f t="shared" si="13"/>
        <v>-1326857.9723213022</v>
      </c>
      <c r="J270" s="357">
        <f t="shared" si="14"/>
        <v>960446.01768746984</v>
      </c>
      <c r="K270" s="456">
        <f t="shared" si="15"/>
        <v>-366411.95463383233</v>
      </c>
    </row>
    <row r="271" spans="1:11" x14ac:dyDescent="0.25">
      <c r="A271" s="38">
        <f>Données!A265</f>
        <v>5872</v>
      </c>
      <c r="B271" s="27" t="str">
        <f>Données!B265</f>
        <v>Le Chenit</v>
      </c>
      <c r="C271" s="26">
        <f>Ecrêtage!C265</f>
        <v>317064.3538829867</v>
      </c>
      <c r="D271" s="12">
        <f>Données!Z265</f>
        <v>4613</v>
      </c>
      <c r="E271" s="8">
        <f>Population!K268</f>
        <v>-1684023.1388329975</v>
      </c>
      <c r="F271" s="221">
        <f>Solidarité!I265</f>
        <v>0</v>
      </c>
      <c r="G271" s="8">
        <f>DT!O265</f>
        <v>-1194782.8612898397</v>
      </c>
      <c r="H271" s="221">
        <f>Effort!K265+Aide!I265+Taux!J265</f>
        <v>0</v>
      </c>
      <c r="I271" s="289">
        <f t="shared" si="13"/>
        <v>-2878806.0001228373</v>
      </c>
      <c r="J271" s="357">
        <f t="shared" si="14"/>
        <v>6061789.6637986209</v>
      </c>
      <c r="K271" s="456">
        <f t="shared" si="15"/>
        <v>3182983.6636757837</v>
      </c>
    </row>
    <row r="272" spans="1:11" x14ac:dyDescent="0.25">
      <c r="A272" s="38">
        <f>Données!A266</f>
        <v>5873</v>
      </c>
      <c r="B272" s="27" t="str">
        <f>Données!B266</f>
        <v>Le Lieu</v>
      </c>
      <c r="C272" s="26">
        <f>Ecrêtage!C266</f>
        <v>35207.025785714286</v>
      </c>
      <c r="D272" s="12">
        <f>Données!Z266</f>
        <v>886</v>
      </c>
      <c r="E272" s="8">
        <f>Population!K269</f>
        <v>-114315.39235412472</v>
      </c>
      <c r="F272" s="221">
        <f>Solidarité!I266</f>
        <v>-151542.34025494487</v>
      </c>
      <c r="G272" s="8">
        <f>DT!O266</f>
        <v>-662199.57594642858</v>
      </c>
      <c r="H272" s="221">
        <f>Effort!K266+Aide!I266+Taux!J266</f>
        <v>0</v>
      </c>
      <c r="I272" s="289">
        <f t="shared" si="13"/>
        <v>-928057.30855549814</v>
      </c>
      <c r="J272" s="357">
        <f t="shared" si="14"/>
        <v>673104.94663710007</v>
      </c>
      <c r="K272" s="456">
        <f t="shared" si="15"/>
        <v>-254952.36191839806</v>
      </c>
    </row>
    <row r="273" spans="1:11" x14ac:dyDescent="0.25">
      <c r="A273" s="38">
        <f>Données!A267</f>
        <v>5882</v>
      </c>
      <c r="B273" s="27" t="str">
        <f>Données!B267</f>
        <v>Chardonne</v>
      </c>
      <c r="C273" s="26">
        <f>Ecrêtage!C267</f>
        <v>201756.91955882352</v>
      </c>
      <c r="D273" s="12">
        <f>Données!Z267</f>
        <v>3192</v>
      </c>
      <c r="E273" s="8">
        <f>Population!K270</f>
        <v>-950649.89939637808</v>
      </c>
      <c r="F273" s="221">
        <f>Solidarité!I267</f>
        <v>0</v>
      </c>
      <c r="G273" s="8">
        <f>DT!O267</f>
        <v>-271015.9826470589</v>
      </c>
      <c r="H273" s="221">
        <f>Effort!K267+Aide!I267+Taux!J267</f>
        <v>0</v>
      </c>
      <c r="I273" s="289">
        <f t="shared" si="13"/>
        <v>-1221665.8820434371</v>
      </c>
      <c r="J273" s="357">
        <f t="shared" si="14"/>
        <v>3857286.3666436626</v>
      </c>
      <c r="K273" s="456">
        <f t="shared" si="15"/>
        <v>2635620.4846002255</v>
      </c>
    </row>
    <row r="274" spans="1:11" x14ac:dyDescent="0.25">
      <c r="A274" s="38">
        <f>Données!A268</f>
        <v>5883</v>
      </c>
      <c r="B274" s="27" t="str">
        <f>Données!B268</f>
        <v>Corseaux</v>
      </c>
      <c r="C274" s="26">
        <f>Ecrêtage!C268</f>
        <v>180896.25407407407</v>
      </c>
      <c r="D274" s="12">
        <f>Données!Z268</f>
        <v>2307</v>
      </c>
      <c r="E274" s="8">
        <f>Population!K271</f>
        <v>-601200.90543259541</v>
      </c>
      <c r="F274" s="221">
        <f>Solidarité!I268</f>
        <v>0</v>
      </c>
      <c r="G274" s="8">
        <f>DT!O268</f>
        <v>0</v>
      </c>
      <c r="H274" s="221">
        <f>Effort!K268+Aide!I268+Taux!J268</f>
        <v>0</v>
      </c>
      <c r="I274" s="289">
        <f t="shared" si="13"/>
        <v>-601200.90543259541</v>
      </c>
      <c r="J274" s="357">
        <f t="shared" si="14"/>
        <v>3458462.0747710965</v>
      </c>
      <c r="K274" s="456">
        <f t="shared" si="15"/>
        <v>2857261.1693385011</v>
      </c>
    </row>
    <row r="275" spans="1:11" x14ac:dyDescent="0.25">
      <c r="A275" s="38">
        <f>Données!A269</f>
        <v>5884</v>
      </c>
      <c r="B275" s="27" t="str">
        <f>Données!B269</f>
        <v>Corsier-sur-Vevey</v>
      </c>
      <c r="C275" s="26">
        <f>Ecrêtage!C269</f>
        <v>128051.27881136951</v>
      </c>
      <c r="D275" s="12">
        <f>Données!Z269</f>
        <v>3366</v>
      </c>
      <c r="E275" s="8">
        <f>Population!K272</f>
        <v>-1040450.7042253519</v>
      </c>
      <c r="F275" s="221">
        <f>Solidarité!I269</f>
        <v>-583643.9566672825</v>
      </c>
      <c r="G275" s="8">
        <f>DT!O269</f>
        <v>-1413575.8271317831</v>
      </c>
      <c r="H275" s="221">
        <f>Effort!K269+Aide!I269+Taux!J269</f>
        <v>0</v>
      </c>
      <c r="I275" s="289">
        <f t="shared" si="13"/>
        <v>-3037670.4880244173</v>
      </c>
      <c r="J275" s="357">
        <f t="shared" si="14"/>
        <v>2448146.279544943</v>
      </c>
      <c r="K275" s="456">
        <f t="shared" si="15"/>
        <v>-589524.2084794743</v>
      </c>
    </row>
    <row r="276" spans="1:11" x14ac:dyDescent="0.25">
      <c r="A276" s="38">
        <f>Données!A270</f>
        <v>5885</v>
      </c>
      <c r="B276" s="27" t="str">
        <f>Données!B270</f>
        <v>Jongny</v>
      </c>
      <c r="C276" s="26">
        <f>Ecrêtage!C270</f>
        <v>104091.36242206233</v>
      </c>
      <c r="D276" s="12">
        <f>Données!Z270</f>
        <v>1842</v>
      </c>
      <c r="E276" s="8">
        <f>Population!K273</f>
        <v>-433211.4688128772</v>
      </c>
      <c r="F276" s="221">
        <f>Solidarité!I270</f>
        <v>0</v>
      </c>
      <c r="G276" s="8">
        <f>DT!O270</f>
        <v>-61777.575467626011</v>
      </c>
      <c r="H276" s="221">
        <f>Effort!K270+Aide!I270+Taux!J270</f>
        <v>0</v>
      </c>
      <c r="I276" s="289">
        <f t="shared" si="13"/>
        <v>-494989.04428050318</v>
      </c>
      <c r="J276" s="357">
        <f t="shared" si="14"/>
        <v>1990069.0099450226</v>
      </c>
      <c r="K276" s="456">
        <f t="shared" si="15"/>
        <v>1495079.9656645195</v>
      </c>
    </row>
    <row r="277" spans="1:11" x14ac:dyDescent="0.25">
      <c r="A277" s="38">
        <f>Données!A271</f>
        <v>5886</v>
      </c>
      <c r="B277" s="27" t="str">
        <f>Données!B271</f>
        <v>Montreux</v>
      </c>
      <c r="C277" s="26">
        <f>Ecrêtage!C271</f>
        <v>1153112.7161538461</v>
      </c>
      <c r="D277" s="12">
        <f>Données!Z271</f>
        <v>26081</v>
      </c>
      <c r="E277" s="8">
        <f>Population!K274</f>
        <v>-22099307.142857138</v>
      </c>
      <c r="F277" s="221">
        <f>Solidarité!I271</f>
        <v>-1875267.4814181717</v>
      </c>
      <c r="G277" s="8">
        <f>DT!O271</f>
        <v>-6589326.4159615384</v>
      </c>
      <c r="H277" s="221">
        <f>Effort!K271+Aide!I271+Taux!J271</f>
        <v>0</v>
      </c>
      <c r="I277" s="289">
        <f t="shared" si="13"/>
        <v>-30563901.040236846</v>
      </c>
      <c r="J277" s="357">
        <f t="shared" si="14"/>
        <v>22045766.603444126</v>
      </c>
      <c r="K277" s="456">
        <f t="shared" si="15"/>
        <v>-8518134.4367927201</v>
      </c>
    </row>
    <row r="278" spans="1:11" x14ac:dyDescent="0.25">
      <c r="A278" s="38">
        <f>Données!A272</f>
        <v>5889</v>
      </c>
      <c r="B278" s="27" t="str">
        <f>Données!B272</f>
        <v>La Tour-de-Peilz</v>
      </c>
      <c r="C278" s="26">
        <f>Ecrêtage!C272</f>
        <v>709179.36611979152</v>
      </c>
      <c r="D278" s="12">
        <f>Données!Z272</f>
        <v>12400</v>
      </c>
      <c r="E278" s="8">
        <f>Population!K275</f>
        <v>-7405985.9154929565</v>
      </c>
      <c r="F278" s="221">
        <f>Solidarité!I272</f>
        <v>0</v>
      </c>
      <c r="G278" s="8">
        <f>DT!O272</f>
        <v>-763674.05328125088</v>
      </c>
      <c r="H278" s="221">
        <f>Effort!K272+Aide!I272+Taux!J272</f>
        <v>0</v>
      </c>
      <c r="I278" s="289">
        <f t="shared" si="13"/>
        <v>-8169659.9687742069</v>
      </c>
      <c r="J278" s="357">
        <f t="shared" si="14"/>
        <v>13558434.11180409</v>
      </c>
      <c r="K278" s="456">
        <f t="shared" si="15"/>
        <v>5388774.1430298835</v>
      </c>
    </row>
    <row r="279" spans="1:11" x14ac:dyDescent="0.25">
      <c r="A279" s="38">
        <f>Données!A273</f>
        <v>5890</v>
      </c>
      <c r="B279" s="27" t="str">
        <f>Données!B273</f>
        <v>Vevey</v>
      </c>
      <c r="C279" s="26">
        <f>Ecrêtage!C273</f>
        <v>945087.70393736032</v>
      </c>
      <c r="D279" s="12">
        <f>Données!Z273</f>
        <v>19743</v>
      </c>
      <c r="E279" s="8">
        <f>Population!K276</f>
        <v>-15230164.889336012</v>
      </c>
      <c r="F279" s="221">
        <f>Solidarité!I273</f>
        <v>-263323.1853760262</v>
      </c>
      <c r="G279" s="8">
        <f>DT!O273</f>
        <v>-3680931.2763758381</v>
      </c>
      <c r="H279" s="221">
        <f>Effort!K273+Aide!I273+Taux!J273</f>
        <v>0</v>
      </c>
      <c r="I279" s="289">
        <f t="shared" si="13"/>
        <v>-19174419.351087876</v>
      </c>
      <c r="J279" s="357">
        <f t="shared" si="14"/>
        <v>18068643.80984604</v>
      </c>
      <c r="K279" s="456">
        <f t="shared" si="15"/>
        <v>-1105775.5412418358</v>
      </c>
    </row>
    <row r="280" spans="1:11" x14ac:dyDescent="0.25">
      <c r="A280" s="38">
        <f>Données!A274</f>
        <v>5891</v>
      </c>
      <c r="B280" s="27" t="str">
        <f>Données!B274</f>
        <v>Veytaux</v>
      </c>
      <c r="C280" s="26">
        <f>Ecrêtage!C274</f>
        <v>41113.316211031175</v>
      </c>
      <c r="D280" s="12">
        <f>Données!Z274</f>
        <v>970</v>
      </c>
      <c r="E280" s="8">
        <f>Population!K277</f>
        <v>-125153.4205231388</v>
      </c>
      <c r="F280" s="221">
        <f>Solidarité!I274</f>
        <v>-113964.98974827287</v>
      </c>
      <c r="G280" s="8">
        <f>DT!O274</f>
        <v>-700317.11557553965</v>
      </c>
      <c r="H280" s="221">
        <f>Effort!K274+Aide!I274+Taux!J274</f>
        <v>0</v>
      </c>
      <c r="I280" s="289">
        <f t="shared" si="13"/>
        <v>-939435.52584695129</v>
      </c>
      <c r="J280" s="357">
        <f t="shared" si="14"/>
        <v>786024.26353007299</v>
      </c>
      <c r="K280" s="456">
        <f t="shared" si="15"/>
        <v>-153411.2623168783</v>
      </c>
    </row>
    <row r="281" spans="1:11" x14ac:dyDescent="0.25">
      <c r="A281" s="38">
        <f>Données!A275</f>
        <v>5892</v>
      </c>
      <c r="B281" s="27" t="str">
        <f>Données!B275</f>
        <v>Blonay-Saint-Légier</v>
      </c>
      <c r="C281" s="26">
        <f>Ecrêtage!C275</f>
        <v>749734.6567883211</v>
      </c>
      <c r="D281" s="12">
        <f>Données!Z275</f>
        <v>12123</v>
      </c>
      <c r="E281" s="8">
        <f>Population!K278</f>
        <v>-7120068.4104627753</v>
      </c>
      <c r="F281" s="221">
        <f>Solidarité!I275</f>
        <v>0</v>
      </c>
      <c r="G281" s="8">
        <f>DT!O275</f>
        <v>-2052969.8166788328</v>
      </c>
      <c r="H281" s="221">
        <f>Effort!K275+Aide!I275+Taux!J275</f>
        <v>0</v>
      </c>
      <c r="I281" s="289">
        <f t="shared" si="13"/>
        <v>-9173038.2271416076</v>
      </c>
      <c r="J281" s="357">
        <f t="shared" si="14"/>
        <v>14333789.773126926</v>
      </c>
      <c r="K281" s="456">
        <f t="shared" si="15"/>
        <v>5160751.5459853187</v>
      </c>
    </row>
    <row r="282" spans="1:11" x14ac:dyDescent="0.25">
      <c r="A282" s="38">
        <f>Données!A276</f>
        <v>5902</v>
      </c>
      <c r="B282" s="27" t="str">
        <f>Données!B276</f>
        <v>Belmont-sur-Yverdon</v>
      </c>
      <c r="C282" s="26">
        <f>Ecrêtage!C276</f>
        <v>11918.01</v>
      </c>
      <c r="D282" s="12">
        <f>Données!Z276</f>
        <v>434</v>
      </c>
      <c r="E282" s="8">
        <f>Population!K279</f>
        <v>-55996.478873239423</v>
      </c>
      <c r="F282" s="221">
        <f>Solidarité!I276</f>
        <v>-178572.78216828176</v>
      </c>
      <c r="G282" s="8">
        <f>DT!O276</f>
        <v>-6344.2425000000003</v>
      </c>
      <c r="H282" s="221">
        <f>Effort!K276+Aide!I276+Taux!J276</f>
        <v>0</v>
      </c>
      <c r="I282" s="289">
        <f t="shared" si="13"/>
        <v>-240913.50354152118</v>
      </c>
      <c r="J282" s="357">
        <f t="shared" si="14"/>
        <v>227854.27925370188</v>
      </c>
      <c r="K282" s="456">
        <f t="shared" si="15"/>
        <v>-13059.224287819292</v>
      </c>
    </row>
    <row r="283" spans="1:11" x14ac:dyDescent="0.25">
      <c r="A283" s="38">
        <f>Données!A277</f>
        <v>5903</v>
      </c>
      <c r="B283" s="27" t="str">
        <f>Données!B277</f>
        <v>Bioley-Magnoux</v>
      </c>
      <c r="C283" s="26">
        <f>Ecrêtage!C277</f>
        <v>6275.4313293650803</v>
      </c>
      <c r="D283" s="12">
        <f>Données!Z277</f>
        <v>247</v>
      </c>
      <c r="E283" s="8">
        <f>Population!K280</f>
        <v>-31868.96378269617</v>
      </c>
      <c r="F283" s="221">
        <f>Solidarité!I277</f>
        <v>-118033.37169873033</v>
      </c>
      <c r="G283" s="8">
        <f>DT!O277</f>
        <v>-143338.58852678569</v>
      </c>
      <c r="H283" s="221">
        <f>Effort!K277+Aide!I277+Taux!J277</f>
        <v>0</v>
      </c>
      <c r="I283" s="289">
        <f t="shared" si="13"/>
        <v>-293240.92400821217</v>
      </c>
      <c r="J283" s="357">
        <f t="shared" si="14"/>
        <v>119976.73122933951</v>
      </c>
      <c r="K283" s="456">
        <f t="shared" si="15"/>
        <v>-173264.19277887268</v>
      </c>
    </row>
    <row r="284" spans="1:11" x14ac:dyDescent="0.25">
      <c r="A284" s="38">
        <f>Données!A278</f>
        <v>5904</v>
      </c>
      <c r="B284" s="27" t="str">
        <f>Données!B278</f>
        <v>Chamblon</v>
      </c>
      <c r="C284" s="26">
        <f>Ecrêtage!C278</f>
        <v>18890.250303030305</v>
      </c>
      <c r="D284" s="12">
        <f>Données!Z278</f>
        <v>567</v>
      </c>
      <c r="E284" s="8">
        <f>Population!K281</f>
        <v>-73156.69014084505</v>
      </c>
      <c r="F284" s="221">
        <f>Solidarité!I278</f>
        <v>-149596.47908702027</v>
      </c>
      <c r="G284" s="8">
        <f>DT!O278</f>
        <v>0</v>
      </c>
      <c r="H284" s="221">
        <f>Effort!K278+Aide!I278+Taux!J278</f>
        <v>0</v>
      </c>
      <c r="I284" s="289">
        <f t="shared" si="13"/>
        <v>-222753.16922786532</v>
      </c>
      <c r="J284" s="357">
        <f t="shared" si="14"/>
        <v>361152.94144903333</v>
      </c>
      <c r="K284" s="456">
        <f t="shared" si="15"/>
        <v>138399.77222116801</v>
      </c>
    </row>
    <row r="285" spans="1:11" x14ac:dyDescent="0.25">
      <c r="A285" s="38">
        <f>Données!A279</f>
        <v>5905</v>
      </c>
      <c r="B285" s="27" t="str">
        <f>Données!B279</f>
        <v>Champvent</v>
      </c>
      <c r="C285" s="26">
        <f>Ecrêtage!C279</f>
        <v>21534.177714285714</v>
      </c>
      <c r="D285" s="12">
        <f>Données!Z279</f>
        <v>734</v>
      </c>
      <c r="E285" s="8">
        <f>Population!K282</f>
        <v>-94703.722334004007</v>
      </c>
      <c r="F285" s="221">
        <f>Solidarité!I279</f>
        <v>-275025.16513440601</v>
      </c>
      <c r="G285" s="8">
        <f>DT!O279</f>
        <v>-82533.433714285726</v>
      </c>
      <c r="H285" s="221">
        <f>Effort!K279+Aide!I279+Taux!J279</f>
        <v>0</v>
      </c>
      <c r="I285" s="289">
        <f t="shared" si="13"/>
        <v>-452262.32118269574</v>
      </c>
      <c r="J285" s="357">
        <f t="shared" si="14"/>
        <v>411700.82441697066</v>
      </c>
      <c r="K285" s="456">
        <f t="shared" si="15"/>
        <v>-40561.496765725082</v>
      </c>
    </row>
    <row r="286" spans="1:11" x14ac:dyDescent="0.25">
      <c r="A286" s="38">
        <f>Données!A280</f>
        <v>5907</v>
      </c>
      <c r="B286" s="27" t="str">
        <f>Données!B280</f>
        <v>Chavannes-le-Chêne</v>
      </c>
      <c r="C286" s="26">
        <f>Ecrêtage!C280</f>
        <v>8453.4726666666666</v>
      </c>
      <c r="D286" s="12">
        <f>Données!Z280</f>
        <v>316</v>
      </c>
      <c r="E286" s="8">
        <f>Population!K283</f>
        <v>-40771.629778672024</v>
      </c>
      <c r="F286" s="221">
        <f>Solidarité!I280</f>
        <v>-154297.90595051029</v>
      </c>
      <c r="G286" s="8">
        <f>DT!O280</f>
        <v>-45988.309500000003</v>
      </c>
      <c r="H286" s="221">
        <f>Effort!K280+Aide!I280+Taux!J280</f>
        <v>0</v>
      </c>
      <c r="I286" s="289">
        <f t="shared" si="13"/>
        <v>-241057.84522918231</v>
      </c>
      <c r="J286" s="357">
        <f t="shared" si="14"/>
        <v>161617.57891243609</v>
      </c>
      <c r="K286" s="456">
        <f t="shared" si="15"/>
        <v>-79440.266316746216</v>
      </c>
    </row>
    <row r="287" spans="1:11" x14ac:dyDescent="0.25">
      <c r="A287" s="38">
        <f>Données!A281</f>
        <v>5908</v>
      </c>
      <c r="B287" s="27" t="str">
        <f>Données!B281</f>
        <v>Chêne-Pâquier</v>
      </c>
      <c r="C287" s="26">
        <f>Ecrêtage!C281</f>
        <v>4917.9366666666683</v>
      </c>
      <c r="D287" s="12">
        <f>Données!Z281</f>
        <v>163</v>
      </c>
      <c r="E287" s="8">
        <f>Population!K284</f>
        <v>-21030.935613682086</v>
      </c>
      <c r="F287" s="221">
        <f>Solidarité!I281</f>
        <v>-67058.151751185229</v>
      </c>
      <c r="G287" s="8">
        <f>DT!O281</f>
        <v>-39552.427499999991</v>
      </c>
      <c r="H287" s="221">
        <f>Effort!K281+Aide!I281+Taux!J281</f>
        <v>0</v>
      </c>
      <c r="I287" s="289">
        <f t="shared" si="13"/>
        <v>-127641.51486486731</v>
      </c>
      <c r="J287" s="357">
        <f t="shared" si="14"/>
        <v>94023.491723759827</v>
      </c>
      <c r="K287" s="456">
        <f t="shared" si="15"/>
        <v>-33618.023141107478</v>
      </c>
    </row>
    <row r="288" spans="1:11" x14ac:dyDescent="0.25">
      <c r="A288" s="38">
        <f>Données!A282</f>
        <v>5909</v>
      </c>
      <c r="B288" s="27" t="str">
        <f>Données!B282</f>
        <v>Cheseaux-Noréaz</v>
      </c>
      <c r="C288" s="26">
        <f>Ecrêtage!C282</f>
        <v>34179.649850746275</v>
      </c>
      <c r="D288" s="12">
        <f>Données!Z282</f>
        <v>734</v>
      </c>
      <c r="E288" s="8">
        <f>Population!K285</f>
        <v>-94703.722334004007</v>
      </c>
      <c r="F288" s="221">
        <f>Solidarité!I282</f>
        <v>-25080.017573539481</v>
      </c>
      <c r="G288" s="8">
        <f>DT!O282</f>
        <v>-51509.100895522351</v>
      </c>
      <c r="H288" s="221">
        <f>Effort!K282+Aide!I282+Taux!J282</f>
        <v>0</v>
      </c>
      <c r="I288" s="289">
        <f t="shared" si="13"/>
        <v>-171292.84080306586</v>
      </c>
      <c r="J288" s="357">
        <f t="shared" si="14"/>
        <v>653463.07662820315</v>
      </c>
      <c r="K288" s="456">
        <f t="shared" si="15"/>
        <v>482170.23582513729</v>
      </c>
    </row>
    <row r="289" spans="1:11" x14ac:dyDescent="0.25">
      <c r="A289" s="38">
        <f>Données!A283</f>
        <v>5910</v>
      </c>
      <c r="B289" s="27" t="str">
        <f>Données!B283</f>
        <v>Cronay</v>
      </c>
      <c r="C289" s="26">
        <f>Ecrêtage!C283</f>
        <v>10620.023506493504</v>
      </c>
      <c r="D289" s="12">
        <f>Données!Z283</f>
        <v>410</v>
      </c>
      <c r="E289" s="8">
        <f>Population!K286</f>
        <v>-52899.899396378256</v>
      </c>
      <c r="F289" s="221">
        <f>Solidarité!I283</f>
        <v>-219264.72356231886</v>
      </c>
      <c r="G289" s="8">
        <f>DT!O283</f>
        <v>-55404.591331168849</v>
      </c>
      <c r="H289" s="221">
        <f>Effort!K283+Aide!I283+Taux!J283</f>
        <v>0</v>
      </c>
      <c r="I289" s="289">
        <f t="shared" si="13"/>
        <v>-327569.21428986598</v>
      </c>
      <c r="J289" s="357">
        <f t="shared" si="14"/>
        <v>203038.74570750058</v>
      </c>
      <c r="K289" s="456">
        <f t="shared" si="15"/>
        <v>-124530.4685823654</v>
      </c>
    </row>
    <row r="290" spans="1:11" x14ac:dyDescent="0.25">
      <c r="A290" s="38">
        <f>Données!A284</f>
        <v>5911</v>
      </c>
      <c r="B290" s="27" t="str">
        <f>Données!B284</f>
        <v>Cuarny</v>
      </c>
      <c r="C290" s="26">
        <f>Ecrêtage!C284</f>
        <v>7630.7251948051926</v>
      </c>
      <c r="D290" s="12">
        <f>Données!Z284</f>
        <v>236</v>
      </c>
      <c r="E290" s="8">
        <f>Population!K287</f>
        <v>-30449.6981891348</v>
      </c>
      <c r="F290" s="221">
        <f>Solidarité!I284</f>
        <v>-90245.674007585243</v>
      </c>
      <c r="G290" s="8">
        <f>DT!O284</f>
        <v>-8230.7061038961056</v>
      </c>
      <c r="H290" s="221">
        <f>Effort!K284+Aide!I284+Taux!J284</f>
        <v>0</v>
      </c>
      <c r="I290" s="289">
        <f t="shared" si="13"/>
        <v>-128926.07830061615</v>
      </c>
      <c r="J290" s="357">
        <f t="shared" si="14"/>
        <v>145887.89482853271</v>
      </c>
      <c r="K290" s="456">
        <f t="shared" si="15"/>
        <v>16961.816527916555</v>
      </c>
    </row>
    <row r="291" spans="1:11" x14ac:dyDescent="0.25">
      <c r="A291" s="38">
        <f>Données!A285</f>
        <v>5912</v>
      </c>
      <c r="B291" s="27" t="str">
        <f>Données!B285</f>
        <v>Démoret</v>
      </c>
      <c r="C291" s="26">
        <f>Ecrêtage!C285</f>
        <v>3035.5994871794869</v>
      </c>
      <c r="D291" s="12">
        <f>Données!Z285</f>
        <v>167</v>
      </c>
      <c r="E291" s="8">
        <f>Population!K288</f>
        <v>-21547.03219315895</v>
      </c>
      <c r="F291" s="221">
        <f>Solidarité!I285</f>
        <v>-123015.73918919593</v>
      </c>
      <c r="G291" s="8">
        <f>DT!O285</f>
        <v>-15168.453461538462</v>
      </c>
      <c r="H291" s="221">
        <f>Effort!K285+Aide!I285+Taux!J285</f>
        <v>6111.6452867084154</v>
      </c>
      <c r="I291" s="289">
        <f t="shared" si="13"/>
        <v>-153619.57955718489</v>
      </c>
      <c r="J291" s="357">
        <f t="shared" si="14"/>
        <v>58036.059145292631</v>
      </c>
      <c r="K291" s="456">
        <f t="shared" si="15"/>
        <v>-95583.520411892256</v>
      </c>
    </row>
    <row r="292" spans="1:11" x14ac:dyDescent="0.25">
      <c r="A292" s="38">
        <f>Données!A286</f>
        <v>5913</v>
      </c>
      <c r="B292" s="27" t="str">
        <f>Données!B286</f>
        <v>Donneloye</v>
      </c>
      <c r="C292" s="26">
        <f>Ecrêtage!C286</f>
        <v>21868.165342465756</v>
      </c>
      <c r="D292" s="12">
        <f>Données!Z286</f>
        <v>905</v>
      </c>
      <c r="E292" s="8">
        <f>Population!K289</f>
        <v>-116766.85110663981</v>
      </c>
      <c r="F292" s="221">
        <f>Solidarité!I286</f>
        <v>-468523.85548223869</v>
      </c>
      <c r="G292" s="8">
        <f>DT!O286</f>
        <v>-93838.133938356143</v>
      </c>
      <c r="H292" s="221">
        <f>Effort!K286+Aide!I286+Taux!J286</f>
        <v>0</v>
      </c>
      <c r="I292" s="289">
        <f t="shared" si="13"/>
        <v>-679128.84052723472</v>
      </c>
      <c r="J292" s="357">
        <f t="shared" si="14"/>
        <v>418086.16142362001</v>
      </c>
      <c r="K292" s="456">
        <f t="shared" si="15"/>
        <v>-261042.6791036147</v>
      </c>
    </row>
    <row r="293" spans="1:11" x14ac:dyDescent="0.25">
      <c r="A293" s="38">
        <f>Données!A287</f>
        <v>5914</v>
      </c>
      <c r="B293" s="27" t="str">
        <f>Données!B287</f>
        <v>Ependes</v>
      </c>
      <c r="C293" s="26">
        <f>Ecrêtage!C287</f>
        <v>9826.1438095238063</v>
      </c>
      <c r="D293" s="12">
        <f>Données!Z287</f>
        <v>372</v>
      </c>
      <c r="E293" s="8">
        <f>Population!K290</f>
        <v>-47996.981891348078</v>
      </c>
      <c r="F293" s="221">
        <f>Solidarité!I287</f>
        <v>-177156.65051993506</v>
      </c>
      <c r="G293" s="8">
        <f>DT!O287</f>
        <v>-73492.279285714307</v>
      </c>
      <c r="H293" s="221">
        <f>Effort!K287+Aide!I287+Taux!J287</f>
        <v>0</v>
      </c>
      <c r="I293" s="289">
        <f t="shared" si="13"/>
        <v>-298645.91169699747</v>
      </c>
      <c r="J293" s="357">
        <f t="shared" si="14"/>
        <v>187860.96970570349</v>
      </c>
      <c r="K293" s="456">
        <f t="shared" si="15"/>
        <v>-110784.94199129398</v>
      </c>
    </row>
    <row r="294" spans="1:11" x14ac:dyDescent="0.25">
      <c r="A294" s="38">
        <f>Données!A288</f>
        <v>5919</v>
      </c>
      <c r="B294" s="27" t="str">
        <f>Données!B288</f>
        <v>Mathod</v>
      </c>
      <c r="C294" s="26">
        <f>Ecrêtage!C288</f>
        <v>20854.383912037036</v>
      </c>
      <c r="D294" s="12">
        <f>Données!Z288</f>
        <v>684</v>
      </c>
      <c r="E294" s="8">
        <f>Population!K291</f>
        <v>-88252.515090543238</v>
      </c>
      <c r="F294" s="221">
        <f>Solidarité!I288</f>
        <v>-254836.63864407555</v>
      </c>
      <c r="G294" s="8">
        <f>DT!O288</f>
        <v>-98793.696527777793</v>
      </c>
      <c r="H294" s="221">
        <f>Effort!K288+Aide!I288+Taux!J288</f>
        <v>0</v>
      </c>
      <c r="I294" s="289">
        <f t="shared" si="13"/>
        <v>-441882.85026239662</v>
      </c>
      <c r="J294" s="357">
        <f t="shared" si="14"/>
        <v>398704.19772740535</v>
      </c>
      <c r="K294" s="456">
        <f t="shared" si="15"/>
        <v>-43178.65253499127</v>
      </c>
    </row>
    <row r="295" spans="1:11" x14ac:dyDescent="0.25">
      <c r="A295" s="38">
        <f>Données!A289</f>
        <v>5921</v>
      </c>
      <c r="B295" s="27" t="str">
        <f>Données!B289</f>
        <v>Molondin</v>
      </c>
      <c r="C295" s="26">
        <f>Ecrêtage!C289</f>
        <v>5090.9675308641981</v>
      </c>
      <c r="D295" s="12">
        <f>Données!Z289</f>
        <v>257</v>
      </c>
      <c r="E295" s="8">
        <f>Population!K292</f>
        <v>-33159.205231388325</v>
      </c>
      <c r="F295" s="221">
        <f>Solidarité!I289</f>
        <v>-193155.95523185999</v>
      </c>
      <c r="G295" s="8">
        <f>DT!O289</f>
        <v>-9465.2191666666622</v>
      </c>
      <c r="H295" s="221">
        <f>Effort!K289+Aide!I289+Taux!J289</f>
        <v>13055.743160506152</v>
      </c>
      <c r="I295" s="289">
        <f t="shared" si="13"/>
        <v>-222724.63646940884</v>
      </c>
      <c r="J295" s="357">
        <f t="shared" si="14"/>
        <v>97331.579470822733</v>
      </c>
      <c r="K295" s="456">
        <f t="shared" si="15"/>
        <v>-125393.05699858611</v>
      </c>
    </row>
    <row r="296" spans="1:11" x14ac:dyDescent="0.25">
      <c r="A296" s="38">
        <f>Données!A290</f>
        <v>5922</v>
      </c>
      <c r="B296" s="27" t="str">
        <f>Données!B290</f>
        <v>Montagny-près-Yverdon</v>
      </c>
      <c r="C296" s="26">
        <f>Ecrêtage!C290</f>
        <v>39799.996472868217</v>
      </c>
      <c r="D296" s="12">
        <f>Données!Z290</f>
        <v>770</v>
      </c>
      <c r="E296" s="8">
        <f>Population!K293</f>
        <v>-99348.591549295757</v>
      </c>
      <c r="F296" s="221">
        <f>Solidarité!I290</f>
        <v>0</v>
      </c>
      <c r="G296" s="8">
        <f>DT!O290</f>
        <v>-160737.77116279071</v>
      </c>
      <c r="H296" s="221">
        <f>Effort!K290+Aide!I290+Taux!J290</f>
        <v>0</v>
      </c>
      <c r="I296" s="289">
        <f t="shared" si="13"/>
        <v>-260086.36271208647</v>
      </c>
      <c r="J296" s="357">
        <f t="shared" si="14"/>
        <v>760915.58159669815</v>
      </c>
      <c r="K296" s="456">
        <f t="shared" si="15"/>
        <v>500829.21888461168</v>
      </c>
    </row>
    <row r="297" spans="1:11" x14ac:dyDescent="0.25">
      <c r="A297" s="38">
        <f>Données!A291</f>
        <v>5923</v>
      </c>
      <c r="B297" s="27" t="str">
        <f>Données!B291</f>
        <v>Oppens</v>
      </c>
      <c r="C297" s="26">
        <f>Ecrêtage!C291</f>
        <v>4459.4095061728403</v>
      </c>
      <c r="D297" s="12">
        <f>Données!Z291</f>
        <v>202</v>
      </c>
      <c r="E297" s="8">
        <f>Population!K294</f>
        <v>-26062.877263581482</v>
      </c>
      <c r="F297" s="221">
        <f>Solidarité!I291</f>
        <v>-139810.48596816324</v>
      </c>
      <c r="G297" s="8">
        <f>DT!O291</f>
        <v>-40447.735833333325</v>
      </c>
      <c r="H297" s="221">
        <f>Effort!K291+Aide!I291+Taux!J291</f>
        <v>0</v>
      </c>
      <c r="I297" s="289">
        <f t="shared" si="13"/>
        <v>-206321.09906507807</v>
      </c>
      <c r="J297" s="357">
        <f t="shared" si="14"/>
        <v>85257.147705541371</v>
      </c>
      <c r="K297" s="456">
        <f t="shared" si="15"/>
        <v>-121063.9513595367</v>
      </c>
    </row>
    <row r="298" spans="1:11" x14ac:dyDescent="0.25">
      <c r="A298" s="38">
        <f>Données!A292</f>
        <v>5924</v>
      </c>
      <c r="B298" s="27" t="str">
        <f>Données!B292</f>
        <v>Orges</v>
      </c>
      <c r="C298" s="26">
        <f>Ecrêtage!C292</f>
        <v>11637.592027027025</v>
      </c>
      <c r="D298" s="12">
        <f>Données!Z292</f>
        <v>407</v>
      </c>
      <c r="E298" s="8">
        <f>Population!K295</f>
        <v>-52512.82696177061</v>
      </c>
      <c r="F298" s="221">
        <f>Solidarité!I292</f>
        <v>-177058.86318346506</v>
      </c>
      <c r="G298" s="8">
        <f>DT!O292</f>
        <v>-33552.197837837848</v>
      </c>
      <c r="H298" s="221">
        <f>Effort!K292+Aide!I292+Taux!J292</f>
        <v>0</v>
      </c>
      <c r="I298" s="289">
        <f t="shared" si="13"/>
        <v>-263123.88798307354</v>
      </c>
      <c r="J298" s="357">
        <f t="shared" si="14"/>
        <v>222493.11282394212</v>
      </c>
      <c r="K298" s="456">
        <f t="shared" si="15"/>
        <v>-40630.775159131415</v>
      </c>
    </row>
    <row r="299" spans="1:11" x14ac:dyDescent="0.25">
      <c r="A299" s="38">
        <f>Données!A293</f>
        <v>5925</v>
      </c>
      <c r="B299" s="27" t="str">
        <f>Données!B293</f>
        <v>Orzens</v>
      </c>
      <c r="C299" s="26">
        <f>Ecrêtage!C293</f>
        <v>5255.7360759493668</v>
      </c>
      <c r="D299" s="12">
        <f>Données!Z293</f>
        <v>212</v>
      </c>
      <c r="E299" s="8">
        <f>Population!K296</f>
        <v>-27353.118712273637</v>
      </c>
      <c r="F299" s="221">
        <f>Solidarité!I293</f>
        <v>-125218.59789429608</v>
      </c>
      <c r="G299" s="8">
        <f>DT!O293</f>
        <v>-51900.281487341774</v>
      </c>
      <c r="H299" s="221">
        <f>Effort!K293+Aide!I293+Taux!J293</f>
        <v>0</v>
      </c>
      <c r="I299" s="289">
        <f t="shared" si="13"/>
        <v>-204471.99809391148</v>
      </c>
      <c r="J299" s="357">
        <f t="shared" si="14"/>
        <v>100481.7042050747</v>
      </c>
      <c r="K299" s="456">
        <f t="shared" si="15"/>
        <v>-103990.29388883678</v>
      </c>
    </row>
    <row r="300" spans="1:11" x14ac:dyDescent="0.25">
      <c r="A300" s="38">
        <f>Données!A294</f>
        <v>5926</v>
      </c>
      <c r="B300" s="27" t="str">
        <f>Données!B294</f>
        <v>Pomy</v>
      </c>
      <c r="C300" s="26">
        <f>Ecrêtage!C294</f>
        <v>26782.680140845066</v>
      </c>
      <c r="D300" s="12">
        <f>Données!Z294</f>
        <v>868</v>
      </c>
      <c r="E300" s="8">
        <f>Population!K297</f>
        <v>-111992.95774647885</v>
      </c>
      <c r="F300" s="221">
        <f>Solidarité!I294</f>
        <v>-308054.66633054306</v>
      </c>
      <c r="G300" s="8">
        <f>DT!O294</f>
        <v>-53854.409049295806</v>
      </c>
      <c r="H300" s="221">
        <f>Effort!K294+Aide!I294+Taux!J294</f>
        <v>0</v>
      </c>
      <c r="I300" s="289">
        <f t="shared" si="13"/>
        <v>-473902.03312631772</v>
      </c>
      <c r="J300" s="357">
        <f t="shared" si="14"/>
        <v>512044.23221449618</v>
      </c>
      <c r="K300" s="456">
        <f t="shared" si="15"/>
        <v>38142.199088178459</v>
      </c>
    </row>
    <row r="301" spans="1:11" x14ac:dyDescent="0.25">
      <c r="A301" s="38">
        <f>Données!A295</f>
        <v>5928</v>
      </c>
      <c r="B301" s="27" t="str">
        <f>Données!B295</f>
        <v>Rovray</v>
      </c>
      <c r="C301" s="26">
        <f>Ecrêtage!C295</f>
        <v>5095.519580419581</v>
      </c>
      <c r="D301" s="12">
        <f>Données!Z295</f>
        <v>197</v>
      </c>
      <c r="E301" s="8">
        <f>Population!K298</f>
        <v>-25417.756539235408</v>
      </c>
      <c r="F301" s="221">
        <f>Solidarité!I295</f>
        <v>-90989.558992019243</v>
      </c>
      <c r="G301" s="8">
        <f>DT!O295</f>
        <v>-5667.6325174825142</v>
      </c>
      <c r="H301" s="221">
        <f>Effort!K295+Aide!I295+Taux!J295</f>
        <v>0</v>
      </c>
      <c r="I301" s="289">
        <f t="shared" si="13"/>
        <v>-122074.94804873718</v>
      </c>
      <c r="J301" s="357">
        <f t="shared" si="14"/>
        <v>97418.607755793884</v>
      </c>
      <c r="K301" s="456">
        <f t="shared" si="15"/>
        <v>-24656.340292943292</v>
      </c>
    </row>
    <row r="302" spans="1:11" x14ac:dyDescent="0.25">
      <c r="A302" s="38">
        <f>Données!A296</f>
        <v>5929</v>
      </c>
      <c r="B302" s="27" t="str">
        <f>Données!B296</f>
        <v>Suchy</v>
      </c>
      <c r="C302" s="26">
        <f>Ecrêtage!C296</f>
        <v>21603.071857142855</v>
      </c>
      <c r="D302" s="12">
        <f>Données!Z296</f>
        <v>671</v>
      </c>
      <c r="E302" s="8">
        <f>Population!K299</f>
        <v>-86575.201207243445</v>
      </c>
      <c r="F302" s="221">
        <f>Solidarité!I296</f>
        <v>-213873.11135026324</v>
      </c>
      <c r="G302" s="8">
        <f>DT!O296</f>
        <v>-12068.94610714286</v>
      </c>
      <c r="H302" s="221">
        <f>Effort!K296+Aide!I296+Taux!J296</f>
        <v>0</v>
      </c>
      <c r="I302" s="289">
        <f t="shared" si="13"/>
        <v>-312517.2586646495</v>
      </c>
      <c r="J302" s="357">
        <f t="shared" si="14"/>
        <v>413017.97596035042</v>
      </c>
      <c r="K302" s="456">
        <f t="shared" si="15"/>
        <v>100500.71729570092</v>
      </c>
    </row>
    <row r="303" spans="1:11" x14ac:dyDescent="0.25">
      <c r="A303" s="38">
        <f>Données!A297</f>
        <v>5930</v>
      </c>
      <c r="B303" s="27" t="str">
        <f>Données!B297</f>
        <v>Suscévaz</v>
      </c>
      <c r="C303" s="26">
        <f>Ecrêtage!C297</f>
        <v>5749.1651388888886</v>
      </c>
      <c r="D303" s="12">
        <f>Données!Z297</f>
        <v>220</v>
      </c>
      <c r="E303" s="8">
        <f>Population!K300</f>
        <v>-28385.311871227357</v>
      </c>
      <c r="F303" s="221">
        <f>Solidarité!I297</f>
        <v>-101821.85151513878</v>
      </c>
      <c r="G303" s="8">
        <f>DT!O297</f>
        <v>-37394.00916666667</v>
      </c>
      <c r="H303" s="221">
        <f>Effort!K297+Aide!I297+Taux!J297</f>
        <v>0</v>
      </c>
      <c r="I303" s="289">
        <f t="shared" si="13"/>
        <v>-167601.17255303281</v>
      </c>
      <c r="J303" s="357">
        <f t="shared" si="14"/>
        <v>109915.31967434468</v>
      </c>
      <c r="K303" s="456">
        <f t="shared" si="15"/>
        <v>-57685.852878688136</v>
      </c>
    </row>
    <row r="304" spans="1:11" x14ac:dyDescent="0.25">
      <c r="A304" s="38">
        <f>Données!A298</f>
        <v>5931</v>
      </c>
      <c r="B304" s="27" t="str">
        <f>Données!B298</f>
        <v>Treycovagnes</v>
      </c>
      <c r="C304" s="26">
        <f>Ecrêtage!C298</f>
        <v>16306.743466666663</v>
      </c>
      <c r="D304" s="12">
        <f>Données!Z298</f>
        <v>520</v>
      </c>
      <c r="E304" s="8">
        <f>Population!K301</f>
        <v>-67092.555331991942</v>
      </c>
      <c r="F304" s="221">
        <f>Solidarité!I298</f>
        <v>-200042.73393788247</v>
      </c>
      <c r="G304" s="8">
        <f>DT!O298</f>
        <v>-52016.289200000021</v>
      </c>
      <c r="H304" s="221">
        <f>Effort!K298+Aide!I298+Taux!J298</f>
        <v>0</v>
      </c>
      <c r="I304" s="289">
        <f t="shared" si="13"/>
        <v>-319151.5784698744</v>
      </c>
      <c r="J304" s="357">
        <f t="shared" si="14"/>
        <v>311760.20825392363</v>
      </c>
      <c r="K304" s="456">
        <f t="shared" si="15"/>
        <v>-7391.3702159507666</v>
      </c>
    </row>
    <row r="305" spans="1:11" x14ac:dyDescent="0.25">
      <c r="A305" s="38">
        <f>Données!A299</f>
        <v>5932</v>
      </c>
      <c r="B305" s="27" t="str">
        <f>Données!B299</f>
        <v>Ursins</v>
      </c>
      <c r="C305" s="26">
        <f>Ecrêtage!C299</f>
        <v>7945.6340000000009</v>
      </c>
      <c r="D305" s="12">
        <f>Données!Z299</f>
        <v>230</v>
      </c>
      <c r="E305" s="8">
        <f>Population!K302</f>
        <v>-29675.553319919509</v>
      </c>
      <c r="F305" s="221">
        <f>Solidarité!I299</f>
        <v>-72000.597776295297</v>
      </c>
      <c r="G305" s="8">
        <f>DT!O299</f>
        <v>-8221.7744999999995</v>
      </c>
      <c r="H305" s="221">
        <f>Effort!K299+Aide!I299+Taux!J299</f>
        <v>0</v>
      </c>
      <c r="I305" s="289">
        <f t="shared" si="13"/>
        <v>-109897.9255962148</v>
      </c>
      <c r="J305" s="357">
        <f t="shared" si="14"/>
        <v>151908.47366999259</v>
      </c>
      <c r="K305" s="456">
        <f t="shared" si="15"/>
        <v>42010.548073777783</v>
      </c>
    </row>
    <row r="306" spans="1:11" x14ac:dyDescent="0.25">
      <c r="A306" s="38">
        <f>Données!A300</f>
        <v>5933</v>
      </c>
      <c r="B306" s="27" t="str">
        <f>Données!B300</f>
        <v>Valeyres-sous-Montagny</v>
      </c>
      <c r="C306" s="26">
        <f>Ecrêtage!C300</f>
        <v>23478.314609929079</v>
      </c>
      <c r="D306" s="12">
        <f>Données!Z300</f>
        <v>703</v>
      </c>
      <c r="E306" s="8">
        <f>Population!K303</f>
        <v>-90703.973843058324</v>
      </c>
      <c r="F306" s="221">
        <f>Solidarité!I300</f>
        <v>-210499.62573140449</v>
      </c>
      <c r="G306" s="8">
        <f>DT!O300</f>
        <v>-339483.36234042555</v>
      </c>
      <c r="H306" s="221">
        <f>Effort!K300+Aide!I300+Taux!J300</f>
        <v>0</v>
      </c>
      <c r="I306" s="289">
        <f t="shared" si="13"/>
        <v>-640686.96191488835</v>
      </c>
      <c r="J306" s="357">
        <f t="shared" si="14"/>
        <v>448869.773857972</v>
      </c>
      <c r="K306" s="456">
        <f t="shared" si="15"/>
        <v>-191817.18805691635</v>
      </c>
    </row>
    <row r="307" spans="1:11" x14ac:dyDescent="0.25">
      <c r="A307" s="38">
        <f>Données!A301</f>
        <v>5934</v>
      </c>
      <c r="B307" s="27" t="str">
        <f>Données!B301</f>
        <v>Valeyres-sous-Ursins</v>
      </c>
      <c r="C307" s="26">
        <f>Ecrêtage!C301</f>
        <v>16787.585844155841</v>
      </c>
      <c r="D307" s="12">
        <f>Données!Z301</f>
        <v>241</v>
      </c>
      <c r="E307" s="8">
        <f>Population!K304</f>
        <v>-31094.818913480878</v>
      </c>
      <c r="F307" s="221">
        <f>Solidarité!I301</f>
        <v>0</v>
      </c>
      <c r="G307" s="8">
        <f>DT!O301</f>
        <v>0</v>
      </c>
      <c r="H307" s="221">
        <f>Effort!K301+Aide!I301+Taux!J301</f>
        <v>0</v>
      </c>
      <c r="I307" s="289">
        <f t="shared" si="13"/>
        <v>-31094.818913480878</v>
      </c>
      <c r="J307" s="357">
        <f t="shared" si="14"/>
        <v>320953.1853832794</v>
      </c>
      <c r="K307" s="456">
        <f t="shared" si="15"/>
        <v>289858.36646979849</v>
      </c>
    </row>
    <row r="308" spans="1:11" x14ac:dyDescent="0.25">
      <c r="A308" s="38">
        <f>Données!A302</f>
        <v>5935</v>
      </c>
      <c r="B308" s="27" t="str">
        <f>Données!B302</f>
        <v>Villars-Epeney</v>
      </c>
      <c r="C308" s="26">
        <f>Ecrêtage!C302</f>
        <v>6724.4138235294122</v>
      </c>
      <c r="D308" s="12">
        <f>Données!Z302</f>
        <v>92</v>
      </c>
      <c r="E308" s="8">
        <f>Population!K305</f>
        <v>-11870.221327967804</v>
      </c>
      <c r="F308" s="221">
        <f>Solidarité!I302</f>
        <v>0</v>
      </c>
      <c r="G308" s="8">
        <f>DT!O302</f>
        <v>-3293.6896323529409</v>
      </c>
      <c r="H308" s="221">
        <f>Effort!K302+Aide!I302+Taux!J302</f>
        <v>0</v>
      </c>
      <c r="I308" s="289">
        <f t="shared" si="13"/>
        <v>-15163.910960320743</v>
      </c>
      <c r="J308" s="357">
        <f t="shared" si="14"/>
        <v>128560.59570045031</v>
      </c>
      <c r="K308" s="456">
        <f t="shared" si="15"/>
        <v>113396.68474012957</v>
      </c>
    </row>
    <row r="309" spans="1:11" x14ac:dyDescent="0.25">
      <c r="A309" s="38">
        <f>Données!A303</f>
        <v>5937</v>
      </c>
      <c r="B309" s="27" t="str">
        <f>Données!B303</f>
        <v>Vugelles-La Mothe</v>
      </c>
      <c r="C309" s="26">
        <f>Ecrêtage!C303</f>
        <v>3343.8941428571434</v>
      </c>
      <c r="D309" s="12">
        <f>Données!Z303</f>
        <v>137</v>
      </c>
      <c r="E309" s="8">
        <f>Population!K306</f>
        <v>-17676.307847082491</v>
      </c>
      <c r="F309" s="221">
        <f>Solidarité!I303</f>
        <v>-64560.612247406119</v>
      </c>
      <c r="G309" s="8">
        <f>DT!O303</f>
        <v>-23236.46453571428</v>
      </c>
      <c r="H309" s="221">
        <f>Effort!K303+Aide!I303+Taux!J303</f>
        <v>0</v>
      </c>
      <c r="I309" s="289">
        <f t="shared" si="13"/>
        <v>-105473.3846302029</v>
      </c>
      <c r="J309" s="357">
        <f t="shared" si="14"/>
        <v>63930.18547739007</v>
      </c>
      <c r="K309" s="456">
        <f t="shared" si="15"/>
        <v>-41543.199152812827</v>
      </c>
    </row>
    <row r="310" spans="1:11" x14ac:dyDescent="0.25">
      <c r="A310" s="38">
        <f>Données!A304</f>
        <v>5938</v>
      </c>
      <c r="B310" s="27" t="str">
        <f>Données!B304</f>
        <v>Yverdon-les-Bains</v>
      </c>
      <c r="C310" s="26">
        <f>Ecrêtage!C304</f>
        <v>780594.69946666679</v>
      </c>
      <c r="D310" s="12">
        <f>Données!Z304</f>
        <v>29877</v>
      </c>
      <c r="E310" s="8">
        <f>Population!K307</f>
        <v>-26213422.635814883</v>
      </c>
      <c r="F310" s="221">
        <f>Solidarité!I304</f>
        <v>-15007977.742787881</v>
      </c>
      <c r="G310" s="8">
        <f>DT!O304</f>
        <v>-10138947.303199999</v>
      </c>
      <c r="H310" s="221">
        <f>Effort!K304+Aide!I304+Taux!J304</f>
        <v>6688639.3535723528</v>
      </c>
      <c r="I310" s="289">
        <f t="shared" si="13"/>
        <v>-44671708.328230411</v>
      </c>
      <c r="J310" s="357">
        <f t="shared" si="14"/>
        <v>14923786.994325176</v>
      </c>
      <c r="K310" s="456">
        <f t="shared" si="15"/>
        <v>-29747921.333905235</v>
      </c>
    </row>
    <row r="311" spans="1:11" x14ac:dyDescent="0.25">
      <c r="A311" s="38">
        <f>Données!A305</f>
        <v>5939</v>
      </c>
      <c r="B311" s="27" t="str">
        <f>Données!B305</f>
        <v>Yvonand</v>
      </c>
      <c r="C311" s="26">
        <f>Ecrêtage!C305</f>
        <v>97394.348251748248</v>
      </c>
      <c r="D311" s="12">
        <f>Données!Z305</f>
        <v>3531</v>
      </c>
      <c r="E311" s="210">
        <f>Population!K308</f>
        <v>-1125606.6398390341</v>
      </c>
      <c r="F311" s="221">
        <f>Solidarité!I305</f>
        <v>-1507003.2808784605</v>
      </c>
      <c r="G311" s="210">
        <f>DT!O305</f>
        <v>-553708.39930069936</v>
      </c>
      <c r="H311" s="221">
        <f>Effort!K305+Aide!I305+Taux!J305</f>
        <v>0</v>
      </c>
      <c r="I311" s="305">
        <f t="shared" si="13"/>
        <v>-3186318.3200181937</v>
      </c>
      <c r="J311" s="357">
        <f t="shared" si="14"/>
        <v>1862032.2540664203</v>
      </c>
      <c r="K311" s="457">
        <f t="shared" si="15"/>
        <v>-1324286.0659517734</v>
      </c>
    </row>
    <row r="312" spans="1:11" x14ac:dyDescent="0.25">
      <c r="A312" s="25"/>
      <c r="B312" s="74">
        <f>COUNTA(B12:B311)</f>
        <v>300</v>
      </c>
      <c r="C312" s="75">
        <f t="shared" ref="C312:H312" si="16">SUM(C12:C311)</f>
        <v>40269073.341943532</v>
      </c>
      <c r="D312" s="9">
        <f t="shared" si="16"/>
        <v>830791</v>
      </c>
      <c r="E312" s="210">
        <f t="shared" si="16"/>
        <v>-460267470.7243461</v>
      </c>
      <c r="F312" s="9">
        <f t="shared" si="16"/>
        <v>-141027623.05217063</v>
      </c>
      <c r="G312" s="553">
        <f>SUM(G12:G311)</f>
        <v>-178203620.30441591</v>
      </c>
      <c r="H312" s="9">
        <f t="shared" si="16"/>
        <v>10065094.035052124</v>
      </c>
      <c r="I312" s="290">
        <f t="shared" ref="I312" si="17">SUM(E312:H312)</f>
        <v>-769433620.04588044</v>
      </c>
      <c r="J312" s="290">
        <f t="shared" ref="J312" si="18">C312*$J$11</f>
        <v>769883620.04588044</v>
      </c>
      <c r="K312" s="458">
        <f t="shared" ref="K312" si="19">I312+J312</f>
        <v>450000</v>
      </c>
    </row>
    <row r="313" spans="1:11" x14ac:dyDescent="0.25">
      <c r="C313" s="52"/>
      <c r="D313" s="52"/>
      <c r="E313" s="29"/>
      <c r="I313" s="29"/>
      <c r="J313" s="211"/>
    </row>
    <row r="314" spans="1:11" x14ac:dyDescent="0.25">
      <c r="C314" s="181"/>
      <c r="D314" s="4"/>
      <c r="E314" s="5"/>
      <c r="F314" s="5"/>
      <c r="G314" s="5"/>
      <c r="H314" s="5"/>
      <c r="I314" s="5"/>
      <c r="J314" s="5"/>
    </row>
    <row r="315" spans="1:11" x14ac:dyDescent="0.25">
      <c r="C315" s="222"/>
      <c r="G315" s="10"/>
      <c r="H315" s="10"/>
    </row>
    <row r="316" spans="1:11" x14ac:dyDescent="0.25">
      <c r="C316" s="201"/>
    </row>
    <row r="317" spans="1:11" x14ac:dyDescent="0.25">
      <c r="F317" s="10"/>
    </row>
    <row r="318" spans="1:11" x14ac:dyDescent="0.25">
      <c r="F318" s="10"/>
    </row>
    <row r="320" spans="1:11" x14ac:dyDescent="0.25">
      <c r="F320" s="71"/>
      <c r="G320" s="71"/>
      <c r="H320" s="71"/>
      <c r="I320" s="71"/>
      <c r="J320" s="71"/>
    </row>
    <row r="321" spans="3:10" x14ac:dyDescent="0.25">
      <c r="E321" s="71"/>
      <c r="F321" s="71"/>
      <c r="G321" s="71"/>
      <c r="H321" s="71"/>
      <c r="I321" s="71"/>
      <c r="J321" s="71"/>
    </row>
    <row r="322" spans="3:10" x14ac:dyDescent="0.25">
      <c r="E322" s="73"/>
      <c r="F322" s="73"/>
      <c r="G322" s="73"/>
      <c r="H322" s="73"/>
      <c r="I322" s="73"/>
      <c r="J322" s="73"/>
    </row>
    <row r="329" spans="3:10" x14ac:dyDescent="0.25">
      <c r="C329" s="37"/>
    </row>
    <row r="330" spans="3:10" x14ac:dyDescent="0.25">
      <c r="C330" s="37"/>
    </row>
    <row r="331" spans="3:10" x14ac:dyDescent="0.25">
      <c r="C331" s="37"/>
    </row>
  </sheetData>
  <sheetProtection sheet="1" objects="1" scenarios="1"/>
  <mergeCells count="8">
    <mergeCell ref="K10:K11"/>
    <mergeCell ref="A5:B5"/>
    <mergeCell ref="A6:B6"/>
    <mergeCell ref="A7:B7"/>
    <mergeCell ref="D10:D11"/>
    <mergeCell ref="C10:C11"/>
    <mergeCell ref="B10:B11"/>
    <mergeCell ref="A10:A11"/>
  </mergeCells>
  <phoneticPr fontId="20" type="noConversion"/>
  <hyperlinks>
    <hyperlink ref="C1" location="Ecrêtage!A1" display="← Précédent" xr:uid="{617DF37A-F812-48AD-A070-5ECCEB5FCAF3}"/>
    <hyperlink ref="E1" location="Population!A1" display="Suivant →" xr:uid="{88AC5A9E-3CD9-4E67-A12C-D58A70624CB5}"/>
    <hyperlink ref="D1" location="'Table des matières'!A1" display="Table des             matières" xr:uid="{0CC4E5F6-F04B-4697-A166-7DC7DA60803C}"/>
  </hyperlinks>
  <pageMargins left="0.25" right="0.25" top="0.75" bottom="0.75" header="0.3" footer="0.3"/>
  <pageSetup paperSize="9" orientation="landscape" horizontalDpi="4294967292" verticalDpi="4294967292"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12</vt:i4>
      </vt:variant>
    </vt:vector>
  </HeadingPairs>
  <TitlesOfParts>
    <vt:vector size="30" baseType="lpstr">
      <vt:lpstr>Table des matières</vt:lpstr>
      <vt:lpstr>Paramètres</vt:lpstr>
      <vt:lpstr>Recherche</vt:lpstr>
      <vt:lpstr>Récapitulation rendements</vt:lpstr>
      <vt:lpstr>Données</vt:lpstr>
      <vt:lpstr>VPI</vt:lpstr>
      <vt:lpstr>PCS</vt:lpstr>
      <vt:lpstr>Ecrêtage</vt:lpstr>
      <vt:lpstr>Péréquation directe</vt:lpstr>
      <vt:lpstr>Population</vt:lpstr>
      <vt:lpstr>Solidarité</vt:lpstr>
      <vt:lpstr>DT</vt:lpstr>
      <vt:lpstr>Effort</vt:lpstr>
      <vt:lpstr>Aide</vt:lpstr>
      <vt:lpstr>Taux</vt:lpstr>
      <vt:lpstr>Facture policière</vt:lpstr>
      <vt:lpstr>Synthèse</vt:lpstr>
      <vt:lpstr>Décompte vs acomptes</vt:lpstr>
      <vt:lpstr>DT!Impression_des_titres</vt:lpstr>
      <vt:lpstr>Effort!Impression_des_titres</vt:lpstr>
      <vt:lpstr>'Facture policière'!Impression_des_titres</vt:lpstr>
      <vt:lpstr>PCS!Impression_des_titres</vt:lpstr>
      <vt:lpstr>Synthèse!Impression_des_titres</vt:lpstr>
      <vt:lpstr>Taux!Impression_des_titres</vt:lpstr>
      <vt:lpstr>'Facture policière'!Zone_d_impression</vt:lpstr>
      <vt:lpstr>'Péréquation directe'!Zone_d_impression</vt:lpstr>
      <vt:lpstr>'Récapitulation rendements'!Zone_d_impression</vt:lpstr>
      <vt:lpstr>Recherche!Zone_d_impression</vt:lpstr>
      <vt:lpstr>Synthèse!Zone_d_impression</vt:lpstr>
      <vt:lpstr>Taux!Zone_d_impression</vt:lpstr>
    </vt:vector>
  </TitlesOfParts>
  <Manager>fabio.cappelletti@vd.ch</Manager>
  <Company>Etat de Vaud / ASFiCo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fabio.cappelletti@vd.ch</dc:creator>
  <cp:lastModifiedBy>Sheedy Emma</cp:lastModifiedBy>
  <cp:lastPrinted>2023-06-21T13:23:11Z</cp:lastPrinted>
  <dcterms:created xsi:type="dcterms:W3CDTF">2005-06-06T00:37:42Z</dcterms:created>
  <dcterms:modified xsi:type="dcterms:W3CDTF">2023-06-27T12:58:08Z</dcterms:modified>
</cp:coreProperties>
</file>